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818F3C63-1BD6-4238-8D9F-050A0BC44B0F}"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Posting!$A$1:$P$17863</definedName>
    <definedName name="_xlnm._FilterDatabase" localSheetId="4" hidden="1">Supplier!$A$1:$XFC$4055</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8" r:id="rId21"/>
    <pivotCache cacheId="68" r:id="rId22"/>
  </pivotCaches>
</workbook>
</file>

<file path=xl/calcChain.xml><?xml version="1.0" encoding="utf-8"?>
<calcChain xmlns="http://schemas.openxmlformats.org/spreadsheetml/2006/main">
  <c r="H73" i="5" l="1"/>
  <c r="H72" i="5"/>
  <c r="H71" i="5"/>
  <c r="G73" i="5"/>
  <c r="G72" i="5"/>
  <c r="G71" i="5"/>
  <c r="I70" i="5"/>
  <c r="I71" i="5"/>
  <c r="I72" i="5"/>
  <c r="I73" i="5"/>
  <c r="G4031" i="2"/>
  <c r="G4042" i="2"/>
  <c r="G17869" i="1"/>
  <c r="G17863" i="1"/>
  <c r="G17864" i="1"/>
  <c r="G17865" i="1"/>
  <c r="G17866" i="1"/>
  <c r="G17867" i="1"/>
  <c r="G17868" i="1"/>
  <c r="I74" i="5" l="1"/>
  <c r="G17852" i="1"/>
  <c r="C12" i="3"/>
  <c r="B12" i="3"/>
  <c r="C11" i="3"/>
  <c r="B11" i="3"/>
  <c r="G17833" i="1"/>
  <c r="G17834" i="1"/>
  <c r="G17835" i="1"/>
  <c r="G17836" i="1"/>
  <c r="G17837" i="1"/>
  <c r="G17832" i="1"/>
  <c r="G17831" i="1"/>
  <c r="G17821" i="1"/>
  <c r="G17822" i="1"/>
  <c r="G17823" i="1"/>
  <c r="G17824" i="1"/>
  <c r="G17825" i="1"/>
  <c r="G17826" i="1"/>
  <c r="G17827" i="1"/>
  <c r="G17828" i="1"/>
  <c r="G17829" i="1"/>
  <c r="G17830" i="1"/>
  <c r="G17815" i="1"/>
  <c r="G17816" i="1"/>
  <c r="G17817" i="1"/>
  <c r="G17818" i="1"/>
  <c r="G17819" i="1"/>
  <c r="G17820" i="1"/>
  <c r="F148" i="37"/>
  <c r="G4055" i="2"/>
  <c r="G17814" i="1"/>
  <c r="G4051" i="2"/>
  <c r="G4052" i="2"/>
  <c r="G4053" i="2"/>
  <c r="G4054" i="2"/>
  <c r="G17811" i="1"/>
  <c r="G17812" i="1"/>
  <c r="G17813" i="1"/>
  <c r="G17810" i="1"/>
  <c r="G17809" i="1"/>
  <c r="G17808" i="1"/>
  <c r="G4050" i="2"/>
  <c r="G17807" i="1"/>
  <c r="G17806" i="1"/>
  <c r="G17805" i="1"/>
  <c r="G17804" i="1"/>
  <c r="F147" i="37"/>
  <c r="G4037" i="2"/>
  <c r="G4048" i="2"/>
  <c r="G4047" i="2"/>
  <c r="G4036" i="2"/>
  <c r="G4041" i="2"/>
  <c r="G4035" i="2"/>
  <c r="G3969" i="2"/>
  <c r="G4034" i="2"/>
  <c r="G4049" i="2"/>
  <c r="G4040" i="2"/>
  <c r="G4043" i="2"/>
  <c r="G4025" i="2"/>
  <c r="G3978" i="2"/>
  <c r="G3968" i="2"/>
  <c r="G4046" i="2"/>
  <c r="G4039" i="2"/>
  <c r="G4038" i="2"/>
  <c r="G4030" i="2"/>
  <c r="G17862" i="1"/>
  <c r="G17858" i="1"/>
  <c r="G17859" i="1"/>
  <c r="G17860" i="1"/>
  <c r="G17861" i="1"/>
  <c r="G17803" i="1"/>
  <c r="G17800" i="1"/>
  <c r="G17802" i="1"/>
  <c r="G17801" i="1"/>
  <c r="G17799" i="1"/>
  <c r="G17792" i="1"/>
  <c r="G17793" i="1"/>
  <c r="G17794" i="1"/>
  <c r="G17795" i="1"/>
  <c r="G17796" i="1"/>
  <c r="G17797" i="1"/>
  <c r="G17798" i="1"/>
  <c r="G17791" i="1"/>
  <c r="G17790" i="1"/>
  <c r="G17789" i="1"/>
  <c r="G17849" i="1"/>
  <c r="G17848" i="1"/>
  <c r="G17847" i="1"/>
  <c r="G17846" i="1"/>
  <c r="G17845" i="1"/>
  <c r="G17844" i="1"/>
  <c r="G17843" i="1"/>
  <c r="G17857" i="1"/>
  <c r="G17856" i="1"/>
  <c r="G17788" i="1"/>
  <c r="G17787" i="1"/>
  <c r="G17786" i="1"/>
  <c r="G17776" i="1"/>
  <c r="G17777" i="1"/>
  <c r="G17778" i="1"/>
  <c r="G17779" i="1"/>
  <c r="G17780" i="1"/>
  <c r="G17781" i="1"/>
  <c r="G17782" i="1"/>
  <c r="G17783" i="1"/>
  <c r="G17784" i="1"/>
  <c r="G17785" i="1"/>
  <c r="G17772" i="1"/>
  <c r="G17773" i="1"/>
  <c r="G17774" i="1"/>
  <c r="G17775" i="1"/>
  <c r="G17771" i="1"/>
  <c r="G17770" i="1"/>
  <c r="G17769" i="1"/>
  <c r="G17854" i="1"/>
  <c r="G17855" i="1"/>
  <c r="G17768" i="1" l="1"/>
  <c r="G17709" i="1"/>
  <c r="G17436" i="1"/>
  <c r="G17437" i="1"/>
  <c r="G17763" i="1"/>
  <c r="G17764" i="1"/>
  <c r="G17765" i="1"/>
  <c r="G17766" i="1"/>
  <c r="G17767" i="1"/>
  <c r="G17733" i="1"/>
  <c r="G17714" i="1"/>
  <c r="G17713" i="1"/>
  <c r="G17703" i="1"/>
  <c r="G17704" i="1"/>
  <c r="G17705" i="1"/>
  <c r="G17842" i="1" l="1"/>
  <c r="G17840" i="1"/>
  <c r="G17841" i="1"/>
  <c r="G17839" i="1"/>
  <c r="G17838" i="1"/>
  <c r="G17602" i="1"/>
  <c r="G17603" i="1"/>
  <c r="G17604" i="1"/>
  <c r="G17605" i="1"/>
  <c r="G17606" i="1"/>
  <c r="G17607" i="1"/>
  <c r="G17608" i="1"/>
  <c r="G17609" i="1"/>
  <c r="G4045" i="2"/>
  <c r="G4044"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33" i="2"/>
  <c r="G17715" i="1"/>
  <c r="F145" i="37"/>
  <c r="G4032"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853" i="1"/>
  <c r="G17851" i="1"/>
  <c r="G17850" i="1"/>
  <c r="G4020" i="2"/>
  <c r="G4021" i="2"/>
  <c r="G4022" i="2"/>
  <c r="G4023" i="2"/>
  <c r="G4024"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29" i="2"/>
  <c r="G4028" i="2"/>
  <c r="G4027" i="2"/>
  <c r="G4026" i="2"/>
  <c r="G17672" i="1"/>
  <c r="G17673" i="1"/>
  <c r="G17674" i="1"/>
  <c r="G17675" i="1"/>
  <c r="G17671" i="1"/>
  <c r="G17670" i="1"/>
  <c r="G17669" i="1"/>
  <c r="G17668" i="1"/>
  <c r="G4017" i="2"/>
  <c r="G3973" i="2"/>
  <c r="G3784" i="2"/>
  <c r="G3776" i="2"/>
  <c r="G3621" i="2"/>
  <c r="G3519" i="2"/>
  <c r="G3999" i="2" l="1"/>
  <c r="G4000" i="2"/>
  <c r="G4001" i="2"/>
  <c r="G4002" i="2"/>
  <c r="G4003" i="2"/>
  <c r="G4004" i="2"/>
  <c r="G4005" i="2"/>
  <c r="G3736" i="2"/>
  <c r="G3735" i="2"/>
  <c r="G3435" i="2"/>
  <c r="G3410" i="2"/>
  <c r="G3150" i="2" l="1"/>
  <c r="G3149" i="2"/>
  <c r="G4019" i="2" l="1"/>
  <c r="G4016" i="2"/>
  <c r="G17667" i="1" l="1"/>
  <c r="G17666" i="1"/>
  <c r="G17681" i="1"/>
  <c r="G17696" i="1" l="1"/>
  <c r="G17690" i="1"/>
  <c r="G17689" i="1"/>
  <c r="G17688" i="1"/>
  <c r="G17687" i="1"/>
  <c r="G17686" i="1"/>
  <c r="G17685" i="1"/>
  <c r="J18" i="33"/>
  <c r="M3" i="33"/>
  <c r="G3908" i="2" l="1"/>
  <c r="G3787" i="2"/>
  <c r="G3693" i="2"/>
  <c r="G17684" i="1"/>
  <c r="G3987" i="2" l="1"/>
  <c r="G3972" i="2"/>
  <c r="G3967" i="2"/>
  <c r="G3960" i="2"/>
  <c r="G3953" i="2"/>
  <c r="G3940" i="2"/>
  <c r="G4015" i="2"/>
  <c r="G4014" i="2"/>
  <c r="G4013" i="2"/>
  <c r="G3998" i="2"/>
  <c r="G17567" i="1"/>
  <c r="G4018" i="2"/>
  <c r="G17564" i="1"/>
  <c r="G17565" i="1"/>
  <c r="G17566" i="1"/>
  <c r="G17661" i="1" l="1"/>
  <c r="G17559" i="1"/>
  <c r="G17560" i="1"/>
  <c r="G17561" i="1"/>
  <c r="G4012" i="2"/>
  <c r="G4011" i="2"/>
  <c r="G4010"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09" i="2"/>
  <c r="G4008" i="2"/>
  <c r="G4007"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6" i="2"/>
  <c r="G3997" i="2"/>
  <c r="G17653" i="1" l="1"/>
  <c r="G17652" i="1"/>
  <c r="G4006" i="2"/>
  <c r="G3991" i="2"/>
  <c r="G3990" i="2"/>
  <c r="G3989" i="2"/>
  <c r="G3981"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6" i="2"/>
  <c r="G3995" i="2"/>
  <c r="G3994" i="2"/>
  <c r="G3977" i="2"/>
  <c r="G17645" i="1"/>
  <c r="G17643" i="1"/>
  <c r="G3988" i="2"/>
  <c r="G3980" i="2"/>
  <c r="G3979" i="2"/>
  <c r="G3975" i="2"/>
  <c r="G3964" i="2"/>
  <c r="G3993" i="2"/>
  <c r="G3992"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58" i="2"/>
  <c r="G3786" i="2"/>
  <c r="G3785" i="2"/>
  <c r="G3811" i="2"/>
  <c r="G3560" i="2"/>
  <c r="G3561" i="2"/>
  <c r="G17682" i="1"/>
  <c r="G3982" i="2" l="1"/>
  <c r="G3983" i="2"/>
  <c r="G3984" i="2"/>
  <c r="G3985" i="2"/>
  <c r="G3986" i="2"/>
  <c r="G17641" i="1"/>
  <c r="G17640" i="1"/>
  <c r="G17639" i="1"/>
  <c r="G17638" i="1"/>
  <c r="G17637" i="1"/>
  <c r="G17290" i="1"/>
  <c r="G3966" i="2" l="1"/>
  <c r="G3965"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1" i="2" l="1"/>
  <c r="G3957" i="2"/>
  <c r="G3970" i="2"/>
  <c r="G3963" i="2"/>
  <c r="G3962" i="2"/>
  <c r="G3956" i="2"/>
  <c r="G3955" i="2"/>
  <c r="G3945" i="2"/>
  <c r="G3974" i="2"/>
  <c r="G3961" i="2"/>
  <c r="G3959"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4" i="2"/>
  <c r="G17361" i="1"/>
  <c r="G17677" i="1"/>
  <c r="G17678" i="1"/>
  <c r="G17679" i="1"/>
  <c r="G3944" i="2"/>
  <c r="G3922" i="2"/>
  <c r="G3937" i="2"/>
  <c r="G393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7" i="2"/>
  <c r="G3948" i="2"/>
  <c r="G3952" i="2"/>
  <c r="G3943" i="2"/>
  <c r="G3951" i="2"/>
  <c r="G3938" i="2"/>
  <c r="G393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0" i="2"/>
  <c r="G3949" i="2"/>
  <c r="G17629" i="1"/>
  <c r="G17628" i="1"/>
  <c r="G3942" i="2"/>
  <c r="G3946" i="2"/>
  <c r="G3947"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4"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5" i="2"/>
  <c r="G3941" i="2"/>
  <c r="G3934" i="2"/>
  <c r="G3933" i="2"/>
  <c r="F3876" i="2"/>
  <c r="G3932" i="2"/>
  <c r="G3930" i="2"/>
  <c r="G3929" i="2"/>
  <c r="G3924" i="2"/>
  <c r="G3923" i="2"/>
  <c r="G3917" i="2"/>
  <c r="G3931" i="2"/>
  <c r="G3928" i="2"/>
  <c r="G3788" i="2"/>
  <c r="G3783" i="2"/>
  <c r="G3916" i="2"/>
  <c r="G3915" i="2"/>
  <c r="G3927" i="2"/>
  <c r="G3926" i="2"/>
  <c r="G3925" i="2"/>
  <c r="G3921" i="2"/>
  <c r="G3920" i="2"/>
  <c r="G3919" i="2"/>
  <c r="G3918" i="2"/>
  <c r="G391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3" i="2"/>
  <c r="G3912" i="2"/>
  <c r="G3911" i="2"/>
  <c r="G3910" i="2"/>
  <c r="G3907" i="2"/>
  <c r="G17326" i="1"/>
  <c r="G17133" i="1"/>
  <c r="G17135" i="1"/>
  <c r="G17126" i="1"/>
  <c r="G17125" i="1"/>
  <c r="G17124" i="1"/>
  <c r="G17134" i="1"/>
  <c r="G17132" i="1"/>
  <c r="G17308" i="1"/>
  <c r="G3909"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6" i="2" l="1"/>
  <c r="G3901" i="2"/>
  <c r="G3905" i="2"/>
  <c r="G3891" i="2"/>
  <c r="G3900" i="2"/>
  <c r="G17307" i="1"/>
  <c r="G3904" i="2"/>
  <c r="G3903" i="2"/>
  <c r="G3890" i="2" l="1"/>
  <c r="G3889" i="2"/>
  <c r="O20" i="31" l="1"/>
  <c r="G17306" i="1" l="1"/>
  <c r="G17103" i="1"/>
  <c r="G17098" i="1"/>
  <c r="G17099" i="1"/>
  <c r="G17100" i="1"/>
  <c r="G17101" i="1"/>
  <c r="G17102" i="1"/>
  <c r="G3902" i="2"/>
  <c r="G17305" i="1"/>
  <c r="G17304" i="1"/>
  <c r="G17303" i="1"/>
  <c r="G3893" i="2"/>
  <c r="G3894" i="2"/>
  <c r="G3895" i="2"/>
  <c r="G3896" i="2"/>
  <c r="G3897" i="2"/>
  <c r="G3898" i="2"/>
  <c r="G389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2" i="2"/>
  <c r="G17082" i="1"/>
  <c r="G17077" i="1"/>
  <c r="G17078" i="1"/>
  <c r="G17079" i="1"/>
  <c r="G17080" i="1"/>
  <c r="G17081" i="1"/>
  <c r="I139" i="28"/>
  <c r="G17324" i="1"/>
  <c r="G17325" i="1"/>
  <c r="G3888" i="2"/>
  <c r="G3887" i="2"/>
  <c r="G3886" i="2"/>
  <c r="G3885" i="2"/>
  <c r="G3884" i="2"/>
  <c r="G3883" i="2"/>
  <c r="G3882" i="2"/>
  <c r="G3881" i="2"/>
  <c r="G3880" i="2"/>
  <c r="G3879" i="2"/>
  <c r="G3878" i="2"/>
  <c r="G3877" i="2"/>
  <c r="G3876" i="2"/>
  <c r="G3875" i="2"/>
  <c r="G2947" i="2"/>
  <c r="G3874" i="2"/>
  <c r="G3574" i="2"/>
  <c r="G17323" i="1"/>
  <c r="G16975" i="1"/>
  <c r="G16974" i="1"/>
  <c r="G17072" i="1"/>
  <c r="G17073" i="1"/>
  <c r="G16846" i="1"/>
  <c r="G17074" i="1"/>
  <c r="G17075" i="1"/>
  <c r="G17076" i="1"/>
  <c r="G17071" i="1"/>
  <c r="G17070" i="1"/>
  <c r="G17069" i="1"/>
  <c r="E26" i="33"/>
  <c r="G3873" i="2"/>
  <c r="G17068" i="1"/>
  <c r="G17064" i="1"/>
  <c r="G17065" i="1"/>
  <c r="G17066" i="1"/>
  <c r="G17067" i="1"/>
  <c r="G3835" i="2"/>
  <c r="G3845" i="2"/>
  <c r="G3871" i="2"/>
  <c r="G3872" i="2"/>
  <c r="G3854" i="2"/>
  <c r="G3853" i="2"/>
  <c r="G3847" i="2"/>
  <c r="G3846" i="2"/>
  <c r="G3870" i="2"/>
  <c r="G3869" i="2"/>
  <c r="G3856" i="2"/>
  <c r="G3855" i="2"/>
  <c r="G3852" i="2"/>
  <c r="G3851" i="2"/>
  <c r="G3850" i="2"/>
  <c r="G3836" i="2"/>
  <c r="G17063" i="1"/>
  <c r="G17062" i="1"/>
  <c r="G17061" i="1"/>
  <c r="G17056" i="1"/>
  <c r="G17057" i="1"/>
  <c r="G16845" i="1"/>
  <c r="G17058" i="1"/>
  <c r="G17059" i="1"/>
  <c r="G17060" i="1"/>
  <c r="G17055" i="1"/>
  <c r="G17050" i="1"/>
  <c r="G17051" i="1"/>
  <c r="G17052" i="1"/>
  <c r="G17053" i="1"/>
  <c r="G17054" i="1"/>
  <c r="G3868" i="2"/>
  <c r="G17048" i="1"/>
  <c r="E17047" i="1"/>
  <c r="G17046" i="1"/>
  <c r="G17045" i="1"/>
  <c r="G17044" i="1"/>
  <c r="G17043" i="1"/>
  <c r="G17042" i="1"/>
  <c r="G17041" i="1"/>
  <c r="G17047" i="1" l="1"/>
  <c r="E17049" i="1"/>
  <c r="G17049" i="1" s="1"/>
  <c r="B10" i="3" l="1"/>
  <c r="G17037" i="1"/>
  <c r="G17038" i="1"/>
  <c r="G17039" i="1"/>
  <c r="G17040" i="1"/>
  <c r="G3849" i="2"/>
  <c r="G3867" i="2"/>
  <c r="G3866" i="2"/>
  <c r="G3865" i="2"/>
  <c r="G3863" i="2"/>
  <c r="G3862" i="2"/>
  <c r="G17322" i="1"/>
  <c r="G3858" i="2"/>
  <c r="G3859" i="2"/>
  <c r="G3860" i="2"/>
  <c r="G3861" i="2"/>
  <c r="G3857" i="2"/>
  <c r="G3812" i="2"/>
  <c r="G3573" i="2"/>
  <c r="G3572"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8" i="2" l="1"/>
  <c r="E42" i="33"/>
  <c r="G16516" i="1"/>
  <c r="G17320" i="1"/>
  <c r="G16959" i="1"/>
  <c r="G3844" i="2"/>
  <c r="G16968" i="1"/>
  <c r="G16965" i="1"/>
  <c r="G16966" i="1"/>
  <c r="G16967" i="1"/>
  <c r="G16964" i="1"/>
  <c r="G16952" i="1"/>
  <c r="G16953" i="1"/>
  <c r="G16954" i="1"/>
  <c r="G16955" i="1"/>
  <c r="G16956" i="1"/>
  <c r="G16957" i="1"/>
  <c r="G16958" i="1"/>
  <c r="G16960" i="1"/>
  <c r="G16961" i="1"/>
  <c r="G16962" i="1"/>
  <c r="G16963" i="1"/>
  <c r="F3828" i="2"/>
  <c r="G3830" i="2"/>
  <c r="G16947" i="1" l="1"/>
  <c r="G16948" i="1"/>
  <c r="G16949" i="1"/>
  <c r="G16950" i="1"/>
  <c r="G3841" i="2"/>
  <c r="G3840" i="2"/>
  <c r="G3834" i="2"/>
  <c r="G3833" i="2"/>
  <c r="G3832" i="2"/>
  <c r="G3831" i="2"/>
  <c r="G3829" i="2"/>
  <c r="G16875" i="1"/>
  <c r="G16876" i="1"/>
  <c r="G16877" i="1"/>
  <c r="G3837" i="2"/>
  <c r="G3828" i="2"/>
  <c r="G3827" i="2"/>
  <c r="G3826" i="2"/>
  <c r="G3838" i="2"/>
  <c r="G3824" i="2"/>
  <c r="G3823" i="2"/>
  <c r="G3808" i="2"/>
  <c r="G3843" i="2"/>
  <c r="G3839" i="2"/>
  <c r="G16951" i="1"/>
  <c r="G16946" i="1"/>
  <c r="G16941" i="1"/>
  <c r="G16942" i="1"/>
  <c r="G16943" i="1"/>
  <c r="G16944" i="1"/>
  <c r="G16945" i="1"/>
  <c r="G3842"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4" i="2"/>
  <c r="G3743" i="2"/>
  <c r="G3767" i="2"/>
  <c r="G3766" i="2"/>
  <c r="G3758" i="2"/>
  <c r="G3757" i="2"/>
  <c r="G16857" i="1"/>
  <c r="G16852" i="1"/>
  <c r="G16853" i="1"/>
  <c r="G16854" i="1"/>
  <c r="G16855" i="1"/>
  <c r="G16856" i="1"/>
  <c r="G3815" i="2"/>
  <c r="G3816" i="2"/>
  <c r="G3817" i="2"/>
  <c r="G3818" i="2"/>
  <c r="G3819" i="2"/>
  <c r="G16773" i="1"/>
  <c r="G16912" i="1"/>
  <c r="G16879" i="1"/>
  <c r="G16880" i="1"/>
  <c r="G16881" i="1"/>
  <c r="G16882" i="1"/>
  <c r="G16878" i="1"/>
  <c r="G3825" i="2"/>
  <c r="G16874" i="1"/>
  <c r="G16873" i="1" l="1"/>
  <c r="G16872" i="1"/>
  <c r="G16866" i="1"/>
  <c r="G16867" i="1"/>
  <c r="G16868" i="1"/>
  <c r="G16869" i="1"/>
  <c r="G16870" i="1"/>
  <c r="G16871" i="1"/>
  <c r="G16865" i="1"/>
  <c r="G16858" i="1" l="1"/>
  <c r="G16859" i="1"/>
  <c r="G16860" i="1"/>
  <c r="G16861" i="1"/>
  <c r="G16862" i="1"/>
  <c r="G3822" i="2"/>
  <c r="G3821" i="2"/>
  <c r="G16929" i="1" l="1"/>
  <c r="G3780" i="2"/>
  <c r="G3781" i="2"/>
  <c r="G3782" i="2"/>
  <c r="G3778" i="2"/>
  <c r="G3775" i="2"/>
  <c r="G3779" i="2"/>
  <c r="G3765" i="2"/>
  <c r="G3761" i="2"/>
  <c r="G3760" i="2"/>
  <c r="G3810" i="2"/>
  <c r="G3802" i="2"/>
  <c r="G3809" i="2"/>
  <c r="G3764" i="2"/>
  <c r="G3692" i="2"/>
  <c r="G16863" i="1" l="1"/>
  <c r="G16864" i="1"/>
  <c r="G3820" i="2"/>
  <c r="G3814"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3" i="2"/>
  <c r="G16775" i="1"/>
  <c r="G16774" i="1"/>
  <c r="G16772" i="1"/>
  <c r="G16757" i="1"/>
  <c r="G3807" i="2"/>
  <c r="G16756" i="1"/>
  <c r="G16755" i="1"/>
  <c r="G16754" i="1"/>
  <c r="G3806" i="2"/>
  <c r="G3805" i="2"/>
  <c r="G3804" i="2"/>
  <c r="G16753" i="1"/>
  <c r="G16752" i="1"/>
  <c r="G3769" i="2"/>
  <c r="G3772" i="2"/>
  <c r="G3771" i="2"/>
  <c r="G3770" i="2"/>
  <c r="G3768" i="2"/>
  <c r="G3763" i="2"/>
  <c r="G3762" i="2"/>
  <c r="G3803" i="2"/>
  <c r="G16770" i="1"/>
  <c r="G16758" i="1"/>
  <c r="G16759" i="1"/>
  <c r="G16760" i="1"/>
  <c r="G16761" i="1"/>
  <c r="G16762" i="1"/>
  <c r="G16763" i="1"/>
  <c r="G16764" i="1"/>
  <c r="G16765" i="1"/>
  <c r="G16766" i="1"/>
  <c r="G16767" i="1"/>
  <c r="G16768" i="1"/>
  <c r="G16769" i="1"/>
  <c r="G16928" i="1"/>
  <c r="G16751" i="1"/>
  <c r="G16750" i="1"/>
  <c r="G16749" i="1"/>
  <c r="G16748" i="1"/>
  <c r="G3798" i="2"/>
  <c r="G3799" i="2"/>
  <c r="G3800" i="2"/>
  <c r="G3801" i="2"/>
  <c r="G16735" i="1"/>
  <c r="G16736" i="1"/>
  <c r="G16737" i="1"/>
  <c r="G16738" i="1"/>
  <c r="G16739" i="1"/>
  <c r="G16740" i="1"/>
  <c r="G16741" i="1"/>
  <c r="G16742" i="1"/>
  <c r="G16743" i="1"/>
  <c r="G16744" i="1"/>
  <c r="G3789" i="2"/>
  <c r="G3790" i="2"/>
  <c r="G3791" i="2"/>
  <c r="G3792" i="2"/>
  <c r="G3793" i="2"/>
  <c r="G3794" i="2"/>
  <c r="G3795" i="2"/>
  <c r="G3796" i="2"/>
  <c r="G3797" i="2"/>
  <c r="G3759" i="2"/>
  <c r="G16734" i="1"/>
  <c r="G16733" i="1" l="1"/>
  <c r="G3777" i="2"/>
  <c r="G3774" i="2"/>
  <c r="G16732" i="1"/>
  <c r="G16715" i="1"/>
  <c r="G16731" i="1"/>
  <c r="G3773"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3" i="2"/>
  <c r="G3754" i="2"/>
  <c r="G16689" i="1" l="1"/>
  <c r="G16688" i="1"/>
  <c r="G16687" i="1"/>
  <c r="G16686" i="1"/>
  <c r="G16349" i="1" l="1"/>
  <c r="G16911" i="1"/>
  <c r="G16910" i="1"/>
  <c r="G16691" i="1"/>
  <c r="G16631" i="1"/>
  <c r="G16909" i="1"/>
  <c r="G16690" i="1"/>
  <c r="G16685" i="1"/>
  <c r="G16662" i="1"/>
  <c r="G3756" i="2"/>
  <c r="G3755"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1" i="2"/>
  <c r="G3750" i="2"/>
  <c r="G3749" i="2"/>
  <c r="G3748"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7" i="2" l="1"/>
  <c r="G3729" i="2"/>
  <c r="G3694" i="2"/>
  <c r="G3678" i="2"/>
  <c r="G3647" i="2"/>
  <c r="G3752" i="2"/>
  <c r="G3742" i="2"/>
  <c r="G3738" i="2"/>
  <c r="G3737" i="2"/>
  <c r="G3734" i="2"/>
  <c r="G3739" i="2"/>
  <c r="G373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6" i="2" l="1"/>
  <c r="G16586" i="1"/>
  <c r="G3741" i="2"/>
  <c r="G3745" i="2"/>
  <c r="G3728" i="2"/>
  <c r="G3724" i="2"/>
  <c r="G3723" i="2"/>
  <c r="G371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0"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2" i="2" l="1"/>
  <c r="G3731" i="2"/>
  <c r="G373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7" i="2"/>
  <c r="G3716" i="2"/>
  <c r="G3708" i="2"/>
  <c r="G3707" i="2"/>
  <c r="G3727" i="2"/>
  <c r="G3691" i="2"/>
  <c r="G3690" i="2"/>
  <c r="G3697" i="2"/>
  <c r="G3713" i="2"/>
  <c r="G3726" i="2"/>
  <c r="G3715" i="2"/>
  <c r="G3714" i="2"/>
  <c r="G3677" i="2"/>
  <c r="G3725" i="2"/>
  <c r="G3712" i="2"/>
  <c r="G3711" i="2"/>
  <c r="G3710" i="2"/>
  <c r="G3709" i="2"/>
  <c r="G3696" i="2"/>
  <c r="G3683" i="2"/>
  <c r="G3682" i="2"/>
  <c r="G3681" i="2"/>
  <c r="G3680" i="2"/>
  <c r="G3679" i="2"/>
  <c r="G16442" i="1" l="1"/>
  <c r="G16441" i="1"/>
  <c r="G16440" i="1"/>
  <c r="G16434" i="1"/>
  <c r="G16433" i="1"/>
  <c r="G3722" i="2"/>
  <c r="G16500" i="1"/>
  <c r="G3721" i="2"/>
  <c r="G3720" i="2"/>
  <c r="G3719"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6" i="2"/>
  <c r="G3705" i="2"/>
  <c r="G3704" i="2"/>
  <c r="G16366" i="1"/>
  <c r="G16367" i="1"/>
  <c r="G16368" i="1"/>
  <c r="G16369" i="1"/>
  <c r="G16370" i="1"/>
  <c r="G16371" i="1"/>
  <c r="G16372" i="1"/>
  <c r="G16284" i="1"/>
  <c r="G16518" i="1"/>
  <c r="G16517" i="1"/>
  <c r="T9" i="30"/>
  <c r="G16492" i="1" l="1"/>
  <c r="G16487" i="1"/>
  <c r="G16488" i="1"/>
  <c r="G16489" i="1"/>
  <c r="G16490" i="1"/>
  <c r="G16491" i="1"/>
  <c r="G3703" i="2"/>
  <c r="G3698" i="2"/>
  <c r="G3699" i="2"/>
  <c r="G3700" i="2"/>
  <c r="G3701" i="2"/>
  <c r="G3702" i="2"/>
  <c r="G16486" i="1"/>
  <c r="G16485" i="1"/>
  <c r="G369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1" i="2" l="1"/>
  <c r="G3670" i="2"/>
  <c r="G16331" i="1"/>
  <c r="G16332" i="1"/>
  <c r="G16333" i="1"/>
  <c r="G16334" i="1"/>
  <c r="G16335" i="1"/>
  <c r="G3689" i="2"/>
  <c r="G3688" i="2"/>
  <c r="G3687" i="2"/>
  <c r="G3686" i="2"/>
  <c r="G3685" i="2"/>
  <c r="G3684" i="2"/>
  <c r="G16338" i="1"/>
  <c r="G16339" i="1"/>
  <c r="G16340" i="1"/>
  <c r="G16341" i="1"/>
  <c r="G16342" i="1"/>
  <c r="G16343" i="1"/>
  <c r="G16344" i="1"/>
  <c r="G3645" i="2"/>
  <c r="G16482" i="1"/>
  <c r="G16481" i="1"/>
  <c r="G16480" i="1"/>
  <c r="G3667" i="2"/>
  <c r="G3669" i="2"/>
  <c r="G3668" i="2"/>
  <c r="G3592" i="2"/>
  <c r="G3591" i="2"/>
  <c r="G3672" i="2" l="1"/>
  <c r="G3662" i="2"/>
  <c r="G3661" i="2"/>
  <c r="G3644" i="2" l="1"/>
  <c r="G3673" i="2"/>
  <c r="G3674" i="2"/>
  <c r="G3675" i="2"/>
  <c r="G3676" i="2"/>
  <c r="F17" i="32" s="1"/>
  <c r="G17" i="32" s="1"/>
  <c r="H17" i="32" s="1"/>
  <c r="I17" i="32" s="1"/>
  <c r="J17" i="32" s="1"/>
  <c r="K17" i="32" s="1"/>
  <c r="G3646" i="2"/>
  <c r="G3642" i="2"/>
  <c r="G3641"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59" i="2"/>
  <c r="G3658" i="2"/>
  <c r="G3634" i="2"/>
  <c r="G3622" i="2"/>
  <c r="G16479" i="1"/>
  <c r="G3666" i="2"/>
  <c r="F7" i="32" s="1"/>
  <c r="G7" i="32" s="1"/>
  <c r="H7" i="32" s="1"/>
  <c r="I7" i="32" s="1"/>
  <c r="J7" i="32" s="1"/>
  <c r="K7" i="32" s="1"/>
  <c r="L7" i="32" s="1"/>
  <c r="M7" i="32" s="1"/>
  <c r="N7" i="32" s="1"/>
  <c r="O7" i="32" s="1"/>
  <c r="P7" i="32" s="1"/>
  <c r="Q7" i="32" s="1"/>
  <c r="G3665" i="2"/>
  <c r="G3664" i="2"/>
  <c r="G3663" i="2"/>
  <c r="G3660" i="2"/>
  <c r="G3620" i="2"/>
  <c r="G3606"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2" i="2"/>
  <c r="G3653" i="2"/>
  <c r="G3654" i="2"/>
  <c r="G3655" i="2"/>
  <c r="G3656" i="2"/>
  <c r="G365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1" i="2"/>
  <c r="G16471" i="1"/>
  <c r="G16470" i="1"/>
  <c r="G3650" i="2"/>
  <c r="G3649" i="2"/>
  <c r="G3648" i="2"/>
  <c r="G16468" i="1"/>
  <c r="G15723" i="1"/>
  <c r="G15724" i="1"/>
  <c r="G15725" i="1"/>
  <c r="G15726" i="1"/>
  <c r="G15727" i="1"/>
  <c r="G15721" i="1"/>
  <c r="G16469" i="1" l="1"/>
  <c r="G16505" i="1"/>
  <c r="G3639"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3" i="2"/>
  <c r="G16463" i="1"/>
  <c r="G3624" i="2"/>
  <c r="G3640"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8" i="2"/>
  <c r="G3637" i="2"/>
  <c r="G3632" i="2"/>
  <c r="G3631" i="2"/>
  <c r="G3630" i="2"/>
  <c r="G3629" i="2"/>
  <c r="G3628" i="2"/>
  <c r="G3636" i="2"/>
  <c r="G3626" i="2"/>
  <c r="G3633" i="2"/>
  <c r="G3625" i="2"/>
  <c r="G3559" i="2"/>
  <c r="G3510" i="2"/>
  <c r="G3635" i="2" l="1"/>
  <c r="G3627" i="2"/>
  <c r="G3611" i="2"/>
  <c r="G3587" i="2"/>
  <c r="G3571"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3" i="2"/>
  <c r="G3619" i="2"/>
  <c r="G3618" i="2"/>
  <c r="G3617" i="2"/>
  <c r="G3616" i="2"/>
  <c r="G3615" i="2"/>
  <c r="G16073" i="1"/>
  <c r="G3614" i="2"/>
  <c r="G3613" i="2"/>
  <c r="G3612"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0"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09" i="2"/>
  <c r="G3605" i="2"/>
  <c r="G3593" i="2"/>
  <c r="G3586" i="2"/>
  <c r="G3608"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4" i="2"/>
  <c r="G3603" i="2"/>
  <c r="G3602" i="2"/>
  <c r="G3601" i="2"/>
  <c r="G3600" i="2"/>
  <c r="G3599" i="2"/>
  <c r="G3598" i="2"/>
  <c r="G3607" i="2"/>
  <c r="G15915" i="1"/>
  <c r="G15916" i="1"/>
  <c r="G15917" i="1"/>
  <c r="G15919" i="1"/>
  <c r="G15920" i="1"/>
  <c r="G15921" i="1"/>
  <c r="G15922" i="1"/>
  <c r="G15923" i="1"/>
  <c r="G15924" i="1"/>
  <c r="G15925" i="1"/>
  <c r="G15926" i="1"/>
  <c r="G15927" i="1"/>
  <c r="G15928" i="1"/>
  <c r="G15929" i="1"/>
  <c r="G15930" i="1"/>
  <c r="G3577" i="2"/>
  <c r="G3576" i="2"/>
  <c r="G3575" i="2"/>
  <c r="G3597" i="2" l="1"/>
  <c r="G3596" i="2"/>
  <c r="G3595" i="2"/>
  <c r="G3594" i="2"/>
  <c r="G3590" i="2"/>
  <c r="G3589" i="2"/>
  <c r="G3588" i="2"/>
  <c r="G3585" i="2"/>
  <c r="G3584"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3" i="2"/>
  <c r="G3582" i="2"/>
  <c r="G3581"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0" i="2"/>
  <c r="G3579" i="2"/>
  <c r="G3578" i="2"/>
  <c r="G15800" i="1"/>
  <c r="G15799" i="1"/>
  <c r="G16072" i="1"/>
  <c r="G16071" i="1"/>
  <c r="G3566" i="2" l="1"/>
  <c r="G15621" i="1"/>
  <c r="G3507" i="2"/>
  <c r="F3508" i="2"/>
  <c r="G3544" i="2"/>
  <c r="G3568" i="2"/>
  <c r="G3567" i="2"/>
  <c r="G3553" i="2"/>
  <c r="G3534" i="2"/>
  <c r="G3545" i="2"/>
  <c r="G3499" i="2"/>
  <c r="G3484" i="2"/>
  <c r="G3475" i="2"/>
  <c r="G3471" i="2"/>
  <c r="G3446" i="2"/>
  <c r="G3429" i="2"/>
  <c r="G3425"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5" i="2"/>
  <c r="G3550" i="2"/>
  <c r="G16070" i="1"/>
  <c r="D109" i="28"/>
  <c r="N79" i="28"/>
  <c r="I79" i="28"/>
  <c r="D79" i="28"/>
  <c r="N139" i="28"/>
  <c r="M28" i="31"/>
  <c r="D139" i="28"/>
  <c r="G16069" i="1"/>
  <c r="G3570" i="2"/>
  <c r="G3569" i="2"/>
  <c r="G3564" i="2"/>
  <c r="G3563" i="2"/>
  <c r="G3562" i="2"/>
  <c r="G3543" i="2"/>
  <c r="G3535" i="2"/>
  <c r="G3533"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8" i="2"/>
  <c r="G3557" i="2"/>
  <c r="G3556" i="2"/>
  <c r="G3555" i="2"/>
  <c r="G3554" i="2"/>
  <c r="G16042" i="1"/>
  <c r="G15543" i="1"/>
  <c r="G15542" i="1"/>
  <c r="G3541" i="2"/>
  <c r="G3540" i="2"/>
  <c r="G15267" i="1"/>
  <c r="G15268" i="1"/>
  <c r="G15269" i="1"/>
  <c r="G15270" i="1"/>
  <c r="G15271" i="1"/>
  <c r="G15286" i="1"/>
  <c r="G15287" i="1"/>
  <c r="G3552" i="2"/>
  <c r="G3551" i="2"/>
  <c r="G3549" i="2"/>
  <c r="G15466" i="1"/>
  <c r="G3548" i="2"/>
  <c r="G3547" i="2"/>
  <c r="G3444" i="2"/>
  <c r="G3443" i="2"/>
  <c r="G3442" i="2"/>
  <c r="G3441" i="2"/>
  <c r="G3440" i="2"/>
  <c r="G3439" i="2"/>
  <c r="G3438" i="2"/>
  <c r="G3266" i="2"/>
  <c r="G3437" i="2"/>
  <c r="C18" i="3"/>
  <c r="C17" i="3"/>
  <c r="C16" i="3"/>
  <c r="C15" i="3"/>
  <c r="C14" i="3"/>
  <c r="C13" i="3"/>
  <c r="B92" i="23"/>
  <c r="G15609" i="1"/>
  <c r="G15608" i="1"/>
  <c r="G15607" i="1"/>
  <c r="G15606" i="1"/>
  <c r="G15605" i="1"/>
  <c r="G15587" i="1"/>
  <c r="G3546"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2"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3" i="2"/>
  <c r="G3498" i="2"/>
  <c r="G3480" i="2"/>
  <c r="G3515" i="2"/>
  <c r="G3514" i="2"/>
  <c r="G3502" i="2"/>
  <c r="G3539" i="2"/>
  <c r="G3538" i="2"/>
  <c r="G3537" i="2"/>
  <c r="G3536" i="2"/>
  <c r="G3474" i="2"/>
  <c r="G3512" i="2"/>
  <c r="G3511" i="2"/>
  <c r="G3501" i="2"/>
  <c r="G3500" i="2"/>
  <c r="G15633" i="1"/>
  <c r="G15632" i="1"/>
  <c r="G15631" i="1"/>
  <c r="G3522" i="2"/>
  <c r="G3521" i="2"/>
  <c r="G3520" i="2"/>
  <c r="G3518" i="2"/>
  <c r="G3517" i="2"/>
  <c r="G3516" i="2"/>
  <c r="G15647" i="1"/>
  <c r="G15441" i="1"/>
  <c r="G15496" i="1" l="1"/>
  <c r="G15636" i="1"/>
  <c r="G3430" i="2" l="1"/>
  <c r="G3509"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5" i="2"/>
  <c r="G3526" i="2"/>
  <c r="G3527" i="2"/>
  <c r="G3528" i="2"/>
  <c r="G3529" i="2"/>
  <c r="G3530" i="2"/>
  <c r="G3531" i="2"/>
  <c r="F3532" i="2"/>
  <c r="G3532" i="2" s="1"/>
  <c r="G15622" i="1"/>
  <c r="G15620" i="1"/>
  <c r="G15619" i="1"/>
  <c r="G3508" i="2"/>
  <c r="G3506" i="2"/>
  <c r="G3505" i="2"/>
  <c r="G15618" i="1"/>
  <c r="G15617" i="1"/>
  <c r="G3513" i="2"/>
  <c r="G3504" i="2"/>
  <c r="G3433"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4" i="2"/>
  <c r="G3523"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6" i="2"/>
  <c r="G3458" i="2"/>
  <c r="G3426" i="2"/>
  <c r="F3355" i="2"/>
  <c r="G3457" i="2"/>
  <c r="G3456" i="2"/>
  <c r="G3455" i="2"/>
  <c r="G3454" i="2"/>
  <c r="G3415" i="2"/>
  <c r="G3453" i="2"/>
  <c r="G3452" i="2"/>
  <c r="G15648" i="1"/>
  <c r="G14890" i="1" l="1"/>
  <c r="G15644" i="1"/>
  <c r="G14908" i="1"/>
  <c r="G14889" i="1"/>
  <c r="G14888" i="1"/>
  <c r="G14887" i="1"/>
  <c r="G14891" i="1"/>
  <c r="G15639" i="1"/>
  <c r="G15616" i="1"/>
  <c r="G3497"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5" i="2"/>
  <c r="G3494" i="2"/>
  <c r="G3493" i="2"/>
  <c r="G3492" i="2"/>
  <c r="G3486" i="2"/>
  <c r="G3485" i="2"/>
  <c r="G3483" i="2"/>
  <c r="G3479" i="2"/>
  <c r="G3478" i="2"/>
  <c r="G3477" i="2"/>
  <c r="G3476" i="2"/>
  <c r="G3473" i="2"/>
  <c r="G3472" i="2"/>
  <c r="G3465" i="2"/>
  <c r="G3451"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7" i="2"/>
  <c r="G3488" i="2"/>
  <c r="G3489" i="2"/>
  <c r="G3490" i="2"/>
  <c r="G3491" i="2"/>
  <c r="G15387" i="1"/>
  <c r="G15638" i="1"/>
  <c r="G15386" i="1"/>
  <c r="G15385" i="1"/>
  <c r="G15376" i="1"/>
  <c r="G15377" i="1"/>
  <c r="G15378" i="1"/>
  <c r="G15379" i="1"/>
  <c r="G15380" i="1"/>
  <c r="G15381" i="1"/>
  <c r="G15382" i="1"/>
  <c r="G15383" i="1"/>
  <c r="G15384" i="1"/>
  <c r="G3482"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1"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0" i="2"/>
  <c r="G15244" i="1"/>
  <c r="G3464" i="2"/>
  <c r="G3463" i="2"/>
  <c r="G3434" i="2"/>
  <c r="G3424" i="2"/>
  <c r="G3412" i="2"/>
  <c r="G3462" i="2"/>
  <c r="G3461" i="2"/>
  <c r="G3469" i="2"/>
  <c r="G3450" i="2"/>
  <c r="G3449" i="2"/>
  <c r="G3423" i="2"/>
  <c r="G3416" i="2"/>
  <c r="G3468" i="2"/>
  <c r="G3467" i="2"/>
  <c r="G3466" i="2"/>
  <c r="G3431" i="2" l="1"/>
  <c r="G3428" i="2"/>
  <c r="G3427" i="2"/>
  <c r="G3422" i="2"/>
  <c r="G3421" i="2"/>
  <c r="G15114" i="1"/>
  <c r="G15113" i="1"/>
  <c r="G3460" i="2"/>
  <c r="G15243" i="1"/>
  <c r="G3459" i="2"/>
  <c r="G15242" i="1"/>
  <c r="G15241" i="1"/>
  <c r="G3448" i="2"/>
  <c r="G3447" i="2"/>
  <c r="G15240" i="1"/>
  <c r="G15239" i="1"/>
  <c r="G3445" i="2" l="1"/>
  <c r="G3436" i="2"/>
  <c r="G15266" i="1"/>
  <c r="G15265" i="1"/>
  <c r="G15264" i="1"/>
  <c r="G15263" i="1"/>
  <c r="G15262" i="1"/>
  <c r="G15012" i="1"/>
  <c r="F15261" i="1"/>
  <c r="G17" i="3" s="1"/>
  <c r="G15260" i="1"/>
  <c r="G3432"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0" i="2"/>
  <c r="G3419" i="2"/>
  <c r="G3418" i="2"/>
  <c r="G3417"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4" i="2" l="1"/>
  <c r="G3413"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1"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<sst xmlns="http://schemas.openxmlformats.org/spreadsheetml/2006/main" count="82252" uniqueCount="12090">
  <si>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</si>
  <si>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</si>
  <si>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</si>
  <si>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</si>
  <si>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</si>
  <si>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</si>
  <si>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</si>
  <si>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</si>
  <si>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</si>
  <si>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</si>
  <si>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</si>
  <si>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</si>
  <si>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</si>
  <si>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</si>
  <si>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</si>
  <si>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</si>
  <si>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</si>
  <si>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</si>
  <si>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</si>
  <si>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</si>
  <si>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</si>
  <si>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</si>
  <si>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</si>
  <si>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</si>
  <si>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</si>
  <si>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</si>
  <si>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</si>
  <si>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</si>
  <si>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</si>
  <si>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</si>
  <si>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</si>
  <si>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</si>
  <si>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</si>
  <si>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</si>
  <si>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</si>
  <si>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</si>
  <si>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</si>
  <si>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</si>
  <si>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</si>
  <si>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</si>
  <si>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</si>
  <si>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</si>
  <si>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</si>
  <si>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</si>
  <si>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</si>
  <si>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</si>
  <si>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</si>
  <si>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</si>
  <si>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</si>
  <si>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</si>
  <si>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</si>
  <si>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</si>
  <si>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</si>
  <si>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</si>
  <si>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</si>
  <si>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</si>
  <si>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</si>
  <si>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</si>
  <si>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</si>
  <si>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</si>
  <si>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</si>
  <si>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</si>
  <si>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</si>
  <si>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</si>
  <si>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</si>
  <si>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</si>
  <si>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</si>
  <si>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</si>
  <si>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</si>
  <si>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</si>
  <si>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</si>
  <si>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</si>
  <si>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</si>
  <si>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</si>
  <si>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</si>
  <si>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</si>
  <si>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</si>
  <si>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</si>
  <si>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</si>
  <si>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</si>
  <si>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</si>
  <si>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</si>
  <si>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</si>
  <si>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</si>
  <si>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</si>
  <si>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</si>
  <si>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</si>
  <si>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</si>
  <si>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</si>
  <si>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</si>
  <si>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</si>
  <si>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</si>
  <si>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</si>
  <si>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</si>
  <si>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</si>
  <si>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</si>
  <si>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</si>
  <si>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</si>
  <si>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</si>
  <si>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</si>
  <si>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</si>
  <si>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</si>
  <si>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</si>
  <si>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</si>
  <si>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</si>
  <si>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</si>
  <si>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</si>
  <si>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</si>
  <si>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</si>
  <si>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</si>
  <si>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</si>
  <si>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</si>
  <si>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</si>
  <si>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</si>
  <si>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</si>
  <si>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</si>
  <si>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</si>
  <si>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</si>
  <si>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</si>
  <si>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</si>
  <si>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</si>
  <si>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</si>
  <si>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</si>
  <si>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</si>
  <si>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</si>
  <si>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</si>
  <si>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</si>
  <si>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</si>
  <si>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</si>
  <si>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</si>
  <si>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</si>
  <si>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</si>
  <si>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</si>
  <si>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</si>
  <si>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</si>
  <si>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</si>
  <si>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</si>
  <si>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</si>
  <si>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</si>
  <si>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</si>
  <si>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</si>
  <si>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</si>
  <si>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</si>
  <si>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</si>
  <si>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</si>
  <si>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</si>
  <si>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</si>
  <si>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</si>
  <si>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</si>
  <si>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</si>
  <si>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</si>
  <si>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</si>
  <si>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</si>
  <si>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</si>
  <si>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</si>
  <si>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</si>
  <si>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</si>
  <si>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</si>
  <si>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</si>
  <si>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</si>
  <si>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</si>
  <si>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</si>
  <si>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</si>
  <si>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</si>
  <si>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</si>
  <si>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</si>
  <si>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</si>
  <si>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</si>
  <si>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</si>
  <si>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</si>
  <si>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</si>
  <si>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</si>
  <si>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</si>
  <si>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</si>
  <si>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</si>
  <si>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</si>
  <si>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</si>
  <si>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</si>
  <si>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</si>
  <si>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</si>
  <si>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</si>
  <si>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</si>
  <si>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</si>
  <si>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</si>
  <si>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</si>
  <si>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</si>
  <si>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</si>
  <si>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</si>
  <si>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</si>
  <si>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</si>
  <si>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</si>
  <si>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</si>
  <si>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</si>
  <si>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</si>
  <si>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</si>
  <si>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</si>
  <si>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</si>
  <si>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</si>
  <si>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</si>
  <si>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</si>
  <si>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</si>
  <si>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</si>
  <si>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</si>
  <si>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</si>
  <si>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</si>
  <si>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</si>
  <si>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</si>
  <si>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</si>
  <si>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</si>
  <si>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</si>
  <si>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</si>
  <si>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</si>
  <si>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</si>
  <si>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</si>
  <si>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</si>
  <si>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</si>
  <si>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</si>
  <si>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</si>
  <si>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</si>
  <si>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</si>
  <si>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</si>
  <si>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</si>
  <si>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</si>
  <si>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</si>
  <si>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</si>
  <si>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</si>
  <si>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</si>
  <si>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</si>
  <si>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</si>
  <si>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</si>
  <si>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</si>
  <si>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</si>
  <si>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</si>
  <si>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</si>
  <si>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</si>
  <si>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</si>
  <si>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</si>
  <si>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</si>
  <si>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</si>
  <si>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</si>
  <si>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</si>
  <si>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</si>
  <si>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</si>
  <si>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</si>
  <si>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</si>
  <si>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</si>
  <si>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</si>
  <si>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</si>
  <si>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</si>
  <si>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</si>
  <si>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</si>
  <si>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</si>
  <si>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</si>
  <si>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</si>
  <si>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</si>
  <si>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</si>
  <si>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</si>
  <si>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</si>
  <si>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</si>
  <si>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</si>
  <si>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</si>
  <si>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</si>
  <si>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</si>
  <si>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</si>
  <si>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</si>
  <si>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</si>
  <si>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</si>
  <si>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</si>
  <si>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</si>
  <si>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</si>
  <si>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</si>
  <si>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</si>
  <si>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</si>
  <si>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</si>
  <si>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</si>
  <si>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</si>
  <si>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</si>
  <si>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</si>
  <si>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</si>
  <si>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</si>
  <si>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</si>
  <si>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</si>
  <si>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</si>
  <si>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</si>
  <si>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</si>
  <si>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</si>
  <si>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</si>
  <si>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</si>
  <si>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</si>
  <si>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</si>
  <si>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</si>
  <si>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</si>
  <si>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</si>
  <si>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</si>
  <si>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</si>
  <si>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</si>
  <si>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</si>
  <si>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</si>
  <si>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</si>
  <si>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</si>
  <si>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</si>
  <si>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</si>
  <si>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</si>
  <si>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</si>
  <si>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</si>
  <si>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</si>
  <si>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</si>
  <si>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</si>
  <si>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</si>
  <si>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</si>
  <si>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</si>
  <si>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</si>
  <si>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</si>
  <si>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</si>
  <si>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</si>
  <si>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</si>
  <si>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</si>
  <si>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</si>
  <si>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</si>
  <si>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</si>
  <si>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</si>
  <si>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</si>
  <si>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</si>
  <si>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</si>
  <si>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</si>
  <si>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</si>
  <si>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</si>
  <si>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</si>
  <si>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</si>
  <si>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</si>
  <si>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</si>
  <si>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</si>
  <si>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</si>
  <si>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</si>
  <si>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</si>
  <si>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</si>
  <si>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</si>
  <si>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</si>
  <si>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</si>
  <si>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</si>
  <si>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</si>
  <si>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</si>
  <si>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</si>
  <si>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</si>
  <si>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</si>
  <si>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</si>
  <si>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</si>
  <si>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</si>
  <si>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</si>
  <si>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</si>
  <si>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</si>
  <si>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</si>
  <si>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</si>
  <si>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</si>
  <si>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</si>
  <si>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</si>
  <si>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</si>
  <si>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</si>
  <si>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</si>
  <si>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</si>
  <si>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</si>
  <si>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</si>
  <si>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</si>
  <si>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</si>
  <si>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</si>
  <si>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</si>
  <si>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</si>
  <si>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</si>
  <si>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</si>
  <si>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</si>
  <si>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</si>
  <si>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</si>
  <si>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</si>
  <si>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</si>
  <si>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</si>
  <si>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</si>
  <si>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</si>
  <si>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</si>
  <si>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</si>
  <si>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</si>
  <si>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</si>
  <si>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</si>
  <si>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</si>
  <si>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</si>
  <si>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</si>
  <si>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</si>
  <si>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</si>
  <si>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</si>
  <si>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</si>
  <si>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</si>
  <si>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</si>
  <si>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</si>
  <si>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</si>
  <si>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</si>
  <si>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</si>
  <si>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</si>
  <si>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</si>
  <si>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</si>
  <si>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</si>
  <si>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</si>
  <si>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</si>
  <si>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</si>
  <si>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</si>
  <si>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</si>
  <si>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</si>
  <si>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</si>
  <si>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</si>
  <si>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</si>
  <si>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</si>
  <si>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</si>
  <si>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</si>
  <si>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</si>
  <si>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</si>
  <si>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</si>
  <si>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</si>
  <si>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</si>
  <si>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</si>
  <si>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</si>
  <si>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</si>
  <si>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</si>
  <si>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</si>
  <si>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</si>
  <si>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</si>
  <si>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</si>
  <si>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</si>
  <si>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</si>
  <si>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</si>
  <si>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</si>
  <si>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</si>
  <si>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</si>
  <si>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</si>
  <si>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</si>
  <si>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</si>
  <si>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</si>
  <si>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</si>
  <si>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</si>
  <si>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</si>
  <si>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</si>
  <si>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</si>
  <si>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</si>
  <si>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</si>
  <si>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</si>
  <si>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</si>
  <si>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</si>
  <si>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</si>
  <si>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</si>
  <si>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</si>
  <si>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</si>
  <si>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</si>
  <si>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</si>
  <si>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</si>
  <si>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</si>
  <si>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</si>
  <si>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</si>
  <si>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</si>
  <si>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</si>
  <si>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</si>
  <si>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</si>
  <si>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</si>
  <si>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</si>
  <si>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</si>
  <si>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</si>
  <si>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</si>
  <si>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</si>
  <si>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</si>
  <si>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</si>
  <si>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</si>
  <si>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</si>
  <si>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</si>
  <si>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</si>
  <si>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</si>
  <si>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</si>
  <si>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</si>
  <si>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</si>
  <si>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</si>
  <si>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</si>
  <si>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</si>
  <si>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</si>
  <si>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</si>
  <si>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</si>
  <si>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</si>
  <si>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</si>
  <si>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</si>
  <si>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</si>
  <si>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</si>
  <si>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</si>
  <si>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</si>
  <si>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</si>
  <si>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</si>
  <si>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</si>
  <si>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</si>
  <si>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</si>
  <si>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</si>
  <si>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</si>
  <si>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</si>
  <si>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</si>
  <si>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</si>
  <si>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</si>
  <si>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</si>
  <si>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</si>
  <si>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</si>
  <si>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</si>
  <si>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</si>
  <si>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</si>
  <si>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</si>
  <si>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</si>
  <si>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</si>
  <si>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</si>
  <si>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</si>
  <si>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</si>
  <si>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</si>
  <si>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</si>
  <si>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</si>
  <si>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</si>
  <si>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</si>
  <si>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</si>
  <si>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</si>
  <si>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</si>
  <si>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</si>
  <si>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</si>
  <si>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</si>
  <si>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</si>
  <si>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</si>
  <si>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</si>
  <si>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</si>
  <si>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</si>
  <si>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</si>
  <si>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</si>
  <si>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</si>
  <si>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</si>
  <si>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</si>
  <si>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</si>
  <si>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</si>
  <si>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</si>
  <si>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</si>
  <si>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</si>
  <si>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</si>
  <si>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</si>
  <si>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</si>
  <si>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</si>
  <si>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</si>
  <si>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</si>
  <si>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</si>
  <si>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</si>
  <si>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</si>
  <si>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</si>
  <si>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</si>
  <si>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</si>
  <si>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</si>
  <si>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</si>
  <si>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</si>
  <si>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</si>
  <si>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</si>
  <si>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</si>
  <si>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</si>
  <si>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</si>
  <si>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</si>
  <si>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</si>
  <si>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</si>
  <si>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</si>
  <si>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</si>
  <si>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</si>
  <si>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</si>
  <si>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</si>
  <si>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</si>
  <si>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</si>
  <si>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</si>
  <si>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</si>
  <si>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</si>
  <si>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</si>
  <si>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</si>
  <si>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</si>
  <si>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</si>
  <si>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</si>
  <si>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</si>
  <si>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</si>
  <si>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</si>
  <si>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</si>
  <si>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</si>
  <si>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</si>
  <si>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</si>
  <si>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</si>
  <si>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</si>
  <si>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</si>
  <si>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</si>
  <si>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</si>
  <si>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</si>
  <si>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</si>
  <si>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</si>
  <si>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</si>
  <si>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</si>
  <si>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</si>
  <si>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</si>
  <si>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</si>
  <si>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</si>
  <si>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</si>
  <si>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</si>
  <si>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</si>
  <si>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</si>
  <si>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</si>
  <si>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</si>
  <si>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</si>
  <si>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</si>
  <si>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</si>
  <si>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</si>
  <si>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</si>
  <si>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</si>
  <si>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</si>
  <si>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</si>
  <si>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</si>
  <si>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</si>
  <si>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</si>
  <si>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</si>
  <si>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</si>
  <si>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</si>
  <si>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</si>
  <si>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</si>
  <si>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</si>
  <si>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</si>
  <si>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</si>
  <si>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</si>
  <si>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</si>
  <si>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</si>
  <si>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</si>
  <si>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</si>
  <si>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</si>
  <si>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</si>
  <si>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</si>
  <si>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</si>
  <si>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</si>
  <si>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</si>
  <si>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</si>
  <si>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</si>
  <si>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</si>
  <si>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</si>
  <si>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</si>
  <si>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</si>
  <si>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</si>
  <si>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</si>
  <si>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</si>
  <si>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</si>
  <si>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</si>
  <si>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</si>
  <si>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</si>
  <si>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</si>
  <si>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</si>
  <si>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</si>
  <si>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</si>
  <si>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</si>
  <si>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</si>
  <si>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</si>
  <si>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</si>
  <si>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</si>
  <si>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</si>
  <si>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</si>
  <si>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</si>
  <si>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</si>
  <si>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</si>
  <si>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</si>
  <si>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</si>
  <si>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</si>
  <si>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</si>
  <si>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</si>
  <si>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</si>
  <si>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</si>
  <si>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</si>
  <si>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</si>
  <si>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</si>
  <si>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</si>
  <si>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</si>
  <si>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</si>
  <si>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</si>
  <si>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</si>
  <si>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</si>
  <si>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</si>
  <si>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</si>
  <si>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</si>
  <si>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</si>
  <si>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</si>
  <si>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</si>
  <si>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</si>
  <si>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</si>
  <si>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</si>
  <si>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</si>
  <si>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</si>
  <si>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</si>
  <si>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</si>
  <si>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</si>
  <si>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</si>
  <si>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</si>
  <si>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</si>
  <si>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</si>
  <si>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</si>
  <si>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</si>
  <si>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</si>
  <si>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</si>
  <si>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</si>
  <si>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</si>
  <si>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</si>
  <si>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</si>
  <si>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</si>
  <si>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</si>
  <si>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</si>
  <si>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</si>
  <si>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</si>
  <si>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</si>
  <si>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</si>
  <si>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</si>
  <si>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</si>
  <si>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</si>
  <si>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</si>
  <si>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</si>
  <si>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</si>
  <si>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</si>
  <si>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</si>
  <si>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</si>
  <si>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</si>
  <si>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</si>
  <si>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</si>
  <si>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</si>
  <si>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</si>
  <si>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</si>
  <si>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</si>
  <si>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</si>
  <si>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</si>
  <si>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</si>
  <si>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</si>
  <si>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</si>
  <si>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</si>
  <si>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</si>
  <si>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</si>
  <si>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</si>
  <si>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</si>
  <si>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</si>
  <si>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</si>
  <si>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</si>
  <si>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</si>
  <si>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</si>
  <si>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</si>
  <si>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</si>
  <si>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</si>
  <si>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</si>
  <si>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</si>
  <si>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</si>
  <si>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</si>
  <si>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</si>
  <si>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</si>
  <si>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</si>
  <si>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</si>
  <si>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</si>
  <si>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</si>
  <si>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</si>
  <si>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</si>
  <si>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</si>
  <si>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</si>
  <si>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</si>
  <si>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</si>
  <si>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</si>
  <si>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</si>
  <si>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</si>
  <si>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</si>
  <si>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</si>
  <si>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</si>
  <si>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</si>
  <si>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</si>
  <si>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</si>
  <si>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</si>
  <si>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</si>
  <si>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</si>
  <si>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</si>
  <si>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</si>
  <si>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</si>
  <si>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</si>
  <si>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</si>
  <si>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</si>
  <si>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</si>
  <si>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</si>
  <si>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</si>
  <si>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</si>
  <si>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</si>
  <si>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</si>
  <si>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</si>
  <si>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</si>
  <si>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</si>
  <si>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</si>
  <si>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</si>
  <si>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</si>
  <si>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</si>
  <si>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</si>
  <si>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</si>
  <si>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</si>
  <si>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</si>
  <si>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</si>
  <si>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</si>
  <si>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</si>
  <si>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</si>
  <si>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</si>
  <si>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</si>
  <si>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</si>
  <si>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</si>
  <si>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</si>
  <si>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</si>
  <si>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</si>
  <si>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</si>
  <si>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</si>
  <si>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</si>
  <si>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</si>
  <si>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</si>
  <si>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</si>
  <si>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</si>
  <si>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</si>
  <si>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</si>
  <si>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</si>
  <si>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</si>
  <si>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</si>
  <si>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</si>
  <si>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</si>
  <si>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</si>
  <si>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</si>
  <si>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</si>
  <si>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</si>
  <si>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</si>
  <si>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</si>
  <si>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</si>
  <si>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</si>
  <si>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</si>
  <si>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</si>
  <si>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</si>
  <si>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</si>
  <si>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</si>
  <si>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</si>
  <si>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</si>
  <si>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</si>
  <si>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</si>
  <si>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</si>
  <si>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</si>
  <si>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</si>
  <si>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</si>
  <si>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</si>
  <si>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</si>
  <si>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</si>
  <si>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</si>
  <si>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</si>
  <si>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</si>
  <si>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</si>
  <si>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</si>
  <si>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</si>
  <si>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</si>
  <si>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</si>
  <si>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</si>
  <si>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</si>
  <si>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</si>
  <si>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</si>
  <si>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</si>
  <si>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</si>
  <si>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</si>
  <si>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</si>
  <si>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</si>
  <si>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</si>
  <si>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</si>
  <si>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</si>
  <si>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</si>
  <si>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</si>
  <si>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</si>
  <si>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</si>
  <si>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</si>
  <si>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</si>
  <si>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</si>
  <si>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</si>
  <si>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</si>
  <si>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</si>
  <si>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</si>
  <si>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</si>
  <si>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</si>
  <si>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</si>
  <si>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</si>
  <si>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</si>
  <si>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</si>
  <si>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</si>
  <si>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</si>
  <si>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</si>
  <si>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</si>
  <si>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</si>
  <si>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</si>
  <si>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</si>
  <si>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</si>
  <si>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</si>
  <si>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</si>
  <si>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</si>
  <si>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</si>
  <si>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</si>
  <si>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</si>
  <si>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</si>
  <si>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</si>
  <si>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</si>
  <si>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</si>
  <si>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</si>
  <si>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</si>
  <si>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</si>
  <si>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</si>
  <si>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</si>
  <si>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</si>
  <si>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</si>
  <si>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</si>
  <si>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</si>
  <si>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</si>
  <si>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</si>
  <si>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</si>
  <si>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</si>
  <si>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</si>
  <si>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</si>
  <si>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</si>
  <si>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</si>
  <si>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</si>
  <si>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</si>
  <si>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</si>
  <si>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</si>
  <si>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</si>
  <si>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</si>
  <si>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</si>
  <si>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</si>
  <si>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</si>
  <si>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</si>
  <si>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</si>
  <si>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</si>
  <si>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</si>
  <si>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</si>
  <si>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</si>
  <si>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</si>
  <si>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</si>
  <si>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</si>
  <si>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</si>
  <si>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</si>
  <si>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</si>
  <si>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</si>
  <si>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</si>
  <si>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</si>
  <si>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</si>
  <si>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</si>
  <si>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</si>
  <si>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</si>
  <si>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</si>
  <si>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</si>
  <si>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</si>
  <si>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</si>
  <si>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</si>
  <si>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</si>
  <si>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</si>
  <si>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</si>
  <si>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</si>
  <si>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</si>
  <si>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</si>
  <si>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</si>
  <si>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</si>
  <si>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</si>
  <si>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</si>
  <si>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</si>
  <si>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</si>
  <si>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</si>
  <si>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</si>
  <si>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</si>
  <si>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</si>
  <si>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</si>
  <si>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</si>
  <si>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</si>
  <si>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</si>
  <si>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</si>
  <si>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</si>
  <si>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</si>
  <si>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</si>
  <si>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</si>
  <si>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</si>
  <si>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</si>
  <si>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</si>
  <si>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</si>
  <si>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</si>
  <si>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</si>
  <si>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</si>
  <si>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</si>
  <si>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</si>
  <si>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</si>
  <si>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</si>
  <si>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</si>
  <si>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</si>
  <si>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</si>
  <si>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</si>
  <si>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</si>
  <si>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</si>
  <si>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</si>
  <si>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</si>
  <si>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</si>
  <si>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</si>
  <si>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</si>
  <si>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</si>
  <si>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</si>
  <si>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</si>
  <si>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</si>
  <si>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</si>
  <si>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</si>
  <si>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</si>
  <si>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</si>
  <si>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</si>
  <si>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</si>
  <si>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</si>
  <si>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</si>
  <si>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</si>
  <si>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</si>
  <si>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</si>
  <si>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</si>
  <si>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</si>
  <si>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</si>
  <si>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</si>
  <si>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</si>
  <si>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</si>
  <si>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</si>
  <si>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</si>
  <si>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</si>
  <si>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</si>
  <si>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</si>
  <si>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</si>
  <si>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</si>
  <si>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</si>
  <si>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</si>
  <si>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</si>
  <si>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</si>
  <si>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</si>
  <si>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</si>
  <si>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</si>
  <si>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</si>
  <si>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</si>
  <si>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</si>
  <si>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</si>
  <si>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</si>
  <si>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</si>
  <si>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</si>
  <si>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</si>
  <si>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</si>
  <si>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</si>
  <si>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</si>
  <si>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</si>
  <si>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</si>
  <si>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</si>
  <si>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</si>
  <si>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</si>
  <si>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</si>
  <si>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</si>
  <si>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</si>
  <si>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</si>
  <si>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</si>
  <si>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</si>
  <si>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</si>
  <si>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</si>
  <si>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</si>
  <si>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</si>
  <si>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</si>
  <si>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</si>
  <si>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</si>
  <si>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</si>
  <si>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</si>
  <si>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</si>
  <si>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</si>
  <si>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</si>
  <si>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</si>
  <si>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</si>
  <si>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</si>
  <si>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</si>
  <si>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</si>
  <si>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</si>
  <si>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</si>
  <si>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</si>
  <si>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</si>
  <si>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</si>
  <si>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</si>
  <si>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</si>
  <si>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</si>
  <si>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</si>
  <si>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</si>
  <si>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</si>
  <si>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</si>
  <si>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</si>
  <si>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</si>
  <si>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</si>
  <si>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</si>
  <si>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</si>
  <si>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</si>
  <si>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</si>
  <si>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</si>
  <si>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</si>
  <si>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</si>
  <si>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</si>
  <si>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</si>
  <si>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</si>
  <si>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</si>
  <si>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</si>
  <si>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</si>
  <si>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</si>
  <si>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</si>
  <si>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</si>
  <si>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</si>
  <si>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</si>
  <si>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</si>
  <si>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</si>
  <si>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</si>
  <si>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</si>
  <si>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</si>
  <si>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</si>
  <si>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</si>
  <si>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</si>
  <si>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</si>
  <si>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</si>
  <si>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</si>
  <si>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</si>
  <si>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</si>
  <si>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</si>
  <si>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</si>
  <si>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</si>
  <si>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</si>
  <si>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</si>
  <si>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</si>
  <si>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</si>
  <si>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</si>
  <si>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</si>
  <si>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</si>
  <si>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</si>
  <si>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</si>
  <si>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</si>
  <si>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</si>
  <si>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</si>
  <si>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</si>
  <si>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</si>
  <si>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</si>
  <si>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</si>
  <si>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</si>
  <si>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</si>
  <si>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</si>
  <si>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</si>
  <si>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</si>
  <si>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</si>
  <si>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</si>
  <si>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</si>
  <si>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</si>
  <si>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</si>
  <si>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</si>
  <si>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</si>
  <si>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</si>
  <si>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</si>
  <si>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</si>
  <si>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</si>
  <si>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</si>
  <si>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</si>
  <si>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</si>
  <si>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</si>
  <si>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</si>
  <si>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</si>
  <si>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</si>
  <si>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</si>
  <si>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</si>
  <si>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</si>
  <si>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</si>
  <si>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</si>
  <si>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</si>
  <si>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</si>
  <si>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</si>
  <si>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</si>
  <si>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</si>
  <si>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</si>
  <si>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</si>
  <si>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</si>
  <si>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</si>
  <si>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</si>
  <si>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</si>
  <si>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</si>
  <si>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</si>
  <si>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</si>
  <si>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</si>
  <si>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</si>
  <si>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</si>
  <si>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</si>
  <si>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</si>
  <si>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</si>
  <si>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</si>
  <si>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</si>
  <si>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</si>
  <si>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</si>
  <si>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</si>
  <si>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</si>
  <si>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</si>
  <si>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</si>
  <si>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</si>
  <si>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</si>
  <si>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</si>
  <si>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</si>
  <si>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</si>
  <si>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</si>
  <si>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</si>
  <si>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</si>
  <si>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</si>
  <si>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</si>
  <si>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</si>
  <si>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</si>
  <si>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</si>
  <si>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</si>
  <si>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</si>
  <si>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</si>
  <si>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</si>
  <si>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</si>
  <si>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</si>
  <si>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</si>
  <si>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</si>
  <si>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</si>
  <si>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</si>
  <si>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</si>
  <si>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</si>
  <si>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</si>
  <si>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</si>
  <si>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</si>
  <si>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</si>
  <si>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</si>
  <si>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</si>
  <si>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</si>
  <si>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</si>
  <si>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</si>
  <si>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</si>
  <si>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</si>
  <si>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</si>
  <si>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</si>
  <si>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</si>
  <si>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</si>
  <si>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</si>
  <si>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</si>
  <si>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</si>
  <si>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</si>
  <si>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</si>
  <si>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</si>
  <si>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</si>
  <si>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</si>
  <si>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</si>
  <si>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</si>
  <si>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</si>
  <si>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</si>
  <si>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</si>
  <si>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</si>
  <si>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</si>
  <si>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</si>
  <si>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</si>
  <si>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</si>
  <si>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</si>
  <si>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</si>
  <si>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</si>
  <si>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</si>
  <si>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</si>
  <si>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</si>
  <si>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</si>
  <si>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</si>
  <si>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</si>
  <si>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</si>
  <si>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</si>
  <si>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</si>
  <si>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</si>
  <si>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</si>
  <si>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</si>
  <si>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</si>
  <si>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</si>
  <si>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</si>
  <si>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</si>
  <si>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</si>
  <si>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</si>
  <si>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</si>
  <si>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</si>
  <si>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</si>
  <si>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</si>
  <si>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</si>
  <si>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</si>
  <si>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</si>
  <si>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</si>
  <si>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</si>
  <si>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</si>
  <si>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</si>
  <si>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</si>
  <si>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</si>
  <si>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</si>
  <si>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</si>
  <si>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</si>
  <si>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</si>
  <si>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</si>
  <si>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</si>
  <si>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</si>
  <si>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</si>
  <si>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</si>
  <si>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</si>
  <si>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</si>
  <si>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</si>
  <si>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</si>
  <si>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</si>
  <si>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</si>
  <si>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</si>
  <si>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</si>
  <si>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</si>
  <si>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</si>
  <si>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</si>
  <si>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</si>
  <si>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</si>
  <si>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</si>
  <si>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</si>
  <si>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</si>
  <si>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</si>
  <si>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</si>
  <si>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</si>
  <si>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</si>
  <si>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</si>
  <si>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</si>
  <si>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</si>
  <si>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</si>
  <si>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</si>
  <si>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</si>
  <si>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</si>
  <si>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</si>
  <si>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</si>
  <si>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</si>
  <si>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</si>
  <si>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</si>
  <si>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</si>
  <si>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</si>
  <si>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</si>
  <si>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</si>
  <si>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</si>
  <si>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</si>
  <si>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</si>
  <si>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</si>
  <si>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</si>
  <si>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</si>
  <si>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</si>
  <si>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</si>
  <si>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</si>
  <si>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</si>
  <si>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</si>
  <si>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</si>
  <si>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</si>
  <si>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</si>
  <si>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</si>
  <si>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</si>
  <si>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</si>
  <si>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</si>
  <si>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</si>
  <si>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</si>
  <si>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</si>
  <si>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</si>
  <si>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</si>
  <si>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</si>
  <si>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</si>
  <si>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</si>
  <si>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</si>
  <si>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</si>
  <si>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</si>
  <si>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</si>
  <si>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</si>
  <si>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</si>
  <si>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</si>
  <si>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</si>
  <si>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</si>
  <si>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</si>
  <si>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</si>
  <si>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</si>
  <si>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</si>
  <si>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</si>
  <si>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</si>
  <si>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</si>
  <si>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</si>
  <si>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</si>
  <si>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</si>
  <si>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</si>
  <si>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</si>
  <si>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</si>
  <si>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</si>
  <si>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</si>
  <si>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</si>
  <si>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</si>
  <si>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</si>
  <si>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</si>
  <si>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</si>
  <si>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</si>
  <si>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</si>
  <si>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</si>
  <si>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</si>
  <si>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</si>
  <si>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</si>
  <si>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</si>
  <si>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</si>
  <si>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</si>
  <si>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</si>
  <si>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</si>
  <si>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</si>
  <si>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</si>
  <si>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</si>
  <si>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</si>
  <si>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</si>
  <si>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</si>
  <si>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</si>
  <si>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</si>
  <si>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</si>
  <si>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</si>
  <si>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</si>
  <si>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</si>
  <si>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</si>
  <si>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</si>
  <si>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</si>
  <si>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</si>
  <si>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</si>
  <si>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</si>
  <si>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</si>
  <si>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</si>
  <si>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</si>
  <si>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</si>
  <si>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</si>
  <si>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</si>
  <si>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</si>
  <si>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</si>
  <si>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</si>
  <si>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</si>
  <si>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</si>
  <si>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</si>
  <si>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</si>
  <si>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</si>
  <si>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</si>
  <si>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</si>
  <si>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</si>
  <si>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</si>
  <si>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</si>
  <si>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</si>
  <si>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</si>
  <si>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</si>
  <si>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</si>
  <si>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</si>
  <si>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</si>
  <si>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</si>
  <si>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</si>
  <si>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</si>
  <si>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</si>
  <si>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</si>
  <si>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</si>
  <si>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</si>
  <si>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</si>
  <si>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</si>
  <si>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</si>
  <si>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</si>
  <si>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</si>
  <si>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</si>
  <si>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</si>
  <si>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</si>
  <si>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</si>
  <si>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</si>
  <si>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</si>
  <si>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</si>
  <si>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</si>
  <si>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</si>
  <si>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</si>
  <si>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</si>
  <si>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</si>
  <si>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</si>
  <si>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</si>
  <si>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</si>
  <si>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</si>
  <si>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</si>
  <si>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</si>
  <si>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</si>
  <si>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</si>
  <si>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</si>
  <si>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</si>
  <si>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</si>
  <si>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</si>
  <si>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</si>
  <si>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</si>
  <si>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</si>
  <si>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</si>
  <si>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</si>
  <si>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</si>
  <si>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</si>
  <si>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</si>
  <si>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</si>
  <si>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</si>
  <si>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</si>
  <si>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</si>
  <si>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</si>
  <si>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</si>
  <si>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</si>
  <si>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</si>
  <si>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</si>
  <si>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</si>
  <si>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</si>
  <si>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</si>
  <si>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</si>
  <si>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</si>
  <si>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</si>
  <si>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</si>
  <si>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</si>
  <si>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</si>
  <si>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</si>
  <si>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</si>
  <si>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</si>
  <si>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</si>
  <si>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</si>
  <si>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</si>
  <si>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</si>
  <si>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</si>
  <si>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</si>
  <si>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</si>
  <si>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</si>
  <si>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</si>
  <si>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</si>
  <si>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</si>
  <si>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</si>
  <si>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</si>
  <si>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</si>
  <si>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</si>
  <si>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</si>
  <si>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</si>
  <si>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</si>
  <si>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</si>
  <si>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</si>
  <si>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</si>
  <si>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</si>
  <si>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</si>
  <si>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</si>
  <si>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</si>
  <si>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</si>
  <si>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</si>
  <si>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</si>
  <si>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</si>
  <si>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</si>
  <si>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</si>
  <si>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</si>
  <si>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</si>
  <si>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</si>
  <si>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</si>
  <si>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</si>
  <si>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</si>
  <si>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</si>
  <si>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</si>
  <si>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</si>
  <si>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</si>
  <si>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</si>
  <si>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</si>
  <si>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</si>
  <si>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</si>
  <si>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</si>
  <si>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</si>
  <si>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</si>
  <si>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</si>
  <si>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</si>
  <si>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</si>
  <si>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</si>
  <si>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</si>
  <si>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</si>
  <si>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</si>
  <si>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</si>
  <si>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</si>
  <si>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</si>
  <si>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</si>
  <si>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</si>
  <si>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</si>
  <si>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</si>
  <si>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</si>
  <si>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</si>
  <si>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</si>
  <si>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</si>
  <si>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</si>
  <si>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</si>
  <si>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</si>
  <si>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</si>
  <si>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</si>
  <si>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</si>
  <si>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</si>
  <si>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</si>
  <si>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</si>
  <si>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</si>
  <si>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</si>
  <si>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</si>
  <si>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</si>
  <si>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</si>
  <si>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</si>
  <si>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</si>
  <si>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</si>
  <si>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</si>
  <si>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</si>
  <si>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</si>
  <si>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</si>
  <si>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</si>
  <si>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</si>
  <si>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</si>
  <si>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</si>
  <si>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</si>
  <si>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</si>
  <si>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</si>
  <si>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</si>
  <si>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</si>
  <si>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</si>
  <si>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</si>
  <si>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</si>
  <si>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</si>
  <si>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</si>
  <si>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</si>
  <si>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</si>
  <si>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</si>
  <si>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</si>
  <si>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</si>
  <si>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</si>
  <si>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</si>
  <si>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</si>
  <si>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</si>
  <si>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</si>
  <si>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</si>
  <si>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</si>
  <si>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</si>
  <si>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</si>
  <si>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</si>
  <si>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</si>
  <si>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</si>
  <si>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</si>
  <si>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</si>
  <si>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</si>
  <si>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</si>
  <si>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</si>
  <si>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</si>
  <si>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</si>
  <si>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</si>
  <si>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</si>
  <si>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</si>
  <si>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</si>
  <si>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</si>
  <si>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</si>
  <si>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</si>
  <si>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</si>
  <si>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</si>
  <si>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</si>
  <si>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</si>
  <si>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</si>
  <si>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</si>
  <si>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</si>
  <si>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</si>
  <si>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</si>
  <si>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</si>
  <si>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</si>
  <si>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</si>
  <si>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</si>
  <si>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</si>
  <si>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</si>
  <si>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</si>
  <si>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</si>
  <si>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</si>
  <si>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</si>
  <si>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</si>
  <si>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</si>
  <si>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</si>
  <si>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</si>
  <si>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</si>
  <si>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</si>
  <si>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</si>
  <si>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</si>
  <si>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</si>
  <si>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</si>
  <si>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</si>
  <si>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</si>
  <si>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</si>
  <si>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</si>
  <si>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</si>
  <si>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</si>
  <si>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</si>
  <si>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</si>
  <si>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</si>
  <si>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</si>
  <si>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</si>
  <si>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</si>
  <si>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</si>
  <si>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</si>
  <si>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</si>
  <si>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</si>
  <si>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</si>
  <si>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</si>
  <si>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</si>
  <si>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</si>
  <si>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</si>
  <si>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</si>
  <si>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</si>
  <si>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</si>
  <si>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</si>
  <si>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</si>
  <si>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</si>
  <si>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</si>
  <si>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</si>
  <si>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</si>
  <si>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</si>
  <si>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</si>
  <si>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</si>
  <si>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</si>
  <si>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</si>
  <si>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</si>
  <si>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</si>
  <si>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</si>
  <si>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</si>
  <si>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</si>
  <si>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</si>
  <si>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</si>
  <si>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</si>
  <si>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</si>
  <si>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</si>
  <si>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</si>
  <si>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</si>
  <si>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</si>
  <si>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</si>
  <si>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</si>
  <si>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</si>
  <si>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</si>
  <si>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</si>
  <si>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</si>
  <si>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</si>
  <si>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</si>
  <si>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</si>
  <si>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</si>
  <si>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</si>
  <si>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</si>
  <si>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</si>
  <si>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</si>
  <si>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</si>
  <si>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</si>
  <si>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</si>
  <si>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</si>
  <si>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</si>
  <si>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</si>
  <si>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</si>
  <si>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</si>
  <si>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</si>
  <si>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</si>
  <si>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</si>
  <si>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</si>
  <si>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</si>
  <si>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</si>
  <si>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</si>
  <si>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</si>
  <si>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</si>
  <si>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</si>
  <si>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</si>
  <si>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</si>
  <si>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</si>
  <si>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</si>
  <si>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</si>
  <si>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</si>
  <si>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</si>
  <si>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</si>
  <si>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</si>
  <si>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</si>
  <si>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</si>
  <si>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</si>
  <si>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</si>
  <si>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</si>
  <si>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</si>
  <si>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</si>
  <si>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</si>
  <si>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</si>
  <si>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</si>
  <si>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</si>
  <si>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</si>
  <si>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</si>
  <si>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</si>
  <si>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</si>
  <si>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</si>
  <si>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</si>
  <si>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</si>
  <si>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</si>
  <si>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</si>
  <si>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</si>
  <si>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</si>
  <si>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</si>
  <si>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</si>
  <si>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</si>
  <si>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</si>
  <si>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</si>
  <si>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</si>
  <si>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</si>
  <si>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</si>
  <si>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</si>
  <si>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</si>
  <si>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</si>
  <si>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</si>
  <si>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</si>
  <si>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</si>
  <si>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</si>
  <si>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</si>
  <si>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</si>
  <si>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</si>
  <si>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</si>
  <si>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</si>
  <si>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</si>
  <si>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</si>
  <si>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</si>
  <si>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</si>
  <si>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</si>
  <si>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</si>
  <si>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</si>
  <si>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</si>
  <si>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</si>
  <si>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</si>
  <si>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</si>
  <si>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</si>
  <si>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</si>
  <si>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</si>
  <si>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</si>
  <si>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</si>
  <si>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</si>
  <si>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</si>
  <si>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</si>
  <si>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</si>
  <si>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</si>
  <si>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</si>
  <si>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</si>
  <si>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</si>
  <si>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</si>
  <si>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</si>
  <si>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</si>
  <si>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</si>
  <si>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</si>
  <si>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</si>
  <si>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</si>
  <si>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</si>
  <si>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</si>
  <si>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</si>
  <si>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</si>
  <si>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</si>
  <si>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</si>
  <si>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</si>
  <si>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</si>
  <si>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</si>
  <si>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</si>
  <si>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</si>
  <si>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</si>
  <si>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</si>
  <si>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</si>
  <si>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</si>
  <si>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</si>
  <si>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</si>
  <si>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</si>
  <si>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</si>
  <si>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</si>
  <si>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</si>
  <si>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</si>
  <si>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</si>
  <si>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</si>
  <si>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</si>
  <si>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</si>
  <si>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</si>
  <si>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</si>
  <si>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</si>
  <si>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</si>
  <si>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</si>
  <si>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</si>
  <si>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</si>
  <si>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</si>
  <si>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</si>
  <si>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</si>
  <si>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</si>
  <si>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</si>
  <si>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</si>
  <si>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</si>
  <si>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</si>
  <si>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</si>
  <si>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</si>
  <si>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</si>
  <si>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</si>
  <si>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</si>
  <si>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</si>
  <si>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</si>
  <si>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</si>
  <si>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</si>
  <si>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</si>
  <si>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</si>
  <si>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</si>
  <si>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</si>
  <si>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</si>
  <si>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</si>
  <si>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</si>
  <si>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</si>
  <si>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</si>
  <si>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</si>
  <si>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</si>
  <si>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</si>
  <si>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</si>
  <si>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</si>
  <si>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</si>
  <si>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</si>
  <si>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</si>
  <si>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</si>
  <si>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</si>
  <si>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</si>
  <si>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</si>
  <si>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</si>
  <si>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</si>
  <si>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</si>
  <si>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</si>
  <si>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</si>
  <si>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</si>
  <si>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</si>
  <si>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</si>
  <si>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</si>
  <si>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</si>
  <si>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</si>
  <si>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</si>
  <si>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</si>
  <si>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</si>
  <si>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</si>
  <si>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</si>
  <si>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</si>
  <si>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</si>
  <si>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</si>
  <si>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</si>
  <si>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</si>
  <si>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</si>
  <si>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</si>
  <si>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</si>
  <si>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</si>
  <si>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</si>
  <si>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</si>
  <si>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</si>
  <si>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</si>
  <si>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</si>
  <si>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</si>
  <si>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</si>
  <si>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</si>
  <si>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</si>
  <si>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</si>
  <si>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</si>
  <si>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</si>
  <si>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</si>
  <si>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</si>
  <si>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</si>
  <si>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</si>
  <si>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</si>
  <si>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</si>
  <si>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</si>
  <si>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</si>
  <si>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</si>
  <si>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</si>
  <si>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</si>
  <si>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</si>
  <si>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</si>
  <si>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</si>
  <si>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</si>
  <si>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</si>
  <si>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</si>
  <si>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</si>
  <si>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</si>
  <si>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</si>
  <si>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</si>
  <si>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</si>
  <si>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</si>
  <si>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</si>
  <si>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</si>
  <si>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</si>
  <si>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</si>
  <si>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</si>
  <si>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</si>
  <si>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</si>
  <si>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</si>
  <si>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</si>
  <si>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</si>
  <si>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</si>
  <si>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</si>
  <si>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</si>
  <si>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</si>
  <si>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</si>
  <si>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</si>
  <si>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</si>
  <si>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</si>
  <si>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</si>
  <si>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</si>
  <si>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</si>
  <si>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</si>
  <si>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</si>
  <si>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</si>
  <si>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</si>
  <si>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</si>
  <si>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</si>
  <si>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</si>
  <si>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</si>
  <si>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</si>
  <si>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</si>
  <si>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</si>
  <si>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</si>
  <si>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</si>
  <si>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</si>
  <si>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</si>
  <si>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</si>
  <si>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</si>
  <si>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</si>
  <si>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</si>
  <si>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</si>
  <si>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</si>
  <si>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</si>
  <si>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</si>
  <si>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</si>
  <si>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</si>
  <si>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</si>
  <si>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</si>
  <si>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</si>
  <si>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</si>
  <si>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</si>
  <si>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</si>
  <si>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</si>
  <si>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</si>
  <si>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</si>
  <si>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</si>
  <si>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</si>
  <si>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</si>
  <si>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</si>
  <si>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</si>
  <si>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</si>
  <si>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</si>
  <si>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</si>
  <si>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</si>
  <si>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</si>
  <si>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</si>
  <si>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</si>
  <si>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</si>
  <si>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</si>
  <si>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</si>
  <si>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</si>
  <si>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</si>
  <si>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</si>
  <si>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</si>
  <si>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</si>
  <si>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</si>
  <si>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</si>
  <si>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</si>
  <si>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</si>
  <si>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</si>
  <si>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</si>
  <si>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</si>
  <si>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</si>
  <si>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</si>
  <si>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</si>
  <si>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</si>
  <si>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</si>
  <si>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</si>
  <si>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</si>
  <si>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</si>
  <si>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</si>
  <si>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</si>
  <si>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</si>
  <si>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</si>
  <si>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</si>
  <si>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</si>
  <si>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</si>
  <si>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</si>
  <si>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</si>
  <si>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</si>
  <si>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</si>
  <si>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</si>
  <si>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</si>
  <si>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</si>
  <si>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</si>
  <si>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</si>
  <si>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</si>
  <si>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</si>
  <si>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</si>
  <si>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</si>
  <si>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</si>
  <si>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</si>
  <si>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</si>
  <si>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</si>
  <si>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</si>
  <si>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</si>
  <si>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</si>
  <si>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</si>
  <si>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</si>
  <si>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</si>
  <si>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</si>
  <si>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</si>
  <si>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</si>
  <si>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</si>
  <si>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</si>
  <si>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</si>
  <si>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</si>
  <si>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</si>
  <si>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</si>
  <si>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</si>
  <si>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</si>
  <si>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</si>
  <si>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</si>
  <si>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</si>
  <si>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</si>
  <si>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</si>
  <si>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</si>
  <si>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</si>
  <si>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</si>
  <si>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</si>
  <si>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</si>
  <si>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</si>
  <si>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</si>
  <si>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</si>
  <si>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</si>
  <si>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</si>
  <si>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</si>
  <si>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</si>
  <si>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</si>
  <si>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</si>
  <si>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</si>
  <si>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</si>
  <si>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</si>
  <si>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</si>
  <si>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</si>
  <si>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</si>
  <si>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</si>
  <si>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</si>
  <si>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</si>
  <si>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</si>
  <si>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</si>
  <si>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</si>
  <si>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</si>
  <si>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</si>
  <si>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</si>
  <si>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</si>
  <si>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</si>
  <si>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</si>
  <si>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</si>
  <si>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</si>
  <si>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</si>
  <si>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</si>
  <si>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</si>
  <si>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</si>
  <si>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</si>
  <si>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</si>
  <si>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</si>
  <si>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</si>
  <si>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</si>
  <si>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</si>
  <si>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</si>
  <si>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</si>
  <si>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</si>
  <si>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</si>
  <si>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</si>
  <si>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</si>
  <si>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</si>
  <si>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</si>
  <si>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</si>
  <si>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</si>
  <si>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</si>
  <si>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</si>
  <si>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</si>
  <si>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</si>
  <si>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</si>
  <si>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</si>
  <si>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</si>
  <si>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</si>
  <si>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</si>
  <si>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</si>
  <si>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</si>
  <si>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</si>
  <si>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</si>
  <si>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</si>
  <si>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</si>
  <si>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</si>
  <si>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</si>
  <si>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</si>
  <si>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</si>
  <si>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</si>
  <si>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</si>
  <si>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</si>
  <si>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</si>
  <si>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</si>
  <si>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</si>
  <si>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</si>
  <si>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</si>
  <si>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</si>
  <si>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</si>
  <si>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</si>
  <si>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</si>
  <si>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</si>
  <si>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</si>
  <si>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</si>
  <si>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</si>
  <si>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</si>
  <si>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</si>
  <si>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</si>
  <si>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</si>
  <si>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</si>
  <si>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</si>
  <si>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</si>
  <si>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</si>
  <si>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</si>
  <si>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</si>
  <si>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</si>
  <si>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</si>
  <si>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</si>
  <si>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</si>
  <si>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</si>
  <si>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</si>
  <si>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</si>
  <si>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</si>
  <si>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</si>
  <si>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</si>
  <si>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</si>
  <si>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</si>
  <si>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</si>
  <si>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</si>
  <si>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</si>
  <si>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</si>
  <si>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</si>
  <si>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</si>
  <si>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</si>
  <si>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</si>
  <si>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</si>
  <si>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</si>
  <si>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</si>
  <si>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</si>
  <si>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</si>
  <si>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</si>
  <si>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</si>
  <si>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</si>
  <si>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</si>
  <si>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</si>
  <si>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</si>
  <si>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</si>
  <si>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</si>
  <si>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</si>
  <si>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</si>
  <si>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</si>
  <si>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</si>
  <si>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</si>
  <si>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</si>
  <si>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</si>
  <si>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</si>
  <si>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</si>
  <si>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</si>
  <si>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</si>
  <si>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</si>
  <si>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</si>
  <si>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</si>
  <si>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</si>
  <si>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</si>
  <si>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</si>
  <si>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</si>
  <si>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</si>
  <si>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</si>
  <si>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</si>
  <si>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</si>
  <si>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</si>
  <si>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</si>
  <si>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</si>
  <si>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</si>
  <si>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</si>
  <si>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</si>
  <si>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</si>
  <si>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</si>
  <si>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</si>
  <si>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</si>
  <si>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</si>
  <si>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</si>
  <si>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</si>
  <si>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</si>
  <si>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</si>
  <si>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</si>
  <si>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</si>
  <si>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</si>
  <si>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</si>
  <si>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</si>
  <si>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</si>
  <si>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</si>
  <si>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</si>
  <si>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</si>
  <si>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</si>
  <si>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</si>
  <si>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</si>
  <si>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</si>
  <si>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</si>
  <si>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</si>
  <si>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</si>
  <si>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</si>
  <si>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</si>
  <si>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</si>
  <si>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</si>
  <si>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</si>
  <si>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</si>
  <si>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</si>
  <si>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</si>
  <si>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</si>
  <si>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</si>
  <si>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</si>
  <si>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</si>
  <si>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</si>
  <si>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</si>
  <si>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</si>
  <si>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</si>
  <si>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</si>
  <si>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</si>
  <si>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</si>
  <si>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</si>
  <si>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</si>
  <si>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</si>
  <si>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</si>
  <si>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</si>
  <si>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</si>
  <si>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</si>
  <si>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</si>
  <si>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</si>
  <si>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</si>
  <si>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</si>
  <si>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</si>
  <si>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</si>
  <si>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</si>
  <si>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</si>
  <si>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</si>
  <si>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</si>
  <si>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</si>
  <si>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</si>
  <si>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</si>
  <si>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</si>
  <si>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</si>
  <si>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</si>
  <si>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</si>
  <si>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</si>
  <si>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</si>
  <si>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</si>
  <si>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</si>
  <si>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</si>
  <si>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</si>
  <si>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</si>
  <si>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</si>
  <si>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</si>
  <si>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</si>
  <si>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</si>
  <si>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</si>
  <si>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</si>
  <si>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</si>
  <si>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</si>
  <si>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</si>
  <si>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</si>
  <si>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</si>
  <si>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</si>
  <si>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</si>
  <si>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</si>
  <si>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</si>
  <si>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</si>
  <si>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</si>
  <si>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</si>
  <si>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</si>
  <si>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</si>
  <si>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</si>
  <si>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</si>
  <si>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</si>
  <si>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</si>
  <si>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</si>
  <si>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</si>
  <si>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</si>
  <si>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</si>
  <si>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</si>
  <si>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</si>
  <si>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</si>
  <si>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</si>
  <si>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</si>
  <si>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</si>
  <si>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</si>
  <si>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</si>
  <si>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</si>
  <si>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</si>
  <si>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</si>
  <si>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</si>
  <si>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</si>
  <si>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</si>
  <si>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</si>
  <si>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</si>
  <si>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</si>
  <si>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</si>
  <si>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</si>
  <si>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</si>
  <si>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</si>
  <si>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</si>
  <si>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</si>
  <si>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</si>
  <si>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</si>
  <si>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</si>
  <si>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</si>
  <si>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</si>
  <si>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</si>
  <si>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</si>
  <si>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</si>
  <si>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</si>
  <si>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</si>
  <si>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</si>
  <si>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</si>
  <si>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</si>
  <si>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</si>
  <si>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</si>
  <si>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</si>
  <si>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</si>
  <si>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</si>
  <si>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</si>
  <si>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</si>
  <si>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</si>
  <si>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</si>
  <si>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</si>
  <si>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</si>
  <si>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</si>
  <si>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</si>
  <si>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</si>
  <si>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</si>
  <si>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</si>
  <si>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</si>
  <si>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</si>
  <si>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</si>
  <si>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</si>
  <si>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</si>
  <si>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</si>
  <si>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</si>
  <si>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</si>
  <si>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</si>
  <si>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</si>
  <si>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</si>
  <si>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</si>
  <si>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</si>
  <si>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</si>
  <si>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</si>
  <si>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</si>
  <si>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</si>
  <si>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</si>
  <si>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</si>
  <si>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</si>
  <si>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</si>
  <si>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</si>
  <si>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</si>
  <si>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</si>
  <si>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</si>
  <si>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</si>
  <si>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</si>
  <si>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</si>
  <si>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</si>
  <si>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</si>
  <si>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</si>
  <si>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</si>
  <si>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</si>
  <si>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</si>
  <si>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</si>
  <si>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</si>
  <si>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</si>
  <si>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</si>
  <si>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</si>
  <si>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</si>
  <si>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</si>
  <si>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</si>
  <si>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</si>
  <si>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</si>
  <si>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</si>
  <si>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</si>
  <si>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</si>
  <si>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</si>
  <si>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</si>
  <si>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</si>
  <si>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</si>
  <si>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</si>
  <si>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</si>
  <si>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</si>
  <si>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</si>
  <si>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</si>
  <si>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</si>
  <si>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</si>
  <si>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</si>
  <si>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</si>
  <si>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</si>
  <si>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</si>
  <si>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</si>
  <si>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</si>
  <si>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</si>
  <si>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</si>
  <si>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</si>
  <si>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</si>
  <si>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</si>
  <si>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</si>
  <si>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</si>
  <si>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</si>
  <si>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</si>
  <si>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</si>
  <si>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</si>
  <si>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</si>
  <si>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</si>
  <si>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</si>
  <si>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</si>
  <si>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</si>
  <si>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</si>
  <si>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</si>
  <si>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</si>
  <si>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</si>
  <si>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</si>
  <si>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</si>
  <si>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</si>
  <si>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</si>
  <si>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</si>
  <si>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</si>
  <si>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</si>
  <si>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</si>
  <si>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</si>
  <si>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</si>
  <si>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</si>
  <si>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</si>
  <si>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</si>
  <si>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</si>
  <si>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</si>
  <si>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</si>
  <si>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</si>
  <si>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</si>
  <si>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</si>
  <si>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</si>
  <si>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</si>
  <si>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</si>
  <si>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</si>
  <si>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</si>
  <si>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</si>
  <si>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</si>
  <si>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</si>
  <si>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</si>
  <si>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</si>
  <si>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</si>
  <si>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</si>
  <si>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</si>
  <si>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</si>
  <si>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</si>
  <si>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</si>
  <si>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</si>
  <si>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</si>
  <si>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</si>
  <si>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</si>
  <si>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</si>
  <si>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</si>
  <si>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</si>
  <si>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</si>
  <si>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</si>
  <si>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</si>
  <si>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</si>
  <si>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</si>
  <si>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</si>
  <si>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</si>
  <si>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</si>
  <si>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</si>
  <si>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</si>
  <si>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</si>
  <si>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</si>
  <si>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</si>
  <si>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</si>
  <si>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</si>
  <si>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</si>
  <si>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</si>
  <si>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</si>
  <si>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</si>
  <si>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</si>
  <si>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</si>
  <si>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</si>
  <si>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</si>
  <si>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</si>
  <si>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</si>
  <si>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</si>
  <si>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</si>
  <si>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</si>
  <si>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</si>
  <si>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</si>
  <si>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</si>
  <si>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</si>
  <si>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</si>
  <si>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</si>
  <si>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</si>
  <si>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</si>
  <si>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</si>
  <si>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</si>
  <si>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</si>
  <si>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</si>
  <si>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</si>
  <si>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</si>
  <si>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</si>
  <si>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</si>
  <si>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</si>
  <si>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</si>
  <si>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</si>
  <si>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</si>
  <si>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</si>
  <si>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</si>
  <si>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</si>
  <si>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</si>
  <si>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</si>
  <si>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</si>
  <si>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</si>
  <si>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</si>
  <si>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</si>
  <si>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</si>
  <si>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</si>
  <si>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</si>
  <si>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</si>
  <si>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</si>
  <si>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</si>
  <si>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</si>
  <si>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</si>
  <si>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</si>
  <si>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</si>
  <si>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</si>
  <si>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</si>
  <si>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</si>
  <si>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</si>
  <si>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</si>
  <si>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</si>
  <si>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</si>
  <si>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</si>
  <si>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</si>
  <si>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</si>
  <si>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</si>
  <si>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</si>
  <si>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</si>
  <si>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</si>
  <si>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</si>
  <si>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</si>
  <si>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</si>
  <si>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</si>
  <si>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</si>
  <si>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</si>
  <si>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</si>
  <si>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</si>
  <si>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</si>
  <si>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</si>
  <si>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</si>
  <si>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</si>
  <si>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</si>
  <si>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</si>
  <si>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</si>
  <si>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</si>
  <si>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</si>
  <si>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</si>
  <si>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</si>
  <si>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</si>
  <si>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</si>
  <si>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</si>
  <si>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</si>
  <si>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</si>
  <si>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</si>
  <si>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</si>
  <si>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</si>
  <si>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</si>
  <si>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</si>
  <si>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</si>
  <si>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</si>
  <si>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</si>
  <si>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</si>
  <si>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</si>
  <si>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</si>
  <si>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</si>
  <si>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</si>
  <si>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</si>
  <si>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</si>
  <si>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</si>
  <si>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</si>
  <si>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</si>
  <si>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</si>
  <si>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</si>
  <si>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</si>
  <si>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</si>
  <si>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</si>
  <si>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</si>
  <si>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</si>
  <si>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</si>
  <si>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</si>
  <si>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</si>
  <si>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</si>
  <si>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</si>
  <si>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</si>
  <si>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</si>
  <si>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</si>
  <si>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</si>
  <si>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</si>
  <si>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</si>
  <si>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</si>
  <si>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</si>
  <si>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</si>
  <si>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</si>
  <si>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</si>
  <si>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</si>
  <si>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</si>
  <si>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</si>
  <si>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</si>
  <si>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</si>
  <si>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</si>
  <si>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</si>
  <si>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</si>
  <si>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</si>
  <si>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</si>
  <si>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</si>
  <si>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</si>
  <si>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</si>
  <si>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</si>
  <si>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</si>
  <si>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</si>
  <si>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</si>
  <si>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</si>
  <si>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</si>
  <si>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</si>
  <si>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</si>
  <si>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</si>
  <si>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</si>
  <si>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</si>
  <si>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</si>
  <si>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</si>
  <si>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</si>
  <si>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</si>
  <si>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</si>
  <si>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</si>
  <si>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</si>
  <si>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</si>
  <si>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</si>
  <si>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</si>
  <si>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</si>
  <si>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</si>
  <si>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</si>
  <si>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</si>
  <si>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</si>
  <si>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</si>
  <si>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</si>
  <si>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</si>
  <si>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</si>
  <si>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</si>
  <si>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</si>
  <si>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</si>
  <si>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</si>
  <si>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</si>
  <si>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</si>
  <si>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</si>
  <si>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</si>
  <si>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</si>
  <si>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</si>
  <si>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</si>
  <si>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</si>
  <si>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</si>
  <si>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</si>
  <si>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</si>
  <si>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</si>
  <si>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</si>
  <si>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</si>
  <si>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</si>
  <si>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</si>
  <si>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</si>
  <si>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</si>
  <si>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</si>
  <si>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</si>
  <si>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</si>
  <si>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</si>
  <si>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</si>
  <si>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</si>
  <si>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</si>
  <si>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</si>
  <si>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</si>
  <si>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</si>
  <si>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</si>
  <si>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</si>
  <si>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</si>
  <si>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</si>
  <si>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</si>
  <si>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</si>
  <si>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</si>
  <si>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</si>
  <si>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</si>
  <si>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</si>
  <si>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</si>
  <si>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</si>
  <si>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</si>
  <si>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</si>
  <si>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</si>
  <si>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</si>
  <si>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</si>
  <si>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</si>
  <si>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</si>
  <si>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</si>
  <si>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</si>
  <si>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</si>
  <si>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</si>
  <si>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</si>
  <si>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</si>
  <si>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</si>
  <si>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</si>
  <si>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</si>
  <si>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</si>
  <si>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</si>
  <si>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</si>
  <si>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</si>
  <si>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</si>
  <si>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</si>
  <si>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</si>
  <si>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</si>
  <si>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</si>
  <si>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</si>
  <si>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</si>
  <si>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</si>
  <si>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</si>
  <si>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</si>
  <si>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</si>
  <si>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</si>
  <si>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</si>
  <si>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</si>
  <si>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</si>
  <si>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</si>
  <si>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</si>
  <si>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</si>
  <si>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</si>
  <si>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</si>
  <si>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</si>
  <si>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</si>
  <si>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</si>
  <si>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</si>
  <si>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</si>
  <si>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</si>
  <si>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</si>
  <si>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</si>
  <si>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</si>
  <si>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</si>
  <si>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</si>
  <si>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</si>
  <si>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</si>
  <si>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</si>
  <si>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</si>
  <si>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</si>
  <si>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</si>
  <si>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</si>
  <si>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</si>
  <si>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</si>
  <si>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</si>
  <si>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</si>
  <si>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</si>
  <si>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</si>
  <si>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</si>
  <si>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</si>
  <si>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</si>
  <si>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</si>
  <si>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</si>
  <si>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</si>
  <si>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</si>
  <si>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</si>
  <si>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</si>
  <si>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</si>
  <si>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</si>
  <si>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</si>
  <si>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</si>
  <si>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</si>
  <si>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</si>
  <si>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</si>
  <si>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</si>
  <si>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</si>
  <si>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</si>
  <si>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</si>
  <si>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</si>
  <si>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</si>
  <si>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</si>
  <si>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</si>
  <si>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</si>
  <si>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</si>
  <si>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</si>
  <si>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</si>
  <si>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</si>
  <si>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</si>
  <si>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</si>
  <si>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</si>
  <si>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</si>
  <si>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</si>
  <si>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</si>
  <si>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</si>
  <si>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</si>
  <si>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</si>
  <si>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</si>
  <si>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</si>
  <si>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</si>
  <si>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</si>
  <si>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</si>
  <si>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</si>
  <si>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</si>
  <si>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</si>
  <si>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</si>
  <si>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</si>
  <si>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</si>
  <si>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</si>
  <si>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</si>
  <si>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</si>
  <si>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</si>
  <si>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</si>
  <si>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</si>
  <si>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</si>
  <si>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</si>
  <si>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</si>
  <si>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</si>
  <si>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</si>
  <si>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</si>
  <si>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</si>
  <si>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</si>
  <si>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</si>
  <si>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</si>
  <si>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</si>
  <si>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</si>
  <si>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</si>
  <si>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</si>
  <si>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</si>
  <si>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</si>
  <si>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</si>
  <si>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</si>
  <si>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</si>
  <si>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</si>
  <si>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</si>
  <si>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</si>
  <si>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</si>
  <si>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</si>
  <si>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</si>
  <si>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</si>
  <si>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</si>
  <si>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</si>
  <si>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</si>
  <si>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</si>
  <si>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</si>
  <si>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</si>
  <si>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</si>
  <si>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</si>
  <si>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</si>
  <si>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</si>
  <si>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</si>
  <si>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</si>
  <si>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</si>
  <si>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</si>
  <si>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</si>
  <si>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</si>
  <si>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</si>
  <si>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</si>
  <si>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</si>
  <si>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</si>
  <si>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</si>
  <si>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</si>
  <si>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</si>
  <si>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</si>
  <si>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</si>
  <si>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</si>
  <si>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</si>
  <si>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</si>
  <si>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</si>
  <si>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</si>
  <si>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</si>
  <si>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</si>
  <si>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</si>
  <si>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</si>
  <si>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</si>
  <si>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</si>
  <si>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</si>
  <si>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</si>
  <si>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</si>
  <si>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</si>
  <si>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</si>
  <si>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</si>
  <si>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</si>
  <si>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</si>
  <si>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</si>
  <si>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</si>
  <si>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</si>
  <si>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</si>
  <si>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</si>
  <si>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</si>
  <si>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</si>
  <si>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</si>
  <si>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</si>
  <si>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</si>
  <si>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</si>
  <si>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</si>
  <si>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</si>
  <si>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</si>
  <si>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</si>
  <si>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</si>
  <si>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</si>
  <si>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</si>
  <si>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</si>
  <si>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</si>
  <si>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</si>
  <si>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</si>
  <si>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</si>
  <si>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</si>
  <si>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</si>
  <si>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</si>
  <si>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</si>
  <si>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</si>
  <si>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</si>
  <si>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</si>
  <si>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</si>
  <si>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</si>
  <si>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</si>
  <si>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</si>
  <si>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</si>
  <si>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</si>
  <si>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</si>
  <si>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</si>
  <si>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</si>
  <si>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</si>
  <si>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</si>
  <si>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</si>
  <si>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</si>
  <si>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</si>
  <si>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</si>
  <si>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</si>
  <si>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</si>
  <si>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</si>
  <si>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</si>
  <si>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</si>
  <si>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</si>
  <si>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</si>
  <si>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</si>
  <si>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</si>
  <si>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</si>
  <si>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</si>
  <si>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</si>
  <si>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</si>
  <si>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</si>
  <si>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</si>
  <si>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</si>
  <si>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</si>
  <si>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</si>
  <si>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</si>
  <si>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</si>
  <si>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</si>
  <si>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</si>
  <si>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</si>
  <si>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</si>
  <si>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</si>
  <si>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</si>
  <si>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</si>
  <si>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</si>
  <si>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</si>
  <si>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</si>
  <si>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</si>
  <si>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</si>
  <si>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</si>
  <si>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</si>
  <si>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</si>
  <si>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</si>
  <si>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</si>
  <si>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</si>
  <si>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</si>
  <si>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</si>
  <si>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</si>
  <si>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</si>
  <si>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</si>
  <si>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</si>
  <si>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</si>
  <si>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</si>
  <si>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</si>
  <si>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</si>
  <si>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</si>
  <si>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</si>
  <si>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</si>
  <si>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</si>
  <si>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</si>
  <si>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</si>
  <si>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</si>
  <si>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</si>
  <si>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</si>
  <si>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</si>
  <si>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</si>
  <si>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</si>
  <si>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</si>
  <si>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</si>
  <si>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</si>
  <si>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</si>
  <si>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</si>
  <si>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</si>
  <si>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</si>
  <si>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</si>
  <si>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</si>
  <si>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</si>
  <si>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</si>
  <si>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</si>
  <si>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</si>
  <si>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</si>
  <si>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</si>
  <si>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</si>
  <si>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</si>
  <si>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</si>
  <si>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</si>
  <si>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</si>
  <si>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</si>
  <si>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</si>
  <si>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</si>
  <si>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</si>
  <si>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</si>
  <si>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</si>
  <si>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</si>
  <si>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</si>
  <si>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</si>
  <si>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</si>
  <si>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</si>
  <si>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</si>
  <si>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</si>
  <si>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</si>
  <si>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</si>
  <si>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</si>
  <si>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</si>
  <si>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</si>
  <si>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</si>
  <si>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</si>
  <si>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</si>
  <si>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</si>
  <si>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</si>
  <si>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</si>
  <si>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</si>
  <si>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</si>
  <si>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</si>
  <si>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</si>
  <si>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</si>
  <si>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</si>
  <si>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</si>
  <si>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</si>
  <si>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</si>
  <si>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</si>
  <si>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</si>
  <si>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</si>
  <si>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</si>
  <si>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</si>
  <si>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</si>
  <si>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</si>
  <si>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</si>
  <si>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</si>
  <si>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</si>
  <si>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</si>
  <si>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</si>
  <si>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</si>
  <si>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</si>
  <si>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</si>
  <si>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</si>
  <si>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</si>
  <si>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</si>
  <si>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</si>
  <si>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</si>
  <si>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</si>
  <si>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</si>
  <si>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</si>
  <si>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</si>
  <si>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</si>
  <si>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</si>
  <si>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</si>
  <si>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</si>
  <si>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</si>
  <si>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</si>
  <si>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</si>
  <si>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</si>
  <si>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</si>
  <si>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</si>
  <si>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</si>
  <si>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</si>
  <si>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</si>
  <si>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</si>
  <si>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</si>
  <si>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</si>
  <si>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</si>
  <si>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</si>
  <si>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</si>
  <si>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</si>
  <si>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</si>
  <si>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</si>
  <si>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</si>
  <si>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</si>
  <si>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</si>
  <si>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</si>
  <si>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</si>
  <si>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</si>
  <si>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</si>
  <si>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</si>
  <si>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</si>
  <si>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</si>
  <si>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</si>
  <si>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</si>
  <si>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</si>
  <si>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</si>
  <si>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</si>
  <si>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</si>
  <si>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</si>
  <si>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</si>
  <si>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</si>
  <si>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</si>
  <si>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</si>
  <si>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</si>
  <si>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</si>
  <si>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</si>
  <si>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</si>
  <si>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</si>
  <si>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</si>
  <si>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</si>
  <si>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</si>
  <si>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</si>
  <si>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</si>
  <si>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</si>
  <si>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</si>
  <si>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</si>
  <si>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</si>
  <si>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</si>
  <si>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</si>
  <si>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</si>
  <si>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</si>
  <si>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</si>
  <si>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</si>
  <si>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</si>
  <si>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</si>
  <si>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</si>
  <si>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</si>
  <si>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</si>
  <si>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</si>
  <si>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</si>
  <si>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</si>
  <si>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</si>
  <si>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</si>
  <si>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</si>
  <si>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</si>
  <si>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</si>
  <si>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</si>
  <si>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</si>
  <si>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</si>
  <si>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</si>
  <si>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</si>
  <si>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</si>
  <si>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</si>
  <si>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</si>
  <si>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</si>
  <si>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</si>
  <si>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</si>
  <si>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</si>
  <si>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</si>
  <si>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</si>
  <si>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</si>
  <si>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</si>
  <si>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</si>
  <si>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</si>
  <si>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</si>
  <si>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</si>
  <si>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</si>
  <si>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</si>
  <si>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</si>
  <si>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</si>
  <si>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</si>
  <si>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</si>
  <si>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</si>
  <si>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</si>
  <si>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</si>
  <si>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</si>
  <si>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</si>
  <si>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</si>
  <si>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</si>
  <si>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</si>
  <si>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</si>
  <si>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</si>
  <si>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</si>
  <si>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</si>
  <si>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</si>
  <si>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</si>
  <si>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</si>
  <si>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</si>
  <si>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</si>
  <si>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</si>
  <si>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</si>
  <si>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</si>
  <si>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</si>
  <si>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</si>
  <si>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</si>
  <si>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</si>
  <si>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</si>
  <si>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</si>
  <si>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</si>
  <si>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</si>
  <si>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</si>
  <si>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</si>
  <si>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</si>
  <si>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</si>
  <si>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</si>
  <si>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</si>
  <si>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</si>
  <si>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</si>
  <si>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</si>
  <si>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</si>
  <si>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</si>
  <si>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</si>
  <si>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</si>
  <si>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</si>
  <si>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</si>
  <si>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</si>
  <si>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</si>
  <si>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</si>
  <si>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</si>
  <si>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</si>
  <si>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</si>
  <si>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</si>
  <si>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</si>
  <si>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</si>
  <si>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</si>
  <si>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</si>
  <si>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</si>
  <si>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</si>
  <si>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</si>
  <si>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</si>
  <si>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</si>
  <si>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</si>
  <si>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</si>
  <si>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</si>
  <si>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</si>
  <si>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</si>
  <si>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</si>
  <si>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</si>
  <si>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</si>
  <si>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</si>
  <si>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</si>
  <si>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</si>
  <si>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</si>
  <si>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</si>
  <si>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</si>
  <si>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</si>
  <si>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</si>
  <si>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</si>
  <si>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</si>
  <si>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</si>
  <si>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</si>
  <si>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</si>
  <si>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</si>
  <si>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</si>
  <si>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</si>
  <si>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</si>
  <si>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</si>
  <si>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</si>
  <si>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</si>
  <si>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</si>
  <si>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</si>
  <si>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</si>
  <si>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</si>
  <si>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</si>
  <si>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</si>
  <si>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</si>
  <si>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</si>
  <si>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</si>
  <si>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</si>
  <si>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</si>
  <si>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</si>
  <si>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</si>
  <si>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</si>
  <si>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</si>
  <si>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</si>
  <si>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</si>
  <si>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</si>
  <si>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</si>
  <si>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</si>
  <si>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</si>
  <si>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</si>
  <si>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</si>
  <si>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</si>
  <si>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</si>
  <si>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</si>
  <si>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</si>
  <si>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</si>
  <si>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</si>
  <si>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</si>
  <si>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</si>
  <si>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</si>
  <si>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</si>
  <si>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</si>
  <si>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</si>
  <si>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</si>
  <si>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</si>
  <si>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</si>
  <si>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</si>
  <si>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</si>
  <si>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</si>
  <si>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</si>
  <si>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</si>
  <si>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</si>
  <si>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</si>
  <si>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</si>
  <si>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</si>
  <si>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</si>
  <si>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</si>
  <si>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</si>
  <si>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</si>
  <si>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</si>
  <si>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</si>
  <si>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</si>
  <si>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</si>
  <si>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</si>
  <si>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</si>
  <si>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</si>
  <si>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</si>
  <si>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</si>
  <si>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</si>
  <si>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</si>
  <si>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</si>
  <si>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</si>
  <si>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</si>
  <si>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</si>
  <si>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</si>
  <si>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</si>
  <si>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</si>
  <si>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</si>
  <si>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</si>
  <si>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</si>
  <si>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</si>
  <si>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</si>
  <si>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</si>
  <si>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</si>
  <si>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</si>
  <si>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</si>
  <si>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</si>
  <si>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</si>
  <si>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</si>
  <si>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</si>
  <si>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</si>
  <si>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</si>
  <si>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</si>
  <si>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</si>
  <si>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</si>
  <si>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</si>
  <si>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</si>
  <si>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</si>
  <si>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</si>
  <si>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</si>
  <si>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</si>
  <si>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</si>
  <si>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</si>
  <si>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</si>
  <si>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</si>
  <si>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</si>
  <si>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</si>
  <si>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</si>
  <si>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</si>
  <si>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</si>
  <si>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</si>
  <si>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</si>
  <si>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</si>
  <si>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</si>
  <si>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</si>
  <si>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</si>
  <si>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</si>
  <si>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</si>
  <si>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</si>
  <si>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</si>
  <si>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</si>
  <si>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</si>
  <si>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</si>
  <si>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</si>
  <si>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</si>
  <si>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</si>
  <si>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</si>
  <si>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</si>
  <si>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</si>
  <si>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</si>
  <si>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</si>
  <si>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</si>
  <si>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</si>
  <si>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</si>
  <si>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</si>
  <si>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</si>
  <si>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</si>
  <si>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</si>
  <si>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</si>
  <si>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</si>
  <si>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</si>
  <si>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</si>
  <si>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</si>
  <si>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</si>
  <si>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</si>
  <si>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</si>
  <si>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</si>
  <si>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</si>
  <si>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</si>
  <si>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</si>
  <si>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</si>
  <si>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</si>
  <si>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</si>
  <si>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</si>
  <si>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</si>
  <si>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</si>
  <si>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</si>
  <si>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</si>
  <si>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</si>
  <si>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</si>
  <si>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</si>
  <si>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</si>
  <si>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</si>
  <si>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</si>
  <si>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</si>
  <si>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</si>
  <si>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</si>
  <si>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</si>
  <si>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</si>
  <si>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</si>
  <si>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</si>
  <si>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</si>
  <si>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</si>
  <si>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</si>
  <si>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</si>
  <si>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</si>
  <si>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</si>
  <si>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</si>
  <si>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</si>
  <si>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</si>
  <si>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</si>
  <si>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</si>
  <si>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</si>
  <si>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</si>
  <si>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</si>
  <si>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</si>
  <si>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</si>
  <si>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</si>
  <si>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</si>
  <si>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</si>
  <si>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</si>
  <si>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</si>
  <si>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</si>
  <si>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</si>
  <si>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</si>
  <si>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</si>
  <si>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</si>
  <si>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</si>
  <si>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</si>
  <si>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</si>
  <si>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</si>
  <si>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</si>
  <si>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</si>
  <si>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</si>
  <si>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</si>
  <si>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</si>
  <si>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</si>
  <si>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</si>
  <si>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</si>
  <si>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</si>
  <si>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</si>
  <si>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</si>
  <si>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</si>
  <si>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</si>
  <si>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</si>
  <si>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</si>
  <si>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</si>
  <si>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</si>
  <si>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</si>
  <si>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</si>
  <si>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</si>
  <si>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</si>
  <si>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</si>
  <si>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</si>
  <si>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</si>
  <si>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</si>
  <si>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</si>
  <si>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</si>
  <si>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</si>
  <si>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</si>
  <si>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</si>
  <si>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</si>
  <si>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</si>
  <si>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</si>
  <si>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</si>
  <si>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</si>
  <si>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</si>
  <si>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</si>
  <si>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</si>
  <si>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</si>
  <si>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</si>
  <si>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</si>
  <si>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</si>
  <si>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</si>
  <si>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</si>
  <si>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</si>
  <si>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</si>
  <si>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</si>
  <si>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</si>
  <si>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</si>
  <si>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</si>
  <si>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</si>
  <si>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</si>
  <si>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</si>
  <si>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</si>
  <si>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</si>
  <si>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</si>
  <si>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</si>
  <si>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</si>
  <si>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</si>
  <si>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</si>
  <si>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</si>
  <si>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</si>
  <si>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</si>
  <si>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</si>
  <si>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</si>
  <si>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</si>
  <si>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</si>
  <si>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</si>
  <si>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</si>
  <si>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</si>
  <si>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</si>
  <si>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</si>
  <si>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</si>
  <si>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</si>
  <si>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</si>
  <si>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</si>
  <si>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</si>
  <si>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</si>
  <si>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</si>
  <si>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</si>
  <si>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</si>
  <si>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</si>
  <si>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</si>
  <si>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</si>
  <si>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</si>
  <si>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</si>
  <si>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</si>
  <si>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</si>
  <si>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</si>
  <si>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</si>
  <si>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</si>
  <si>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</si>
  <si>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</si>
  <si>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</si>
  <si>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</si>
  <si>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</si>
  <si>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</si>
  <si>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</si>
  <si>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</si>
  <si>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</si>
  <si>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</si>
  <si>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</si>
  <si>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</si>
  <si>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</si>
  <si>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</si>
  <si>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</si>
  <si>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</si>
  <si>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</si>
  <si>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</si>
  <si>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</si>
  <si>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</si>
  <si>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</si>
  <si>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</si>
  <si>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</si>
  <si>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</si>
  <si>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</si>
  <si>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</si>
  <si>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</si>
  <si>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</si>
  <si>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</si>
  <si>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</si>
  <si>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</si>
  <si>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</si>
  <si>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</si>
  <si>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</si>
  <si>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</si>
  <si>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</si>
  <si>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</si>
  <si>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</si>
  <si>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</si>
  <si>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</si>
  <si>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</si>
  <si>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</si>
  <si>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</si>
  <si>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</si>
  <si>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</si>
  <si>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</si>
  <si>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</si>
  <si>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</si>
  <si>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</si>
  <si>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</si>
  <si>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</si>
  <si>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</si>
  <si>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</si>
  <si>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</si>
  <si>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</si>
  <si>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</si>
  <si>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</si>
  <si>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</si>
  <si>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</si>
  <si>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</si>
  <si>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</si>
  <si>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</si>
  <si>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</si>
  <si>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</si>
  <si>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</si>
  <si>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</si>
  <si>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</si>
  <si>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</si>
  <si>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</si>
  <si>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</si>
  <si>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</si>
  <si>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</si>
  <si>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</si>
  <si>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</si>
  <si>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</si>
  <si>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</si>
  <si>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</si>
  <si>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</si>
  <si>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</si>
  <si>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</si>
  <si>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</si>
  <si>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</si>
  <si>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</si>
  <si>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</si>
  <si>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</si>
  <si>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</si>
  <si>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</si>
  <si>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</si>
  <si>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</si>
  <si>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</si>
  <si>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</si>
  <si>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</si>
  <si>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</si>
  <si>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</si>
  <si>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</si>
  <si>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</si>
  <si>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</si>
  <si>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</si>
  <si>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</si>
  <si>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</si>
  <si>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</si>
  <si>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</si>
  <si>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</si>
  <si>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</si>
  <si>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</si>
  <si>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</si>
  <si>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</si>
  <si>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</si>
  <si>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</si>
  <si>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</si>
  <si>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</si>
  <si>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</si>
  <si>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</si>
  <si>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</si>
  <si>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</si>
  <si>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</si>
  <si>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</si>
  <si>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</si>
  <si>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</si>
  <si>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</si>
  <si>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</si>
  <si>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</si>
  <si>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</si>
  <si>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</si>
  <si>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</si>
  <si>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</si>
  <si>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</si>
  <si>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</si>
  <si>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</si>
  <si>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</si>
  <si>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</si>
  <si>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</si>
  <si>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</si>
  <si>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</si>
  <si>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</si>
  <si>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</si>
  <si>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</si>
  <si>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</si>
  <si>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</si>
  <si>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</si>
  <si>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</si>
  <si>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</si>
  <si>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</si>
  <si>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</si>
  <si>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</si>
  <si>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</si>
  <si>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</si>
  <si>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</si>
  <si>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</si>
  <si>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</si>
  <si>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</si>
  <si>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</si>
  <si>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</si>
  <si>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</si>
  <si>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</si>
  <si>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</si>
  <si>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</si>
  <si>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</si>
  <si>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</si>
  <si>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</si>
  <si>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</si>
  <si>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</si>
  <si>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</si>
  <si>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</si>
  <si>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</si>
  <si>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</si>
  <si>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</si>
  <si>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</si>
  <si>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</si>
  <si>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</si>
  <si>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</si>
  <si>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</si>
  <si>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</si>
  <si>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</si>
  <si>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</si>
  <si>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</si>
  <si>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</si>
  <si>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</si>
  <si>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</si>
  <si>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</si>
  <si>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</si>
  <si>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</si>
  <si>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</si>
  <si>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</si>
  <si>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</si>
  <si>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</si>
  <si>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</si>
  <si>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</si>
  <si>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</si>
  <si>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</si>
  <si>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</si>
  <si>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</si>
  <si>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</si>
  <si>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</si>
  <si>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</si>
  <si>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</si>
  <si>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</si>
  <si>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</si>
  <si>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</si>
  <si>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</si>
  <si>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</si>
  <si>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</si>
  <si>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</si>
  <si>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</si>
  <si>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</si>
  <si>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</si>
  <si>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</si>
  <si>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</si>
  <si>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</si>
  <si>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</si>
  <si>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</si>
  <si>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</si>
  <si>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</si>
  <si>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</si>
  <si>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</si>
  <si>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</si>
  <si>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</si>
  <si>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</si>
  <si>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</si>
  <si>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</si>
  <si>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</si>
  <si>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</si>
  <si>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</si>
  <si>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</si>
  <si>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</si>
  <si>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</si>
  <si>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</si>
  <si>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</si>
  <si>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</si>
  <si>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</si>
  <si>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</si>
  <si>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</si>
  <si>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</si>
  <si>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</si>
  <si>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</si>
  <si>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</si>
  <si>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</si>
  <si>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</si>
  <si>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</si>
  <si>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</si>
  <si>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</si>
  <si>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</si>
  <si>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</si>
  <si>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</si>
  <si>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</si>
  <si>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</si>
  <si>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</si>
  <si>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</si>
  <si>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</si>
  <si>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</si>
  <si>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</si>
  <si>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</si>
  <si>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</si>
  <si>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</si>
  <si>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</si>
  <si>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</si>
  <si>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</si>
  <si>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</si>
  <si>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</si>
  <si>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</si>
  <si>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</si>
  <si>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</si>
  <si>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</si>
  <si>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</si>
  <si>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</si>
  <si>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</si>
  <si>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</si>
  <si>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</si>
  <si>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</si>
  <si>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</si>
  <si>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</si>
  <si>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</si>
  <si>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</si>
  <si>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</si>
  <si>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</si>
  <si>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</si>
  <si>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</si>
  <si>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</si>
  <si>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</si>
  <si>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</si>
  <si>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</si>
  <si>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</si>
  <si>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</si>
  <si>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</si>
  <si>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</si>
  <si>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</si>
  <si>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</si>
  <si>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</si>
  <si>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</si>
  <si>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</si>
  <si>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</si>
  <si>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</si>
  <si>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</si>
  <si>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</si>
  <si>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</si>
  <si>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</si>
  <si>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</si>
  <si>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</si>
  <si>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</si>
  <si>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</si>
  <si>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</si>
  <si>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</si>
  <si>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</si>
  <si>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</si>
  <si>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</si>
  <si>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</si>
  <si>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</si>
  <si>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</si>
  <si>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</si>
  <si>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</si>
  <si>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</si>
  <si>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</si>
  <si>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</si>
  <si>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</si>
  <si>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</si>
  <si>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</si>
  <si>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</si>
  <si>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</si>
  <si>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</si>
  <si>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</si>
  <si>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</si>
  <si>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</si>
  <si>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</si>
  <si>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</si>
  <si>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</si>
  <si>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</si>
  <si>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</si>
  <si>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</si>
  <si>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</si>
  <si>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</si>
  <si>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</si>
  <si>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</si>
  <si>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</si>
  <si>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</si>
  <si>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</si>
  <si>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</si>
  <si>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</si>
  <si>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</si>
  <si>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</si>
  <si>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</si>
  <si>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</si>
  <si>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</si>
  <si>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</si>
  <si>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</si>
  <si>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</si>
  <si>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</si>
  <si>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</si>
  <si>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</si>
  <si>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</si>
  <si>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</si>
  <si>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</si>
  <si>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</si>
  <si>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</si>
  <si>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</si>
  <si>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</si>
  <si>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</si>
  <si>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</si>
  <si>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</si>
  <si>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</si>
  <si>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</si>
  <si>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</si>
  <si>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</si>
  <si>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</si>
  <si>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</si>
  <si>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</si>
  <si>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</si>
  <si>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</si>
  <si>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</si>
  <si>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</si>
  <si>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</si>
  <si>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</si>
  <si>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</si>
  <si>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</si>
  <si>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</si>
  <si>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</si>
  <si>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</si>
  <si>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</si>
  <si>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</si>
  <si>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</si>
  <si>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</si>
  <si>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</si>
  <si>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</si>
  <si>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</si>
  <si>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</si>
  <si>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</si>
  <si>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</si>
  <si>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</si>
  <si>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</si>
  <si>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</si>
  <si>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</si>
  <si>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</si>
  <si>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</si>
  <si>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</si>
  <si>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</si>
  <si>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</si>
  <si>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</si>
  <si>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</si>
  <si>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</si>
  <si>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</si>
  <si>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</si>
  <si>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</si>
  <si>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</si>
  <si>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</si>
  <si>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</si>
  <si>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</si>
  <si>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</si>
  <si>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</si>
  <si>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</si>
  <si>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</si>
  <si>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</si>
  <si>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</si>
  <si>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</si>
  <si>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</si>
  <si>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</si>
  <si>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</si>
  <si>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</si>
  <si>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</si>
  <si>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</si>
  <si>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</si>
  <si>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</si>
  <si>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</si>
  <si>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</si>
  <si>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</si>
  <si>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</si>
  <si>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</si>
  <si>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</si>
  <si>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</si>
  <si>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</si>
  <si>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</si>
  <si>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</si>
  <si>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</si>
  <si>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</si>
  <si>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</si>
  <si>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</si>
  <si>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</si>
  <si>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</si>
  <si>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</si>
  <si>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</si>
  <si>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</si>
  <si>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</si>
  <si>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</si>
  <si>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</si>
  <si>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</si>
  <si>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</si>
  <si>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</si>
  <si>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</si>
  <si>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</si>
  <si>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</si>
  <si>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</si>
  <si>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</si>
  <si>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</si>
  <si>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</si>
  <si>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</si>
  <si>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</si>
  <si>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</si>
  <si>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</si>
  <si>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</si>
  <si>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</si>
  <si>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</si>
  <si>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</si>
  <si>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</si>
  <si>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</si>
  <si>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</si>
  <si>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</si>
  <si>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</si>
  <si>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</si>
  <si>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</si>
  <si>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</si>
  <si>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</si>
  <si>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</si>
  <si>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</si>
  <si>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</si>
  <si>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</si>
  <si>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</si>
  <si>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</si>
  <si>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</si>
  <si>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</si>
  <si>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</si>
  <si>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</si>
  <si>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</si>
  <si>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</si>
  <si>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</si>
  <si>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</si>
  <si>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</si>
  <si>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</si>
  <si>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</si>
  <si>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</si>
  <si>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</si>
  <si>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</si>
  <si>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</si>
  <si>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</si>
  <si>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</si>
  <si>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</si>
  <si>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</si>
  <si>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</si>
  <si>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</si>
  <si>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</si>
  <si>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</si>
  <si>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</si>
  <si>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</si>
  <si>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</si>
  <si>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</si>
  <si>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</si>
  <si>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</si>
  <si>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</si>
  <si>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</si>
  <si>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</si>
  <si>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</si>
  <si>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</si>
  <si>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</si>
  <si>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</si>
  <si>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</si>
  <si>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</si>
  <si>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</si>
  <si>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</si>
  <si>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</si>
  <si>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</si>
  <si>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</si>
  <si>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</si>
  <si>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</si>
  <si>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</si>
  <si>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</si>
  <si>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</si>
  <si>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</si>
  <si>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</si>
  <si>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</si>
  <si>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</si>
  <si>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</si>
  <si>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</si>
  <si>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</si>
  <si>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</si>
  <si>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</si>
  <si>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</si>
  <si>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</si>
  <si>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</si>
  <si>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</si>
  <si>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</si>
  <si>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</si>
  <si>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</si>
  <si>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</si>
  <si>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</si>
  <si>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</si>
  <si>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</si>
  <si>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</si>
  <si>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</si>
  <si>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</si>
  <si>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</si>
  <si>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</si>
  <si>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</si>
  <si>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</si>
  <si>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</si>
  <si>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</si>
  <si>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</si>
  <si>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</si>
  <si>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</si>
  <si>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</si>
  <si>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</si>
  <si>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</si>
  <si>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</si>
  <si>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</si>
  <si>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</si>
  <si>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</si>
  <si>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</si>
  <si>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</si>
  <si>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</si>
  <si>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</si>
  <si>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</si>
  <si>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</si>
  <si>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</si>
  <si>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</si>
  <si>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</si>
  <si>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</si>
  <si>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</si>
  <si>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</si>
  <si>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</si>
  <si>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</si>
  <si>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</si>
  <si>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</si>
  <si>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</si>
  <si>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</si>
  <si>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</si>
  <si>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</si>
  <si>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</si>
  <si>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</si>
  <si>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</si>
  <si>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</si>
  <si>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</si>
  <si>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</si>
  <si>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</si>
  <si>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</si>
  <si>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</si>
  <si>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</si>
  <si>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</si>
  <si>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</si>
  <si>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</si>
  <si>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</si>
  <si>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</si>
  <si>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</si>
  <si>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</si>
  <si>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</si>
  <si>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</si>
  <si>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</si>
  <si>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</si>
  <si>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</si>
  <si>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</si>
  <si>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</si>
  <si>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</si>
  <si>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</si>
  <si>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</si>
  <si>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</si>
  <si>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</si>
  <si>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</si>
  <si>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</si>
  <si>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</si>
  <si>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</si>
  <si>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</si>
  <si>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</si>
  <si>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</si>
  <si>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</si>
  <si>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</si>
  <si>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</si>
  <si>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</si>
  <si>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</si>
  <si>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</si>
  <si>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</si>
  <si>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</si>
  <si>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</si>
  <si>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</si>
  <si>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</si>
  <si>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</si>
  <si>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</si>
  <si>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</si>
  <si>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</si>
  <si>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</si>
  <si>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</si>
  <si>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</si>
  <si>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</si>
  <si>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</si>
  <si>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</si>
  <si>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</si>
  <si>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</si>
  <si>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</si>
  <si>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</si>
  <si>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</si>
  <si>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</si>
  <si>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</si>
  <si>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</si>
  <si>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</si>
  <si>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</si>
  <si>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</si>
  <si>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</si>
  <si>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</si>
  <si>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</si>
  <si>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</si>
  <si>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</si>
  <si>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</si>
  <si>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</si>
  <si>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</si>
  <si>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</si>
  <si>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</si>
  <si>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</si>
  <si>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</si>
  <si>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</si>
  <si>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</si>
  <si>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</si>
  <si>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</si>
  <si>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</si>
  <si>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</si>
  <si>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</si>
  <si>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</si>
  <si>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</si>
  <si>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</si>
  <si>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</si>
  <si>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</si>
  <si>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</si>
  <si>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</si>
  <si>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</si>
  <si>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</si>
  <si>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</si>
  <si>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</si>
  <si>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</si>
  <si>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</si>
  <si>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</si>
  <si>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</si>
  <si>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</si>
  <si>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</si>
  <si>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</si>
  <si>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</si>
  <si>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</si>
  <si>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</si>
  <si>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</si>
  <si>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</si>
  <si>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</si>
  <si>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</si>
  <si>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</si>
  <si>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</si>
  <si>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</si>
  <si>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</si>
  <si>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</si>
  <si>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</si>
  <si>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</si>
  <si>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</si>
  <si>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</si>
  <si>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</si>
  <si>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</si>
  <si>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</si>
  <si>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</si>
  <si>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</si>
  <si>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</si>
  <si>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</si>
  <si>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</si>
  <si>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</si>
  <si>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</si>
  <si>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</si>
  <si>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</si>
  <si>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</si>
  <si>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</si>
  <si>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</si>
  <si>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</si>
  <si>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</si>
  <si>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</si>
  <si>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</si>
  <si>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</si>
  <si>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</si>
  <si>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</si>
  <si>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</si>
  <si>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</si>
  <si>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</si>
  <si>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</si>
  <si>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</si>
  <si>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</si>
  <si>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</si>
  <si>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</si>
  <si>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</si>
  <si>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</si>
  <si>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</si>
  <si>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</si>
  <si>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</si>
  <si>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</si>
  <si>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</si>
  <si>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</si>
  <si>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</si>
  <si>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</si>
  <si>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</si>
  <si>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</si>
  <si>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</si>
  <si>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</si>
  <si>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</si>
  <si>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</si>
  <si>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</si>
  <si>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</si>
  <si>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</si>
  <si>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</si>
  <si>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</si>
  <si>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</si>
  <si>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</si>
  <si>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</si>
  <si>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</si>
  <si>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</si>
  <si>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</si>
  <si>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</si>
  <si>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</si>
  <si>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</si>
  <si>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</si>
  <si>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</si>
  <si>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</si>
  <si>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</si>
  <si>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</si>
  <si>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</si>
  <si>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</si>
  <si>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</si>
  <si>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</si>
  <si>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</si>
  <si>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</si>
  <si>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</si>
  <si>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</si>
  <si>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</si>
  <si>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</si>
  <si>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</si>
  <si>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</si>
  <si>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</si>
  <si>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</si>
  <si>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</si>
  <si>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</si>
  <si>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</si>
  <si>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</si>
  <si>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</si>
  <si>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</si>
  <si>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</si>
  <si>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</si>
  <si>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</si>
  <si>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</si>
  <si>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</si>
  <si>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</si>
  <si>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</si>
  <si>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</si>
  <si>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</si>
  <si>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</si>
  <si>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</si>
  <si>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</si>
  <si>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</si>
  <si>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</si>
  <si>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</si>
  <si>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</si>
  <si>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</si>
  <si>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</si>
  <si>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</si>
  <si>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</si>
  <si>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</si>
  <si>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</si>
  <si>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</si>
  <si>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</si>
  <si>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</si>
  <si>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</si>
  <si>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</si>
  <si>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</si>
  <si>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</si>
  <si>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</si>
  <si>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</si>
  <si>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</si>
  <si>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</si>
  <si>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</si>
  <si>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</si>
  <si>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</si>
  <si>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</si>
  <si>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</si>
  <si>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</si>
  <si>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</si>
  <si>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</si>
  <si>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</si>
  <si>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</si>
  <si>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</si>
  <si>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</si>
  <si>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</si>
  <si>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</si>
  <si>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</si>
  <si>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</si>
  <si>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</si>
  <si>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</si>
  <si>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</si>
  <si>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</si>
  <si>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</si>
  <si>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</si>
  <si>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</si>
  <si>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</si>
  <si>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</si>
  <si>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</si>
  <si>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</si>
  <si>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</si>
  <si>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</si>
  <si>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</si>
  <si>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</si>
  <si>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</si>
  <si>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</si>
  <si>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</si>
  <si>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</si>
  <si>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</si>
  <si>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</si>
  <si>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</si>
  <si>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</si>
  <si>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</si>
  <si>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</si>
  <si>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</si>
  <si>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</si>
  <si>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</si>
  <si>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</si>
  <si>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</si>
  <si>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</si>
  <si>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</si>
  <si>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</si>
  <si>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</si>
  <si>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</si>
  <si>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</si>
  <si>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</si>
  <si>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</si>
  <si>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</si>
  <si>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</si>
  <si>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</si>
  <si>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</si>
  <si>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</si>
  <si>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</si>
  <si>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</si>
  <si>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</si>
  <si>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</si>
  <si>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</si>
  <si>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</si>
  <si>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</si>
  <si>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</si>
  <si>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</si>
  <si>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</si>
  <si>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</si>
  <si>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</si>
  <si>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</si>
  <si>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</si>
  <si>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</si>
  <si>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</si>
  <si>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</si>
  <si>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</si>
  <si>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</si>
  <si>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</si>
  <si>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</si>
  <si>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</si>
  <si>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</si>
  <si>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</si>
  <si>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</si>
  <si>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</si>
  <si>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</si>
  <si>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</si>
  <si>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</si>
  <si>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</si>
  <si>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</si>
  <si>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</si>
  <si>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</si>
  <si>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</si>
  <si>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</si>
  <si>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</si>
  <si>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</si>
  <si>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</si>
  <si>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</si>
  <si>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</si>
  <si>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</si>
  <si>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</si>
  <si>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</si>
  <si>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</si>
  <si>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</si>
  <si>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</si>
  <si>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</si>
  <si>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</si>
  <si>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</si>
  <si>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</si>
  <si>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</si>
  <si>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</si>
  <si>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</si>
  <si>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</si>
  <si>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</si>
  <si>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</si>
  <si>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</si>
  <si>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</si>
  <si>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</si>
  <si>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</si>
  <si>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</si>
  <si>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</si>
  <si>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</si>
  <si>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</si>
  <si>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</si>
  <si>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</si>
  <si>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</si>
  <si>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</si>
  <si>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</si>
  <si>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</si>
  <si>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</si>
  <si>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</si>
  <si>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</si>
  <si>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</si>
  <si>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</si>
  <si>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</si>
  <si>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</si>
  <si>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</si>
  <si>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</si>
  <si>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</si>
  <si>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</si>
  <si>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</si>
  <si>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</si>
  <si>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</si>
  <si>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</si>
  <si>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</si>
  <si>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</si>
  <si>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</si>
  <si>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</si>
  <si>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</si>
  <si>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</si>
  <si>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</si>
  <si>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</si>
  <si>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</si>
  <si>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</si>
  <si>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</si>
  <si>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</si>
  <si>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</si>
  <si>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</si>
  <si>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</si>
  <si>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</si>
  <si>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</si>
  <si>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</si>
  <si>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</si>
  <si>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</si>
  <si>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</si>
  <si>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</si>
  <si>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</si>
  <si>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</si>
  <si>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</si>
  <si>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</si>
  <si>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</si>
  <si>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</si>
  <si>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</si>
  <si>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</si>
  <si>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</si>
  <si>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</si>
  <si>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</si>
  <si>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</si>
  <si>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</si>
  <si>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</si>
  <si>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</si>
  <si>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</si>
  <si>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</si>
  <si>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</si>
  <si>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</si>
  <si>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</si>
  <si>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</si>
  <si>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</si>
  <si>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</si>
  <si>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</si>
  <si>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</si>
  <si>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</si>
  <si>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</si>
  <si>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</si>
  <si>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</si>
  <si>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</si>
  <si>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</si>
  <si>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</si>
  <si>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</si>
  <si>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</si>
  <si>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</si>
  <si>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</si>
  <si>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</si>
  <si>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</si>
  <si>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</si>
  <si>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</si>
  <si>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</si>
  <si>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</si>
  <si>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</si>
  <si>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</si>
  <si>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</si>
  <si>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</si>
  <si>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</si>
  <si>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</si>
  <si>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</si>
  <si>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</si>
  <si>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</si>
  <si>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</si>
  <si>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</si>
  <si>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</si>
  <si>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</si>
  <si>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</si>
  <si>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</si>
  <si>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</si>
  <si>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</si>
  <si>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</si>
  <si>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</si>
  <si>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</si>
  <si>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</si>
  <si>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</si>
  <si>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</si>
  <si>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</si>
  <si>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</si>
  <si>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</si>
  <si>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</si>
  <si>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</si>
  <si>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</si>
  <si>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</si>
  <si>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</si>
  <si>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</si>
  <si>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</si>
  <si>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</si>
  <si>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</si>
  <si>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</si>
  <si>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</si>
  <si>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</si>
  <si>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</si>
  <si>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</si>
  <si>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</si>
  <si>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</si>
  <si>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</si>
  <si>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</si>
  <si>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</si>
  <si>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</si>
  <si>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</si>
  <si>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</si>
  <si>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</si>
  <si>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</si>
  <si>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</si>
  <si>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</si>
  <si>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</si>
  <si>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</si>
  <si>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</si>
  <si>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</si>
  <si>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</si>
  <si>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</si>
  <si>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</si>
  <si>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</si>
  <si>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</si>
  <si>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</si>
  <si>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</si>
  <si>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</si>
  <si>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</si>
  <si>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</si>
  <si>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</si>
  <si>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</si>
  <si>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</si>
  <si>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</si>
  <si>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</si>
  <si>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</si>
  <si>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</si>
  <si>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</si>
  <si>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</si>
  <si>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</si>
  <si>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</si>
  <si>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</si>
  <si>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</si>
  <si>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</si>
  <si>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</si>
  <si>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</si>
  <si>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</si>
  <si>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</si>
  <si>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</si>
  <si>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</si>
  <si>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</si>
  <si>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</si>
  <si>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</si>
  <si>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</si>
  <si>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</si>
  <si>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</si>
  <si>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</si>
  <si>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</si>
  <si>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</si>
  <si>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</si>
  <si>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</si>
  <si>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</si>
  <si>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</si>
  <si>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</si>
  <si>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</si>
  <si>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</si>
  <si>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</si>
  <si>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</si>
  <si>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</si>
  <si>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</si>
  <si>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</si>
  <si>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</si>
  <si>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</si>
  <si>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</si>
  <si>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</si>
  <si>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</si>
  <si>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</si>
  <si>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</si>
  <si>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</si>
  <si>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</si>
  <si>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</si>
  <si>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</si>
  <si>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</si>
  <si>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</si>
  <si>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</si>
  <si>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</si>
  <si>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</si>
  <si>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</si>
  <si>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</si>
  <si>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</si>
  <si>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</si>
  <si>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</si>
  <si>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</si>
  <si>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</si>
  <si>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</si>
  <si>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</si>
  <si>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</si>
  <si>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</si>
  <si>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</si>
  <si>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</si>
  <si>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</si>
  <si>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</si>
  <si>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</si>
  <si>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</si>
  <si>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</si>
  <si>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</si>
  <si>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</si>
  <si>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</si>
  <si>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</si>
  <si>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</si>
  <si>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</si>
  <si>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</si>
  <si>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</si>
  <si>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</si>
  <si>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</si>
  <si>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</si>
  <si>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</si>
  <si>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</si>
  <si>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</si>
  <si>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</si>
  <si>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</si>
  <si>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</si>
  <si>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</si>
  <si>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</si>
  <si>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</si>
  <si>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</si>
  <si>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</si>
  <si>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</si>
  <si>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</si>
  <si>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</si>
  <si>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</si>
  <si>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</si>
  <si>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</si>
  <si>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</si>
  <si>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</si>
  <si>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</si>
  <si>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</si>
  <si>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</si>
  <si>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</si>
  <si>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</si>
  <si>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</si>
  <si>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</si>
  <si>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</si>
  <si>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</si>
  <si>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</si>
  <si>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</si>
  <si>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</si>
  <si>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</si>
  <si>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</si>
  <si>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</si>
  <si>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</si>
  <si>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</si>
  <si>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</si>
  <si>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</si>
  <si>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</si>
  <si>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</si>
  <si>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</si>
  <si>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</si>
  <si>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</si>
  <si>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</si>
  <si>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</si>
  <si>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</si>
  <si>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</si>
  <si>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</si>
  <si>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</si>
  <si>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</si>
  <si>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</si>
  <si>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</si>
  <si>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</si>
  <si>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</si>
  <si>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</si>
  <si>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</si>
  <si>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</si>
  <si>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</si>
  <si>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</si>
  <si>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</si>
  <si>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</si>
  <si>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</si>
  <si>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</si>
  <si>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</si>
  <si>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</si>
  <si>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</si>
  <si>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</si>
  <si>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</si>
  <si>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</si>
  <si>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</si>
  <si>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</si>
  <si>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</si>
  <si>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</si>
  <si>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</si>
  <si>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</si>
  <si>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</si>
  <si>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</si>
  <si>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</si>
  <si>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</si>
  <si>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</si>
  <si>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</si>
  <si>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</si>
  <si>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</si>
  <si>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</si>
  <si>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</si>
  <si>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</si>
  <si>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</si>
  <si>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</si>
  <si>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</si>
  <si>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</si>
  <si>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</si>
  <si>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</si>
  <si>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</si>
  <si>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</si>
  <si>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</si>
  <si>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</si>
  <si>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</si>
  <si>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</si>
  <si>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</si>
  <si>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</si>
  <si>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</si>
  <si>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</si>
  <si>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</si>
  <si>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</si>
  <si>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</si>
  <si>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</si>
  <si>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</si>
  <si>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</si>
  <si>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</si>
  <si>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</si>
  <si>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</si>
  <si>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</si>
  <si>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</si>
  <si>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</si>
  <si>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</si>
  <si>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</si>
  <si>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</si>
  <si>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</si>
  <si>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</si>
  <si>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</si>
  <si>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</si>
  <si>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</si>
  <si>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</si>
  <si>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</si>
  <si>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</si>
  <si>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</si>
  <si>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</si>
  <si>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</si>
  <si>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</si>
  <si>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</si>
  <si>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</si>
  <si>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</si>
  <si>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</si>
  <si>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</si>
  <si>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</si>
  <si>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</si>
  <si>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</si>
  <si>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</si>
  <si>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</si>
  <si>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</si>
  <si>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</si>
  <si>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</si>
  <si>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</si>
  <si>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</si>
  <si>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</si>
  <si>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</si>
  <si>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</si>
  <si>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</si>
  <si>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</si>
  <si>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</si>
  <si>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</si>
  <si>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</si>
  <si>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</si>
  <si>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</si>
  <si>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</si>
  <si>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</si>
  <si>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</si>
  <si>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</si>
  <si>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</si>
  <si>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</si>
  <si>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</si>
  <si>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</si>
  <si>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</si>
  <si>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</si>
  <si>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</si>
  <si>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</si>
  <si>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</si>
  <si>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</si>
  <si>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</si>
  <si>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</si>
  <si>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</si>
  <si>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</si>
  <si>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</si>
  <si>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</si>
  <si>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</si>
  <si>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</si>
  <si>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</si>
  <si>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</si>
  <si>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</si>
  <si>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</si>
  <si>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</si>
  <si>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</si>
  <si>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</si>
  <si>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</si>
  <si>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</si>
  <si>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</si>
  <si>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</si>
  <si>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</si>
  <si>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</si>
  <si>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</si>
  <si>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</si>
  <si>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</si>
  <si>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</si>
  <si>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</si>
  <si>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</si>
  <si>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</si>
  <si>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</si>
  <si>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</si>
  <si>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</si>
  <si>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</si>
  <si>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</si>
  <si>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</si>
  <si>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</si>
  <si>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</si>
  <si>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</si>
  <si>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</si>
  <si>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</si>
  <si>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</si>
  <si>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</si>
  <si>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</si>
  <si>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</si>
  <si>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</si>
  <si>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</si>
  <si>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</si>
  <si>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</si>
  <si>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</si>
  <si>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</si>
  <si>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</si>
  <si>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</si>
  <si>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</si>
  <si>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</si>
  <si>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</si>
  <si>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</si>
  <si>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</si>
  <si>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</si>
  <si>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</si>
  <si>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</si>
  <si>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</si>
  <si>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</si>
  <si>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</si>
  <si>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</si>
  <si>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</si>
  <si>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</si>
  <si>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</si>
  <si>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</si>
  <si>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</si>
  <si>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</si>
  <si>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</si>
  <si>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</si>
  <si>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</si>
  <si>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</si>
  <si>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</si>
  <si>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</si>
  <si>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</si>
  <si>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</si>
  <si>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</si>
  <si>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</si>
  <si>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</si>
  <si>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</si>
  <si>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</si>
  <si>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</si>
  <si>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</si>
  <si>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</si>
  <si>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</si>
  <si>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</si>
  <si>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</si>
  <si>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</si>
  <si>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</si>
  <si>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</si>
  <si>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</si>
  <si>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</si>
  <si>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</si>
  <si>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</si>
  <si>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</si>
  <si>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</si>
  <si>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</si>
  <si>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</si>
  <si>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</si>
  <si>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</si>
  <si>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</si>
  <si>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</si>
  <si>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</si>
  <si>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</si>
  <si>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</si>
  <si>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</si>
  <si>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</si>
  <si>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</si>
  <si>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</si>
  <si>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</si>
  <si>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</si>
  <si>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</si>
  <si>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</si>
  <si>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</si>
  <si>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</si>
  <si>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</si>
  <si>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</si>
  <si>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</si>
  <si>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</si>
  <si>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</si>
  <si>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</si>
  <si>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</si>
  <si>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</si>
  <si>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</si>
  <si>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</si>
  <si>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</si>
  <si>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</si>
  <si>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</si>
  <si>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</si>
  <si>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</si>
  <si>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</si>
  <si>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</si>
  <si>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</si>
  <si>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</si>
  <si>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</si>
  <si>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</si>
  <si>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</si>
  <si>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</si>
  <si>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</si>
  <si>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</si>
  <si>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</si>
  <si>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</si>
  <si>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</si>
  <si>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</si>
  <si>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</si>
  <si>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</si>
  <si>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</si>
  <si>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</si>
  <si>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</si>
  <si>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</si>
  <si>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</si>
  <si>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</si>
  <si>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</si>
  <si>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</si>
  <si>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</si>
  <si>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</si>
  <si>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</si>
  <si>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</si>
  <si>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</si>
  <si>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</si>
  <si>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</si>
  <si>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</si>
  <si>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</si>
  <si>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</si>
  <si>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</si>
  <si>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</si>
  <si>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</si>
  <si>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</si>
  <si>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</si>
  <si>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</si>
  <si>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</si>
  <si>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</si>
  <si>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</si>
  <si>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</si>
  <si>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</si>
  <si>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</si>
  <si>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</si>
  <si>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</si>
  <si>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</si>
  <si>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</si>
  <si>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</si>
  <si>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</si>
  <si>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</si>
  <si>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</si>
  <si>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</si>
  <si>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</si>
  <si>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</si>
  <si>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</si>
  <si>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</si>
  <si>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</si>
  <si>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</si>
  <si>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</si>
  <si>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</si>
  <si>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</si>
  <si>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</si>
  <si>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</si>
  <si>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</si>
  <si>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</si>
  <si>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</si>
  <si>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</si>
  <si>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</si>
  <si>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</si>
  <si>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</si>
  <si>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</si>
  <si>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</si>
  <si>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</si>
  <si>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</si>
  <si>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</si>
  <si>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</si>
  <si>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</si>
  <si>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</si>
  <si>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</si>
  <si>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</si>
  <si>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</si>
  <si>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</si>
  <si>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</si>
  <si>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</si>
  <si>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</si>
  <si>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</si>
  <si>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</si>
  <si>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</si>
  <si>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</si>
  <si>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</si>
  <si>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</si>
  <si>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</si>
  <si>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</si>
  <si>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</si>
  <si>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</si>
  <si>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</si>
  <si>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</si>
  <si>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</si>
  <si>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</si>
  <si>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</si>
  <si>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</si>
  <si>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</si>
  <si>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</si>
  <si>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</si>
  <si>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</si>
  <si>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</si>
  <si>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</si>
  <si>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</si>
  <si>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</si>
  <si>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</si>
  <si>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</si>
  <si>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</si>
  <si>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</si>
  <si>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</si>
  <si>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</si>
  <si>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</si>
  <si>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</si>
  <si>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</si>
  <si>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</si>
  <si>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</si>
  <si>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</si>
  <si>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</si>
  <si>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</si>
  <si>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</si>
  <si>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</si>
  <si>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</si>
  <si>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</si>
  <si>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</si>
  <si>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</si>
  <si>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</si>
  <si>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</si>
  <si>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</si>
  <si>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</si>
  <si>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</si>
  <si>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</si>
  <si>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</si>
  <si>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</si>
  <si>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</si>
  <si>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</si>
  <si>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</si>
  <si>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</si>
  <si>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</si>
  <si>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</si>
  <si>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</si>
  <si>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</si>
  <si>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</si>
  <si>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</si>
  <si>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</si>
  <si>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</si>
  <si>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</si>
  <si>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</si>
  <si>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</si>
  <si>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</si>
  <si>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</si>
  <si>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</si>
  <si>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</si>
  <si>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</si>
  <si>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</si>
  <si>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</si>
  <si>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</si>
  <si>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</si>
  <si>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</si>
  <si>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</si>
  <si>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</si>
  <si>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</si>
  <si>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</si>
  <si>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</si>
  <si>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</si>
  <si>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</si>
  <si>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</si>
  <si>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</si>
  <si>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</si>
  <si>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</si>
  <si>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</si>
  <si>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</si>
  <si>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</si>
  <si>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</si>
  <si>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</si>
  <si>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</si>
  <si>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</si>
  <si>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</si>
  <si>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</si>
  <si>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</si>
  <si>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</si>
  <si>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</si>
  <si>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</si>
  <si>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</si>
  <si>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</si>
  <si>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</si>
  <si>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</si>
  <si>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</si>
  <si>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</si>
  <si>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</si>
  <si>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</si>
  <si>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</si>
  <si>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</si>
  <si>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</si>
  <si>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</si>
  <si>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</si>
  <si>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</si>
  <si>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</si>
  <si>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</si>
  <si>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</si>
  <si>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</si>
  <si>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</si>
  <si>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</si>
  <si>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</si>
  <si>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</si>
  <si>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</si>
  <si>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</si>
  <si>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</si>
  <si>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</si>
  <si>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</si>
  <si>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</si>
  <si>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</si>
  <si>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</si>
  <si>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</si>
  <si>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</si>
  <si>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</si>
  <si>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</si>
  <si>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</si>
  <si>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</si>
  <si>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</si>
  <si>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</si>
  <si>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</si>
  <si>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</si>
  <si>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</si>
  <si>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</si>
  <si>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</si>
  <si>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</si>
  <si>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</si>
  <si>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</si>
  <si>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</si>
  <si>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</si>
  <si>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</si>
  <si>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</si>
  <si>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</si>
  <si>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</si>
  <si>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</si>
  <si>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</si>
  <si>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</si>
  <si>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</si>
  <si>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</si>
  <si>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</si>
  <si>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</si>
  <si>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</si>
  <si>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</si>
  <si>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</si>
  <si>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</si>
  <si>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</si>
  <si>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</si>
  <si>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</si>
  <si>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</si>
  <si>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</si>
  <si>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</si>
  <si>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</si>
  <si>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</si>
  <si>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</si>
  <si>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</si>
  <si>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</si>
  <si>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</si>
  <si>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</si>
  <si>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</si>
  <si>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</si>
  <si>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</si>
  <si>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</si>
  <si>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</si>
  <si>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</si>
  <si>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</si>
  <si>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</si>
  <si>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</si>
  <si>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</si>
  <si>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</si>
  <si>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</si>
  <si>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</si>
  <si>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</si>
  <si>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</si>
  <si>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</si>
  <si>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</si>
  <si>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</si>
  <si>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</si>
  <si>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</si>
  <si>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</si>
  <si>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</si>
  <si>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</si>
  <si>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</si>
  <si>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</si>
  <si>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</si>
  <si>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</si>
  <si>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</si>
  <si>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</si>
  <si>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</si>
  <si>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</si>
  <si>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</si>
  <si>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</si>
  <si>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</si>
  <si>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</si>
  <si>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</si>
  <si>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</si>
  <si>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</si>
  <si>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</si>
  <si>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</si>
  <si>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</si>
  <si>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</si>
  <si>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</si>
  <si>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</si>
  <si>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</si>
  <si>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</si>
  <si>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</si>
  <si>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</si>
  <si>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</si>
  <si>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</si>
  <si>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</si>
  <si>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</si>
  <si>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</si>
  <si>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</si>
  <si>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</si>
  <si>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</si>
  <si>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</si>
  <si>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</si>
  <si>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</si>
  <si>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</si>
  <si>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</si>
  <si>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</si>
  <si>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</si>
  <si>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</si>
  <si>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</si>
  <si>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</si>
  <si>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</si>
  <si>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</si>
  <si>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</si>
  <si>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</si>
  <si>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</si>
  <si>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</si>
  <si>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</si>
  <si>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</si>
  <si>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</si>
  <si>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</si>
  <si>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</si>
  <si>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</si>
  <si>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</si>
  <si>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</si>
  <si>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</si>
  <si>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</si>
  <si>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</si>
  <si>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</si>
  <si>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</si>
  <si>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</si>
  <si>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</si>
  <si>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</si>
  <si>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</si>
  <si>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</si>
  <si>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</si>
  <si>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</si>
  <si>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</si>
  <si>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</si>
  <si>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</si>
  <si>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</si>
  <si>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</si>
  <si>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</si>
  <si>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</si>
  <si>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</si>
  <si>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</si>
  <si>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</si>
  <si>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</si>
  <si>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</si>
  <si>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</si>
  <si>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</si>
  <si>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</si>
  <si>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</si>
  <si>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</si>
  <si>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</si>
  <si>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</si>
  <si>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</si>
  <si>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</si>
  <si>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</si>
  <si>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</si>
  <si>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</si>
  <si>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</si>
  <si>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</si>
  <si>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</si>
  <si>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</si>
  <si>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</si>
  <si>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</si>
  <si>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</si>
  <si>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</si>
  <si>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</si>
  <si>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</si>
  <si>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</si>
  <si>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</si>
  <si>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</si>
  <si>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</si>
  <si>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</si>
  <si>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</si>
  <si>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</si>
  <si>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</si>
  <si>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</si>
  <si>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</si>
  <si>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</si>
  <si>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</si>
  <si>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</si>
  <si>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</si>
  <si>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</si>
  <si>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</si>
  <si>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</si>
  <si>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</si>
  <si>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</si>
  <si>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</si>
  <si>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</si>
  <si>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</si>
  <si>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</si>
  <si>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</si>
  <si>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</si>
  <si>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</si>
  <si>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</si>
  <si>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</si>
  <si>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</si>
  <si>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</si>
  <si>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</si>
  <si>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</si>
  <si>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</si>
  <si>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</si>
  <si>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</si>
  <si>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</si>
  <si>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</si>
  <si>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</si>
  <si>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</si>
  <si>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</si>
  <si>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</si>
  <si>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</si>
  <si>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</si>
  <si>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</si>
  <si>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</si>
  <si>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</si>
  <si>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</si>
  <si>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</si>
  <si>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</si>
  <si>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</si>
  <si>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</si>
  <si>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</si>
  <si>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</si>
  <si>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</si>
  <si>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</si>
  <si>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</si>
  <si>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</si>
  <si>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</si>
  <si>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</si>
  <si>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</si>
  <si>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</si>
  <si>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</si>
  <si>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</si>
  <si>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</si>
  <si>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</si>
  <si>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</si>
  <si>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</si>
  <si>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</si>
  <si>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</si>
  <si>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</si>
  <si>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</si>
  <si>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</si>
  <si>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</si>
  <si>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</si>
  <si>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</si>
  <si>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</si>
  <si>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</si>
  <si>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</si>
  <si>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</si>
  <si>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</si>
  <si>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</si>
  <si>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</si>
  <si>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</si>
  <si>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</si>
  <si>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</si>
  <si>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</si>
  <si>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</si>
  <si>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</si>
  <si>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</si>
  <si>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</si>
  <si>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</si>
  <si>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</si>
  <si>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</si>
  <si>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</si>
  <si>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</si>
  <si>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</si>
  <si>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</si>
  <si>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</si>
  <si>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</si>
  <si>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</si>
  <si>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</si>
  <si>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</si>
  <si>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</si>
  <si>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</si>
  <si>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</si>
  <si>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</si>
  <si>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</si>
  <si>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</si>
  <si>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</si>
  <si>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</si>
  <si>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</si>
  <si>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</si>
  <si>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</si>
  <si>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</si>
  <si>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</si>
  <si>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</si>
  <si>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</si>
  <si>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</si>
  <si>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</si>
  <si>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</si>
  <si>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</si>
  <si>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</si>
  <si>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</si>
  <si>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</si>
  <si>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</si>
  <si>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</si>
  <si>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</si>
  <si>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</si>
  <si>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</si>
  <si>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</si>
  <si>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</si>
  <si>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</si>
  <si>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</si>
  <si>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</si>
  <si>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</si>
  <si>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</si>
  <si>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</si>
  <si>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</si>
  <si>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</si>
  <si>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</si>
  <si>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</si>
  <si>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</si>
  <si>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</si>
  <si>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</si>
  <si>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</si>
  <si>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</si>
  <si>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</si>
  <si>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</si>
  <si>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</si>
  <si>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</si>
  <si>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</si>
  <si>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</si>
  <si>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</si>
  <si>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</si>
  <si>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</si>
  <si>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</si>
  <si>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</si>
  <si>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</si>
  <si>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</si>
  <si>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</si>
  <si>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</si>
  <si>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</si>
  <si>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</si>
  <si>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</si>
  <si>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</si>
  <si>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</si>
  <si>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</si>
  <si>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</si>
  <si>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</si>
  <si>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</si>
  <si>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</si>
  <si>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</si>
  <si>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</si>
  <si>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</si>
  <si>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</si>
  <si>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</si>
  <si>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</si>
  <si>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</si>
  <si>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</si>
  <si>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</si>
  <si>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</si>
  <si>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</si>
  <si>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</si>
  <si>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</si>
  <si>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</si>
  <si>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</si>
  <si>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</si>
  <si>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</si>
  <si>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</si>
  <si>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</si>
  <si>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</si>
  <si>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</si>
  <si>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</si>
  <si>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</si>
  <si>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</si>
  <si>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</si>
  <si>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</si>
  <si>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</si>
  <si>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</si>
  <si>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</si>
  <si>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</si>
  <si>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</si>
  <si>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</si>
  <si>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</si>
  <si>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</si>
  <si>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</si>
  <si>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</si>
  <si>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</si>
  <si>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</si>
  <si>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</si>
  <si>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</si>
  <si>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</si>
  <si>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</si>
  <si>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</si>
  <si>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</si>
  <si>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</si>
  <si>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</si>
  <si>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</si>
  <si>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</si>
  <si>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</si>
  <si>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</si>
  <si>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</si>
  <si>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</si>
  <si>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</si>
  <si>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</si>
  <si>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</si>
  <si>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</si>
  <si>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</si>
  <si>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</si>
  <si>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</si>
  <si>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</si>
  <si>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</si>
  <si>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</si>
  <si>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</si>
  <si>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</si>
  <si>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</si>
  <si>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</si>
  <si>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</si>
  <si>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</si>
  <si>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</si>
  <si>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</si>
  <si>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</si>
  <si>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</si>
  <si>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</si>
  <si>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</si>
  <si>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</si>
  <si>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</si>
  <si>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</si>
  <si>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</si>
  <si>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</si>
  <si>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</si>
  <si>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</si>
  <si>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</si>
  <si>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</si>
  <si>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</si>
  <si>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</si>
  <si>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</si>
  <si>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</si>
  <si>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</si>
  <si>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</si>
  <si>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</si>
  <si>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</si>
  <si>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</si>
  <si>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</si>
  <si>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</si>
  <si>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</si>
  <si>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</si>
  <si>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</si>
  <si>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</si>
  <si>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</si>
  <si>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</si>
  <si>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</si>
  <si>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</si>
  <si>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</si>
  <si>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</si>
  <si>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</si>
  <si>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</si>
  <si>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</si>
  <si>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</si>
  <si>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</si>
  <si>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</si>
  <si>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</si>
  <si>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</si>
  <si>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</si>
  <si>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</si>
  <si>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</si>
  <si>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</si>
  <si>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</si>
  <si>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</si>
  <si>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</si>
  <si>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</si>
  <si>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</si>
  <si>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</si>
  <si>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</si>
  <si>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</si>
  <si>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</si>
  <si>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</si>
  <si>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</si>
  <si>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</si>
  <si>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</si>
  <si>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</si>
  <si>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</si>
  <si>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</si>
  <si>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</si>
  <si>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</si>
  <si>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</si>
  <si>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</si>
  <si>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</si>
  <si>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</si>
  <si>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</si>
  <si>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</si>
  <si>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</si>
  <si>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</si>
  <si>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</si>
  <si>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</si>
  <si>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</si>
  <si>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</si>
  <si>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</si>
  <si>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</si>
  <si>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</si>
  <si>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</si>
  <si>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</si>
  <si>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</si>
  <si>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</si>
  <si>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</si>
  <si>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</si>
  <si>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</si>
  <si>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</si>
  <si>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</si>
  <si>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</si>
  <si>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</si>
  <si>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</si>
  <si>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</si>
  <si>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</si>
  <si>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</si>
  <si>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</si>
  <si>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</si>
  <si>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</si>
  <si>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</si>
  <si>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</si>
  <si>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</si>
  <si>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</si>
  <si>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</si>
  <si>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</si>
  <si>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</si>
  <si>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</si>
  <si>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</si>
  <si>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</si>
  <si>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</si>
  <si>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</si>
  <si>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</si>
  <si>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</si>
  <si>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</si>
  <si>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</si>
  <si>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</si>
  <si>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</si>
  <si>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</si>
  <si>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</si>
  <si>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</si>
  <si>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</si>
  <si>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</si>
  <si>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</si>
  <si>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</si>
  <si>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</si>
  <si>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</si>
  <si>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</si>
  <si>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</si>
  <si>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</si>
  <si>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</si>
  <si>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</si>
  <si>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</si>
  <si>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</si>
  <si>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</si>
  <si>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</si>
  <si>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</si>
  <si>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</si>
  <si>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</si>
  <si>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</si>
  <si>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</si>
  <si>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</si>
  <si>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</si>
  <si>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</si>
  <si>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</si>
  <si>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</si>
  <si>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</si>
  <si>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</si>
  <si>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</si>
  <si>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</si>
  <si>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</si>
  <si>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</si>
  <si>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</si>
  <si>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</si>
  <si>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</si>
  <si>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</si>
  <si>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</si>
  <si>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</si>
  <si>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</si>
  <si>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</si>
  <si>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</si>
  <si>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</si>
  <si>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</si>
  <si>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</si>
  <si>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</si>
  <si>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</si>
  <si>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</si>
  <si>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</si>
  <si>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</si>
  <si>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</si>
  <si>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</si>
  <si>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</si>
  <si>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</si>
  <si>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</si>
  <si>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</si>
  <si>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</si>
  <si>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</si>
  <si>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</si>
  <si>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</si>
  <si>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</si>
  <si>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</si>
  <si>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</si>
  <si>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</si>
  <si>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</si>
  <si>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</si>
  <si>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</si>
  <si>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</si>
  <si>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</si>
  <si>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</si>
  <si>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</si>
  <si>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</si>
  <si>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</si>
  <si>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</si>
  <si>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</si>
  <si>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</si>
  <si>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</si>
  <si>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</si>
  <si>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</si>
  <si>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</si>
  <si>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</si>
  <si>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</si>
  <si>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</si>
  <si>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</si>
  <si>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</si>
  <si>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</si>
  <si>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</si>
  <si>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</si>
  <si>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</si>
  <si>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</si>
  <si>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</si>
  <si>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</si>
  <si>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</si>
  <si>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</si>
  <si>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</si>
  <si>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</si>
  <si>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</si>
  <si>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</si>
  <si>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</si>
  <si>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</si>
  <si>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</si>
  <si>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</si>
  <si>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</si>
  <si>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</si>
  <si>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</si>
  <si>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</si>
  <si>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</si>
  <si>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</si>
  <si>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</si>
  <si>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</si>
  <si>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</si>
  <si>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</si>
  <si>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</si>
  <si>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</si>
  <si>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</si>
  <si>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</si>
  <si>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</si>
  <si>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</si>
  <si>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</si>
  <si>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</si>
  <si>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</si>
  <si>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</si>
  <si>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</si>
  <si>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</si>
  <si>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</si>
  <si>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</si>
  <si>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</si>
  <si>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</si>
  <si>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</si>
  <si>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</si>
  <si>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</si>
  <si>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</si>
  <si>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</si>
  <si>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</si>
  <si>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</si>
  <si>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</si>
  <si>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</si>
  <si>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</si>
  <si>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</si>
  <si>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</si>
  <si>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</si>
  <si>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</si>
  <si>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</si>
  <si>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</si>
  <si>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</si>
  <si>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</si>
  <si>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</si>
  <si>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</si>
  <si>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</si>
  <si>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</si>
  <si>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</si>
  <si>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</si>
  <si>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</si>
  <si>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</si>
  <si>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</si>
  <si>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</si>
  <si>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</si>
  <si>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</si>
  <si>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</si>
  <si>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</si>
  <si>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</si>
  <si>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</si>
  <si>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</si>
  <si>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</si>
  <si>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</si>
  <si>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</si>
  <si>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</si>
  <si>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</si>
  <si>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</si>
  <si>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</si>
  <si>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</si>
  <si>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</si>
  <si>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</si>
  <si>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</si>
  <si>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</si>
  <si>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</si>
  <si>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</si>
  <si>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</si>
  <si>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</si>
  <si>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</si>
  <si>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</si>
  <si>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</si>
  <si>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</si>
  <si>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</si>
  <si>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</si>
  <si>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</si>
  <si>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</si>
  <si>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</si>
  <si>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</si>
  <si>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</si>
  <si>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</si>
  <si>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</si>
  <si>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</si>
  <si>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</si>
  <si>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</si>
  <si>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</si>
  <si>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</si>
  <si>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</si>
  <si>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</si>
  <si>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</si>
  <si>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</si>
  <si>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</si>
  <si>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</si>
  <si>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</si>
  <si>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</si>
  <si>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</si>
  <si>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</si>
  <si>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</si>
  <si>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</si>
  <si>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</si>
  <si>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</si>
  <si>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</si>
  <si>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</si>
  <si>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</si>
  <si>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</si>
  <si>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</si>
  <si>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</si>
  <si>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</si>
  <si>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</si>
  <si>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</si>
  <si>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</si>
  <si>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</si>
  <si>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</si>
  <si>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</si>
  <si>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</si>
  <si>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</si>
  <si>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</si>
  <si>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</si>
  <si>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</si>
  <si>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</si>
  <si>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</si>
  <si>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</si>
  <si>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</si>
  <si>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</si>
  <si>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</si>
  <si>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</si>
  <si>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</si>
  <si>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</si>
  <si>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</si>
  <si>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</si>
  <si>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</si>
  <si>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</si>
  <si>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</si>
  <si>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</si>
  <si>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</si>
  <si>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</si>
  <si>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</si>
  <si>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</si>
  <si>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</si>
  <si>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</si>
  <si>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</si>
  <si>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</si>
  <si>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</si>
  <si>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</si>
  <si>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</si>
  <si>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</si>
  <si>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</si>
  <si>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</si>
  <si>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</si>
  <si>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</si>
  <si>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</si>
  <si>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</si>
  <si>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</si>
  <si>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</si>
  <si>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</si>
  <si>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</si>
  <si>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</si>
  <si>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</si>
  <si>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</si>
  <si>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</si>
  <si>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</si>
  <si>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</si>
  <si>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</si>
  <si>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</si>
  <si>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</si>
  <si>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</si>
  <si>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</si>
  <si>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</si>
  <si>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</si>
  <si>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</si>
  <si>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</si>
  <si>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</si>
  <si>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</si>
  <si>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</si>
  <si>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</si>
  <si>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</si>
  <si>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</si>
  <si>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</si>
  <si>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</si>
  <si>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</si>
  <si>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</si>
  <si>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</si>
  <si>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</si>
  <si>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</si>
  <si>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</si>
  <si>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</si>
  <si>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</si>
  <si>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</si>
  <si>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</si>
  <si>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</si>
  <si>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</si>
  <si>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</si>
  <si>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</si>
  <si>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</si>
  <si>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</si>
  <si>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</si>
  <si>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</si>
  <si>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</si>
  <si>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</si>
  <si>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</si>
  <si>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</si>
  <si>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</si>
  <si>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</si>
  <si>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</si>
  <si>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</si>
  <si>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</si>
  <si>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</si>
  <si>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</si>
  <si>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</si>
  <si>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</si>
  <si>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</si>
  <si>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</si>
  <si>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</si>
  <si>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</si>
  <si>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</si>
  <si>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</si>
  <si>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</si>
  <si>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</si>
  <si>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</si>
  <si>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</si>
  <si>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</si>
  <si>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</si>
  <si>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</si>
  <si>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</si>
  <si>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</si>
  <si>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</si>
  <si>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</si>
  <si>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</si>
  <si>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</si>
  <si>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</si>
  <si>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</si>
  <si>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</si>
  <si>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</si>
  <si>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</si>
  <si>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</si>
  <si>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</si>
  <si>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</si>
  <si>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</si>
  <si>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</si>
  <si>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</si>
  <si>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</si>
  <si>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</si>
  <si>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</si>
  <si>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</si>
  <si>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</si>
  <si>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</si>
  <si>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</si>
  <si>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</si>
  <si>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</si>
  <si>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</si>
  <si>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</si>
  <si>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</si>
  <si>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</si>
  <si>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</si>
  <si>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</si>
  <si>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</si>
  <si>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</si>
  <si>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</si>
  <si>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</si>
  <si>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</si>
  <si>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</si>
  <si>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</si>
  <si>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</si>
  <si>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</si>
  <si>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</si>
  <si>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</si>
  <si>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</si>
  <si>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</si>
  <si>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</si>
  <si>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</si>
  <si>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</si>
  <si>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</si>
  <si>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</si>
  <si>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</si>
  <si>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</si>
  <si>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</si>
  <si>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</si>
  <si>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</si>
  <si>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</si>
  <si>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</si>
  <si>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</si>
  <si>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</si>
  <si>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</si>
  <si>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</si>
  <si>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</si>
  <si>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</si>
  <si>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</si>
  <si>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</si>
  <si>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</si>
  <si>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</si>
  <si>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</si>
  <si>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</si>
  <si>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</si>
  <si>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</si>
  <si>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</si>
  <si>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</si>
  <si>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</si>
  <si>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</si>
  <si>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</si>
  <si>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</si>
  <si>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</si>
  <si>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</si>
  <si>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</si>
  <si>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</si>
  <si>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</si>
  <si>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</si>
  <si>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</si>
  <si>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</si>
  <si>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</si>
  <si>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</si>
  <si>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</si>
  <si>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</si>
  <si>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</si>
  <si>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</si>
  <si>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</si>
  <si>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</si>
  <si>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</si>
  <si>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</si>
  <si>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</si>
  <si>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</si>
  <si>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</si>
  <si>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</si>
  <si>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</si>
  <si>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</si>
  <si>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</si>
  <si>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</si>
  <si>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</si>
  <si>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</si>
  <si>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</si>
  <si>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</si>
  <si>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</si>
  <si>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</si>
  <si>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</si>
  <si>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</si>
  <si>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</si>
  <si>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</si>
  <si>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</si>
  <si>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</si>
  <si>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</si>
  <si>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</si>
  <si>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</si>
  <si>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</si>
  <si>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</si>
  <si>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</si>
  <si>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</si>
  <si>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</si>
  <si>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</si>
  <si>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</si>
  <si>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</si>
  <si>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</si>
  <si>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</si>
  <si>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</si>
  <si>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</si>
  <si>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</si>
  <si>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</si>
  <si>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</si>
  <si>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</si>
  <si>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</si>
  <si>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</si>
  <si>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</si>
  <si>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</si>
  <si>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</si>
  <si>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</si>
  <si>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</si>
  <si>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</si>
  <si>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</si>
  <si>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</si>
  <si>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</si>
  <si>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</si>
  <si>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</si>
  <si>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</si>
  <si>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</si>
  <si>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</si>
  <si>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</si>
  <si>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</si>
  <si>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</si>
  <si>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</si>
  <si>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</si>
  <si>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</si>
  <si>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</si>
  <si>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</si>
  <si>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</si>
  <si>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</si>
  <si>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</si>
  <si>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</si>
  <si>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</si>
  <si>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</si>
  <si>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</si>
  <si>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</si>
  <si>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</si>
  <si>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</si>
  <si>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</si>
  <si>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</si>
  <si>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</si>
  <si>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</si>
  <si>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</si>
  <si>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</si>
  <si>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</si>
  <si>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</si>
  <si>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</si>
  <si>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</si>
  <si>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</si>
  <si>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</si>
  <si>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</si>
  <si>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</si>
  <si>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</si>
  <si>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</si>
  <si>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</si>
  <si>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</si>
  <si>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</si>
  <si>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</si>
  <si>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</si>
  <si>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</si>
  <si>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</si>
  <si>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</si>
  <si>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</si>
  <si>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</si>
  <si>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</si>
  <si>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</si>
  <si>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</si>
  <si>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</si>
  <si>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</si>
  <si>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</si>
  <si>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</si>
  <si>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</si>
  <si>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</si>
  <si>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</si>
  <si>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</si>
  <si>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</si>
  <si>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</si>
  <si>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</si>
  <si>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</si>
  <si>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</si>
  <si>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</si>
  <si>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</si>
  <si>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</si>
  <si>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</si>
  <si>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</si>
  <si>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</si>
  <si>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</si>
  <si>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</si>
  <si>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</si>
  <si>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</si>
  <si>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</si>
  <si>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</si>
  <si>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</si>
  <si>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</si>
  <si>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</si>
  <si>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</si>
  <si>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</si>
  <si>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</si>
  <si>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</si>
  <si>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</si>
  <si>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</si>
  <si>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</si>
  <si>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</si>
  <si>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</si>
  <si>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</si>
  <si>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</si>
  <si>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</si>
  <si>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</si>
  <si>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</si>
  <si>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</si>
  <si>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</si>
  <si>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</si>
  <si>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</si>
  <si>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</si>
  <si>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</si>
  <si>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</si>
  <si>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</si>
  <si>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</si>
  <si>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</si>
  <si>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</si>
  <si>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</si>
  <si>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</si>
  <si>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</si>
  <si>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</si>
  <si>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</si>
  <si>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</si>
  <si>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</si>
  <si>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</si>
  <si>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</si>
  <si>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</si>
  <si>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</si>
  <si>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</si>
  <si>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</si>
  <si>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</si>
  <si>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</si>
  <si>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</si>
  <si>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</si>
  <si>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</si>
  <si>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</si>
  <si>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</si>
  <si>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</si>
  <si>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</si>
  <si>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</si>
  <si>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</si>
  <si>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</si>
  <si>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</si>
  <si>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</si>
  <si>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</si>
  <si>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</si>
  <si>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</si>
  <si>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</si>
  <si>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</si>
  <si>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</si>
  <si>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</si>
  <si>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</si>
  <si>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</si>
  <si>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</si>
  <si>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</si>
  <si>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</si>
  <si>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</si>
  <si>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</si>
  <si>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</si>
  <si>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</si>
  <si>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</si>
  <si>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</si>
  <si>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</si>
  <si>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</si>
  <si>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</si>
  <si>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</si>
  <si>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</si>
  <si>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</si>
  <si>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</si>
  <si>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</si>
  <si>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</si>
  <si>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</si>
  <si>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</si>
  <si>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</si>
  <si>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</si>
  <si>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</si>
  <si>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</si>
  <si>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</si>
  <si>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</si>
  <si>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</si>
  <si>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</si>
  <si>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</si>
  <si>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</si>
  <si>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</si>
  <si>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</si>
  <si>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</si>
  <si>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</si>
  <si>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</si>
  <si>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</si>
  <si>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</si>
  <si>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</si>
  <si>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</si>
  <si>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</si>
  <si>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</si>
  <si>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</si>
  <si>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</si>
  <si>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</si>
  <si>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</si>
  <si>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</si>
  <si>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</si>
  <si>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</si>
  <si>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</si>
  <si>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</si>
  <si>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</si>
  <si>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</si>
  <si>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</si>
  <si>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</si>
  <si>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</si>
  <si>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</si>
  <si>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</si>
  <si>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</si>
  <si>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</si>
  <si>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</si>
  <si>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</si>
  <si>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</si>
  <si>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</si>
  <si>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</si>
  <si>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</si>
  <si>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</si>
  <si>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</si>
  <si>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</si>
  <si>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</si>
  <si>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</si>
  <si>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</si>
  <si>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</si>
  <si>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</si>
  <si>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</si>
  <si>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</si>
  <si>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</si>
  <si>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</si>
  <si>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</si>
  <si>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</si>
  <si>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</si>
  <si>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</si>
  <si>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</si>
  <si>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</si>
  <si>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</si>
  <si>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</si>
  <si>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</si>
  <si>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</si>
  <si>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</si>
  <si>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</si>
  <si>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</si>
  <si>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</si>
  <si>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</si>
  <si>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</si>
  <si>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</si>
  <si>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</si>
  <si>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</si>
  <si>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</si>
  <si>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</si>
  <si>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</si>
  <si>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</si>
  <si>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</si>
  <si>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</si>
  <si>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</si>
  <si>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</si>
  <si>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</si>
  <si>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</si>
  <si>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</si>
  <si>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</si>
  <si>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</si>
  <si>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</si>
  <si>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</si>
  <si>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</si>
  <si>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</si>
  <si>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</si>
  <si>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</si>
  <si>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</si>
  <si>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</si>
  <si>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</si>
  <si>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</si>
  <si>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</si>
  <si>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</si>
  <si>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</si>
  <si>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</si>
  <si>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</si>
  <si>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</si>
  <si>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</si>
  <si>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</si>
  <si>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</si>
  <si>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</si>
  <si>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</si>
  <si>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</si>
  <si>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</si>
  <si>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</si>
  <si>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</si>
  <si>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</si>
  <si>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</si>
  <si>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</si>
  <si>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</si>
  <si>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</si>
  <si>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</si>
  <si>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</si>
  <si>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</si>
  <si>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</si>
  <si>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</si>
  <si>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</si>
  <si>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</si>
  <si>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</si>
  <si>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</si>
  <si>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</si>
  <si>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</si>
  <si>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</si>
  <si>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</si>
  <si>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</si>
  <si>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</si>
  <si>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</si>
  <si>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</si>
  <si>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</si>
  <si>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</si>
  <si>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</si>
  <si>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</si>
  <si>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</si>
  <si>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</si>
  <si>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</si>
  <si>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</si>
  <si>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</si>
  <si>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</si>
  <si>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</si>
  <si>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</si>
  <si>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</si>
  <si>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</si>
  <si>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</si>
  <si>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</si>
  <si>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</si>
  <si>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</si>
  <si>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</si>
  <si>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</si>
  <si>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</si>
  <si>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</si>
  <si>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</si>
  <si>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</si>
  <si>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</si>
  <si>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</si>
  <si>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</si>
  <si>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</si>
  <si>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</si>
  <si>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</si>
  <si>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</si>
  <si>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</si>
  <si>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</si>
  <si>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</si>
  <si>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</si>
  <si>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</si>
  <si>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</si>
  <si>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</si>
  <si>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</si>
  <si>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</si>
  <si>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</si>
  <si>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</si>
  <si>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</si>
  <si>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</si>
  <si>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</si>
  <si>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</si>
  <si>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</si>
  <si>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</si>
  <si>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</si>
  <si>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</si>
  <si>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</si>
  <si>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</si>
  <si>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</si>
  <si>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</si>
  <si>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</si>
  <si>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</si>
  <si>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</si>
  <si>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</si>
  <si>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</si>
  <si>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</si>
  <si>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</si>
  <si>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</si>
  <si>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</si>
  <si>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</si>
  <si>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</si>
  <si>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</si>
  <si>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</si>
  <si>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</si>
  <si>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</si>
  <si>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</si>
  <si>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</si>
  <si>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</si>
  <si>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</si>
  <si>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</si>
  <si>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</si>
  <si>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</si>
  <si>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</si>
  <si>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</si>
  <si>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</si>
  <si>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</si>
  <si>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</si>
  <si>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</si>
  <si>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</si>
  <si>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</si>
  <si>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</si>
  <si>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</si>
  <si>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</si>
  <si>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</si>
  <si>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</si>
  <si>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</si>
  <si>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</si>
  <si>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</si>
  <si>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</si>
  <si>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</si>
  <si>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</si>
  <si>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</si>
  <si>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</si>
  <si>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</si>
  <si>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</si>
  <si>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</si>
  <si>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</si>
  <si>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</si>
  <si>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</si>
  <si>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</si>
  <si>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</si>
  <si>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</si>
  <si>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</si>
  <si>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</si>
  <si>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</si>
  <si>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</si>
  <si>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</si>
  <si>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</si>
  <si>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</si>
  <si>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</si>
  <si>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</si>
  <si>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</si>
  <si>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</si>
  <si>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</si>
  <si>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</si>
  <si>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</si>
  <si>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</si>
  <si>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</si>
  <si>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</si>
  <si>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</si>
  <si>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</si>
  <si>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</si>
  <si>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</si>
  <si>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</si>
  <si>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</si>
  <si>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</si>
  <si>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</si>
  <si>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</si>
  <si>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</si>
  <si>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</si>
  <si>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</si>
  <si>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</si>
  <si>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</si>
  <si>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</si>
  <si>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</si>
  <si>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</si>
  <si>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</si>
  <si>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</si>
  <si>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</si>
  <si>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</si>
  <si>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</si>
  <si>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</si>
  <si>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</si>
  <si>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</si>
  <si>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</si>
  <si>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</si>
  <si>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</si>
  <si>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</si>
  <si>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</si>
  <si>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</si>
  <si>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</si>
  <si>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</si>
  <si>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</si>
  <si>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</si>
  <si>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</si>
  <si>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</si>
  <si>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</si>
  <si>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</si>
  <si>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</si>
  <si>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</si>
  <si>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</si>
  <si>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</si>
  <si>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</si>
  <si>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</si>
  <si>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</si>
  <si>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</si>
  <si>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</si>
  <si>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</si>
  <si>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</si>
  <si>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</si>
  <si>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</si>
  <si>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</si>
  <si>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</si>
  <si>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</si>
  <si>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</si>
  <si>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</si>
  <si>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</si>
  <si>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</si>
  <si>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</si>
  <si>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</si>
  <si>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</si>
  <si>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</si>
  <si>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</si>
  <si>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</si>
  <si>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</si>
  <si>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</si>
  <si>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</si>
  <si>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</si>
  <si>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</si>
  <si>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</si>
  <si>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</si>
  <si>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</si>
  <si>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</si>
  <si>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</si>
  <si>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</si>
  <si>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</si>
  <si>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</si>
  <si>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</si>
  <si>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</si>
  <si>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</si>
  <si>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</si>
  <si>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</si>
  <si>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</si>
  <si>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</si>
  <si>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</si>
  <si>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</si>
  <si>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</si>
  <si>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</si>
  <si>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</si>
  <si>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</si>
  <si>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</si>
  <si>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</si>
  <si>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</si>
  <si>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</si>
  <si>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</si>
  <si>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</si>
  <si>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</si>
  <si>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</si>
  <si>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</si>
  <si>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</si>
  <si>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</si>
  <si>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</si>
  <si>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</si>
  <si>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</si>
  <si>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</si>
  <si>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</si>
  <si>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</si>
  <si>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</si>
  <si>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</si>
  <si>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</si>
  <si>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</si>
  <si>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</si>
  <si>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</si>
  <si>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</si>
  <si>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</si>
  <si>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</si>
  <si>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</si>
  <si>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</si>
  <si>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</si>
  <si>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</si>
  <si>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</si>
  <si>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</si>
  <si>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</si>
  <si>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</si>
  <si>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</si>
  <si>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</si>
  <si>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</si>
  <si>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</si>
  <si>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</si>
  <si>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</si>
  <si>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</si>
  <si>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</si>
  <si>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</si>
  <si>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</si>
  <si>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</si>
  <si>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</si>
  <si>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</si>
  <si>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</si>
  <si>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</si>
  <si>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</si>
  <si>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</si>
  <si>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</si>
  <si>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</si>
  <si>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</si>
  <si>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</si>
  <si>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</si>
  <si>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</si>
  <si>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</si>
  <si>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</si>
  <si>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</si>
  <si>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</si>
  <si>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</si>
  <si>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</si>
  <si>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</si>
  <si>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</si>
  <si>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</si>
  <si>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</si>
  <si>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</si>
  <si>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</si>
  <si>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</si>
  <si>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</si>
  <si>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</si>
  <si>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</si>
  <si>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</si>
  <si>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</si>
  <si>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</si>
  <si>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</si>
  <si>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</si>
  <si>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</si>
  <si>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</si>
  <si>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</si>
  <si>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</si>
  <si>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</si>
  <si>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</si>
  <si>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</si>
  <si>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</si>
  <si>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</si>
  <si>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</si>
  <si>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</si>
  <si>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</si>
  <si>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</si>
  <si>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</si>
  <si>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</si>
  <si>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</si>
  <si>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</si>
  <si>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</si>
  <si>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</si>
  <si>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</si>
  <si>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</si>
  <si>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</si>
  <si>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</si>
  <si>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</si>
  <si>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</si>
  <si>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</si>
  <si>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</si>
  <si>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</si>
  <si>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</si>
  <si>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</si>
  <si>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</si>
  <si>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</si>
  <si>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</si>
  <si>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</si>
  <si>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</si>
  <si>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</si>
  <si>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</si>
  <si>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</si>
  <si>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</si>
  <si>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</si>
  <si>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</si>
  <si>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</si>
  <si>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</si>
  <si>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</si>
  <si>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</si>
  <si>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</si>
  <si>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</si>
  <si>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</si>
  <si>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</si>
  <si>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</si>
  <si>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</si>
  <si>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</si>
  <si>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</si>
  <si>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</si>
  <si>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</si>
  <si>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</si>
  <si>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</si>
  <si>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</si>
  <si>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</si>
  <si>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</si>
  <si>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</si>
  <si>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</si>
  <si>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</si>
  <si>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</si>
  <si>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</si>
  <si>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</si>
  <si>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</si>
  <si>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</si>
  <si>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</si>
  <si>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</si>
  <si>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</si>
  <si>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</si>
  <si>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</si>
  <si>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</si>
  <si>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</si>
  <si>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</si>
  <si>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</si>
  <si>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</si>
  <si>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</si>
  <si>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</si>
  <si>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</si>
  <si>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</si>
  <si>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</si>
  <si>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</si>
  <si>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</si>
  <si>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</si>
  <si>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</si>
  <si>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</si>
  <si>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</si>
  <si>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</si>
  <si>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</si>
  <si>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</si>
  <si>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</si>
  <si>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</si>
  <si>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</si>
  <si>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</si>
  <si>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</si>
  <si>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</si>
  <si>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</si>
  <si>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</si>
  <si>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</si>
  <si>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</si>
  <si>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</si>
  <si>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</si>
  <si>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</si>
  <si>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</si>
  <si>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</si>
  <si>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</si>
  <si>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</si>
  <si>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</si>
  <si>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</si>
  <si>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</si>
  <si>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</si>
  <si>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</si>
  <si>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</si>
  <si>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</si>
  <si>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</si>
  <si>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</si>
  <si>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</si>
  <si>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</si>
  <si>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</si>
  <si>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</si>
  <si>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</si>
  <si>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</si>
  <si>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</si>
  <si>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</si>
  <si>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</si>
  <si>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</si>
  <si>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</si>
  <si>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</si>
  <si>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</si>
  <si>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</si>
  <si>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</si>
  <si>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</si>
  <si>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</si>
  <si>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</si>
  <si>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</si>
  <si>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</si>
  <si>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</si>
  <si>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</si>
  <si>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</si>
  <si>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</si>
  <si>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</si>
  <si>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</si>
  <si>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</si>
  <si>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</si>
  <si>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</si>
  <si>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</si>
  <si>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</si>
  <si>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</si>
  <si>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</si>
  <si>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</si>
  <si>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</si>
  <si>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</si>
  <si>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</si>
  <si>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</si>
  <si>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</si>
  <si>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</si>
  <si>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</si>
  <si>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</si>
  <si>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</si>
  <si>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</si>
  <si>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</si>
  <si>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</si>
  <si>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</si>
  <si>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</si>
  <si>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</si>
  <si>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</si>
  <si>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</si>
  <si>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</si>
  <si>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</si>
  <si>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</si>
  <si>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</si>
  <si>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</si>
  <si>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</si>
  <si>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</si>
  <si>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</si>
  <si>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</si>
  <si>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</si>
  <si>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</si>
  <si>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</si>
  <si>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</si>
  <si>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</si>
  <si>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</si>
  <si>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</si>
  <si>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</si>
  <si>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</si>
  <si>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</si>
  <si>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</si>
  <si>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</si>
  <si>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</si>
  <si>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</si>
  <si>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</si>
  <si>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</si>
  <si>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</si>
  <si>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</si>
  <si>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</si>
  <si>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</si>
  <si>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</si>
  <si>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</si>
  <si>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</si>
  <si>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</si>
  <si>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</si>
  <si>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</si>
  <si>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</si>
  <si>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</si>
  <si>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</si>
  <si>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</si>
  <si>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</si>
  <si>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</si>
  <si>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</si>
  <si>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</si>
  <si>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</si>
  <si>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</si>
  <si>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</si>
  <si>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</si>
  <si>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</si>
  <si>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</si>
  <si>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</si>
  <si>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</si>
  <si>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</si>
  <si>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</si>
  <si>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</si>
  <si>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</si>
  <si>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</si>
  <si>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</si>
  <si>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</si>
  <si>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</si>
  <si>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</si>
  <si>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</si>
  <si>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</si>
  <si>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</si>
  <si>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</si>
  <si>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</si>
  <si>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</si>
  <si>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</si>
  <si>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</si>
  <si>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</si>
  <si>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</si>
  <si>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</si>
  <si>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</si>
  <si>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</si>
  <si>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</si>
  <si>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</si>
  <si>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</si>
  <si>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</si>
  <si>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</si>
  <si>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</si>
  <si>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</si>
  <si>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</si>
  <si>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</si>
  <si>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</si>
  <si>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</si>
  <si>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</si>
  <si>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</si>
  <si>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</si>
  <si>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</si>
  <si>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</si>
  <si>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</si>
  <si>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</si>
  <si>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</si>
  <si>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</si>
  <si>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</si>
  <si>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</si>
  <si>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</si>
  <si>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</si>
  <si>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</si>
  <si>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</si>
  <si>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</si>
  <si>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</si>
  <si>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</si>
  <si>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</si>
  <si>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</si>
  <si>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</si>
  <si>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</si>
  <si>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</si>
  <si>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</si>
  <si>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</si>
  <si>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</si>
  <si>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</si>
  <si>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</si>
  <si>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</si>
  <si>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</si>
  <si>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</si>
  <si>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</si>
  <si>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</si>
  <si>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</si>
  <si>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</si>
  <si>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</si>
  <si>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</si>
  <si>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</si>
  <si>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</si>
  <si>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</si>
  <si>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</si>
  <si>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</si>
  <si>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</si>
  <si>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</si>
  <si>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</si>
  <si>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</si>
  <si>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</si>
  <si>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</si>
  <si>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</si>
  <si>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</si>
  <si>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</si>
  <si>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</si>
  <si>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</si>
  <si>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</si>
  <si>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</si>
  <si>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</si>
  <si>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</si>
  <si>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</si>
  <si>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</si>
  <si>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</si>
  <si>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</si>
  <si>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</si>
  <si>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</si>
  <si>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</si>
  <si>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</si>
  <si>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</si>
  <si>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</si>
  <si>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</si>
  <si>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</si>
  <si>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</si>
  <si>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</si>
  <si>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</si>
  <si>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</si>
  <si>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</si>
  <si>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</si>
  <si>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</si>
  <si>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</si>
  <si>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</si>
  <si>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</si>
  <si>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</si>
  <si>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</si>
  <si>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</si>
  <si>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</si>
  <si>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</si>
  <si>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</si>
  <si>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</si>
  <si>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</si>
  <si>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</si>
  <si>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</si>
  <si>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</si>
  <si>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</si>
  <si>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</si>
  <si>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</si>
  <si>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</si>
  <si>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</si>
  <si>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</si>
  <si>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</si>
  <si>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</si>
  <si>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</si>
  <si>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</si>
  <si>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</si>
  <si>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</si>
  <si>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</si>
  <si>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</si>
  <si>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</si>
  <si>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</si>
  <si>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</si>
  <si>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</si>
  <si>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</si>
  <si>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</si>
  <si>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</si>
  <si>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</si>
  <si>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</si>
  <si>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</si>
  <si>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</si>
  <si>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</si>
  <si>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</si>
  <si>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</si>
  <si>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</si>
  <si>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</si>
  <si>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</si>
  <si>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</si>
  <si>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</si>
  <si>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</si>
  <si>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</si>
  <si>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</si>
  <si>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</si>
  <si>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</si>
  <si>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</si>
  <si>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</si>
  <si>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</si>
  <si>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</si>
  <si>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</si>
  <si>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</si>
  <si>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</si>
  <si>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</si>
  <si>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</si>
  <si>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</si>
  <si>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</si>
  <si>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</si>
  <si>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</si>
  <si>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</si>
  <si>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</si>
  <si>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</si>
  <si>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</si>
  <si>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</si>
  <si>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</si>
  <si>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</si>
  <si>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</si>
  <si>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</si>
  <si>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</si>
  <si>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</si>
  <si>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</si>
  <si>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</si>
  <si>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</si>
  <si>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</si>
  <si>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</si>
  <si>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</si>
  <si>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</si>
  <si>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</si>
  <si>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</si>
  <si>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</si>
  <si>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</si>
  <si>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</si>
  <si>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</si>
  <si>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</si>
  <si>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</si>
  <si>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</si>
  <si>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</si>
  <si>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</si>
  <si>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</si>
  <si>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</si>
  <si>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</si>
  <si>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</si>
  <si>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</si>
  <si>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</si>
  <si>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</si>
  <si>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</si>
  <si>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</si>
  <si>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</si>
  <si>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</si>
  <si>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</si>
  <si>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</si>
  <si>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</si>
  <si>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</si>
  <si>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</si>
  <si>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</si>
  <si>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</si>
  <si>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</si>
  <si>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</si>
  <si>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</si>
  <si>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</si>
  <si>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</si>
  <si>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</si>
  <si>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</si>
  <si>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</si>
  <si>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</si>
  <si>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</si>
  <si>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</si>
  <si>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</si>
  <si>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</si>
  <si>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</si>
  <si>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</si>
  <si>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</si>
  <si>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</si>
  <si>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</si>
  <si>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</si>
  <si>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</si>
  <si>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</si>
  <si>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</si>
  <si>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</si>
  <si>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</si>
  <si>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</si>
  <si>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</si>
  <si>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</si>
  <si>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</si>
  <si>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</si>
  <si>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</si>
  <si>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</si>
  <si>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</si>
  <si>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</si>
  <si>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</si>
  <si>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</si>
  <si>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</si>
  <si>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</si>
  <si>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</si>
  <si>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</si>
  <si>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</si>
  <si>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</si>
  <si>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</si>
  <si>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</si>
  <si>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</si>
  <si>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</si>
  <si>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</si>
  <si>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</si>
  <si>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</si>
  <si>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</si>
  <si>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</si>
  <si>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</si>
  <si>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</si>
  <si>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</si>
  <si>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</si>
  <si>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</si>
  <si>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</si>
  <si>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</si>
  <si>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</si>
  <si>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</si>
  <si>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</si>
  <si>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</si>
  <si>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</si>
  <si>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</si>
  <si>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</si>
  <si>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</si>
  <si>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</si>
  <si>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</si>
  <si>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</si>
  <si>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</si>
  <si>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</si>
  <si>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</si>
  <si>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</si>
  <si>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</si>
  <si>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</si>
  <si>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</si>
  <si>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</si>
  <si>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</si>
  <si>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</si>
  <si>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</si>
  <si>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</si>
  <si>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</si>
  <si>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</si>
  <si>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</si>
  <si>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</si>
  <si>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</si>
  <si>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</si>
  <si>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</si>
  <si>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</si>
  <si>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</si>
  <si>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</si>
  <si>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</si>
  <si>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</si>
  <si>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</si>
  <si>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</si>
  <si>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</si>
  <si>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</si>
  <si>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</si>
  <si>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</si>
  <si>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</si>
  <si>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</si>
  <si>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</si>
  <si>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</si>
  <si>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</si>
  <si>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</si>
  <si>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</si>
  <si>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</si>
  <si>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</si>
  <si>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</si>
  <si>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</si>
  <si>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</si>
  <si>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</si>
  <si>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</si>
  <si>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</si>
  <si>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</si>
  <si>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</si>
  <si>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</si>
  <si>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</si>
  <si>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</si>
  <si>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</si>
  <si>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</si>
  <si>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</si>
  <si>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</si>
  <si>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</si>
  <si>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</si>
  <si>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</si>
  <si>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</si>
  <si>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</si>
  <si>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</si>
  <si>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</si>
  <si>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</si>
  <si>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</si>
  <si>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</si>
  <si>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</si>
  <si>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</si>
  <si>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</si>
  <si>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</si>
  <si>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</si>
  <si>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</si>
  <si>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</si>
  <si>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</si>
  <si>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</si>
  <si>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</si>
  <si>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</si>
  <si>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</si>
  <si>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</si>
  <si>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</si>
  <si>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</si>
  <si>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</si>
  <si>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</si>
  <si>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</si>
  <si>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</si>
  <si>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</si>
  <si>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</si>
  <si>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</si>
  <si>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</si>
  <si>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</si>
  <si>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</si>
  <si>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</si>
  <si>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</si>
  <si>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</si>
  <si>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</si>
  <si>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</si>
  <si>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</si>
  <si>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</si>
  <si>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</si>
  <si>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</si>
  <si>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</si>
  <si>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</si>
  <si>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</si>
  <si>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</si>
  <si>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</si>
  <si>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</si>
  <si>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</si>
  <si>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</si>
  <si>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</si>
  <si>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</si>
  <si>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</si>
  <si>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</si>
  <si>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</si>
  <si>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</si>
  <si>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</si>
  <si>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</si>
  <si>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</si>
  <si>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</si>
  <si>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</si>
  <si>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</si>
  <si>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</si>
  <si>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</si>
  <si>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</si>
  <si>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</si>
  <si>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</si>
  <si>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</si>
  <si>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</si>
  <si>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</si>
  <si>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</si>
  <si>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</si>
  <si>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</si>
  <si>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</si>
  <si>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</si>
  <si>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</si>
  <si>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</si>
  <si>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</si>
  <si>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</si>
  <si>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</si>
  <si>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</si>
  <si>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</si>
  <si>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</si>
  <si>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</si>
  <si>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</si>
  <si>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</si>
  <si>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</si>
  <si>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</si>
  <si>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</si>
  <si>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</si>
  <si>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</si>
  <si>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</si>
  <si>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</si>
  <si>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</si>
  <si>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</si>
  <si>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</si>
  <si>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</si>
  <si>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</si>
  <si>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</si>
  <si>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</si>
  <si>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</si>
  <si>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</si>
  <si>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</si>
  <si>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</si>
  <si>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</si>
  <si>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</si>
  <si>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</si>
  <si>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</si>
  <si>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</si>
  <si>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</si>
  <si>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</si>
  <si>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</si>
  <si>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</si>
  <si>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</si>
  <si>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</si>
  <si>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</si>
  <si>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</si>
  <si>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</si>
  <si>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</si>
  <si>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</si>
  <si>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</si>
  <si>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</si>
  <si>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</si>
  <si>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</si>
  <si>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</si>
  <si>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</si>
  <si>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</si>
  <si>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</si>
  <si>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</si>
  <si>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</si>
  <si>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</si>
  <si>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</si>
  <si>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</si>
  <si>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</si>
  <si>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</si>
  <si>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</si>
  <si>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</si>
  <si>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</si>
  <si>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</si>
  <si>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</si>
  <si>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</si>
  <si>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</si>
  <si>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</si>
  <si>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</si>
  <si>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</si>
  <si>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</si>
  <si>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</si>
  <si>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</si>
  <si>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</si>
  <si>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</si>
  <si>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</si>
  <si>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</si>
  <si>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</si>
  <si>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</si>
  <si>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</si>
  <si>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</si>
  <si>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</si>
  <si>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</si>
  <si>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</si>
  <si>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</si>
  <si>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</si>
  <si>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</si>
  <si>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</si>
  <si>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</si>
  <si>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</si>
  <si>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</si>
  <si>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</si>
  <si>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</si>
  <si>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</si>
  <si>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</si>
  <si>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</si>
  <si>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</si>
  <si>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</si>
  <si>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</si>
  <si>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</si>
  <si>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</si>
  <si>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</si>
  <si>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</si>
  <si>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</si>
  <si>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</si>
  <si>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</si>
  <si>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</si>
  <si>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</si>
  <si>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</si>
  <si>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</si>
  <si>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</si>
  <si>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</si>
  <si>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</si>
  <si>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</si>
  <si>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</si>
  <si>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</si>
  <si>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</si>
  <si>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</si>
  <si>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</si>
  <si>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</si>
  <si>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</si>
  <si>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</si>
  <si>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</si>
  <si>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</si>
  <si>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</si>
  <si>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</si>
  <si>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</si>
  <si>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</si>
  <si>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</si>
  <si>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</si>
  <si>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</si>
  <si>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</si>
  <si>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</si>
  <si>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</si>
  <si>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</si>
  <si>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</si>
  <si>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</si>
  <si>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</si>
  <si>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</si>
  <si>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</si>
  <si>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</si>
  <si>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</si>
  <si>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</si>
  <si>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</si>
  <si>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</si>
  <si>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</si>
  <si>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</si>
  <si>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</si>
  <si>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</si>
  <si>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</si>
  <si>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</si>
  <si>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</si>
  <si>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</si>
  <si>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</si>
  <si>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</si>
  <si>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</si>
  <si>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</si>
  <si>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</si>
  <si>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</si>
  <si>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</si>
  <si>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</si>
  <si>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</si>
  <si>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</si>
  <si>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</si>
  <si>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</si>
  <si>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</si>
  <si>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</si>
  <si>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</si>
  <si>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</si>
  <si>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</si>
  <si>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</si>
  <si>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</si>
  <si>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</si>
  <si>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</si>
  <si>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</si>
  <si>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</si>
  <si>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</si>
  <si>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</si>
  <si>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</si>
  <si>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</si>
  <si>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</si>
  <si>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</si>
  <si>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</si>
  <si>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</si>
  <si>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</si>
  <si>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</si>
  <si>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</si>
  <si>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</si>
  <si>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</si>
  <si>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</si>
  <si>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</si>
  <si>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</si>
  <si>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</si>
  <si>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</si>
  <si>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</si>
  <si>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</si>
  <si>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</si>
  <si>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</si>
  <si>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</si>
  <si>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</si>
  <si>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</si>
  <si>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</si>
  <si>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</si>
  <si>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</si>
  <si>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</si>
  <si>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</si>
  <si>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</si>
  <si>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</si>
  <si>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</si>
  <si>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</si>
  <si>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</si>
  <si>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</si>
  <si>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</si>
  <si>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</si>
  <si>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</si>
  <si>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</si>
  <si>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</si>
  <si>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</si>
  <si>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</si>
  <si>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</si>
  <si>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</si>
  <si>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</si>
  <si>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</si>
  <si>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</si>
  <si>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</si>
  <si>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</si>
  <si>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</si>
  <si>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</si>
  <si>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</si>
  <si>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</si>
  <si>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</si>
  <si>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</si>
  <si>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</si>
  <si>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</si>
  <si>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</si>
  <si>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</si>
  <si>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</si>
  <si>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</si>
  <si>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</si>
  <si>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</si>
  <si>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</si>
  <si>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</si>
  <si>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</si>
  <si>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</si>
  <si>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</si>
  <si>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</si>
  <si>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</si>
  <si>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</si>
  <si>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</si>
  <si>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</si>
  <si>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</si>
  <si>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</si>
  <si>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</si>
  <si>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</si>
  <si>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</si>
  <si>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</si>
  <si>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</si>
  <si>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</si>
  <si>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</si>
  <si>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</si>
  <si>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</si>
  <si>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</si>
  <si>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</si>
  <si>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</si>
  <si>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</si>
  <si>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</si>
  <si>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</si>
  <si>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</si>
  <si>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</si>
  <si>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</si>
  <si>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</si>
  <si>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</si>
  <si>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</si>
  <si>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</si>
  <si>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</si>
  <si>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</si>
  <si>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</si>
  <si>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</si>
  <si>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</si>
  <si>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</si>
  <si>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</si>
  <si>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</si>
  <si>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</si>
  <si>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</si>
  <si>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</si>
  <si>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</si>
  <si>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</si>
  <si>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</si>
  <si>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</si>
  <si>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</si>
  <si>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</si>
  <si>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</si>
  <si>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</si>
  <si>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</si>
  <si>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</si>
  <si>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</si>
  <si>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</si>
  <si>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</si>
  <si>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</si>
  <si>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</si>
  <si>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</si>
  <si>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</si>
  <si>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</si>
  <si>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</si>
  <si>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</si>
  <si>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</si>
  <si>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</si>
  <si>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</si>
  <si>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</si>
  <si>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</si>
  <si>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</si>
  <si>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</si>
  <si>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</si>
  <si>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</si>
  <si>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</si>
  <si>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</si>
  <si>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</si>
  <si>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</si>
  <si>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</si>
  <si>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</si>
  <si>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</si>
  <si>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</si>
  <si>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</si>
  <si>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</si>
  <si>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</si>
  <si>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</si>
  <si>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</si>
  <si>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</si>
  <si>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</si>
  <si>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</si>
  <si>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</si>
  <si>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</si>
  <si>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</si>
  <si>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</si>
  <si>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</si>
  <si>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</si>
  <si>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</si>
  <si>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</si>
  <si>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</si>
  <si>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</si>
  <si>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</si>
  <si>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</si>
  <si>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</si>
  <si>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</si>
  <si>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</si>
  <si>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</si>
  <si>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</si>
  <si>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</si>
  <si>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</si>
  <si>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</si>
  <si>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</si>
  <si>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</si>
  <si>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</si>
  <si>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</si>
  <si>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</si>
  <si>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</si>
  <si>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</si>
  <si>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</si>
  <si>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</si>
  <si>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</si>
  <si>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</si>
  <si>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</si>
  <si>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</si>
  <si>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</si>
  <si>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</si>
  <si>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</si>
  <si>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</si>
  <si>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</si>
  <si>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</si>
  <si>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</si>
  <si>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</si>
  <si>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</si>
  <si>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</si>
  <si>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</si>
  <si>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</si>
  <si>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</si>
  <si>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</si>
  <si>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</si>
  <si>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</si>
  <si>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</si>
  <si>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</si>
  <si>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</si>
  <si>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</si>
  <si>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</si>
  <si>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</si>
  <si>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</si>
  <si>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</si>
  <si>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</si>
  <si>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</si>
  <si>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</si>
  <si>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</si>
  <si>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</si>
  <si>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</si>
  <si>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</si>
  <si>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</si>
  <si>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</si>
  <si>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</si>
  <si>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</si>
  <si>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</si>
  <si>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</si>
  <si>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</si>
  <si>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</si>
  <si>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</si>
  <si>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</si>
  <si>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</si>
  <si>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</si>
  <si>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</si>
  <si>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</si>
  <si>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</si>
  <si>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</si>
  <si>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</si>
  <si>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</si>
  <si>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</si>
  <si>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</si>
  <si>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</si>
  <si>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</si>
  <si>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</si>
  <si>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</si>
  <si>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</si>
  <si>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</si>
  <si>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</si>
  <si>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</si>
  <si>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</si>
  <si>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</si>
  <si>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</si>
  <si>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</si>
  <si>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</si>
  <si>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</si>
  <si>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</si>
  <si>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</si>
  <si>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</si>
  <si>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</si>
  <si>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</si>
  <si>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</si>
  <si>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</si>
  <si>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</si>
  <si>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</si>
  <si>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</si>
  <si>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</si>
  <si>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</si>
  <si>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</si>
  <si>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</si>
  <si>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</si>
  <si>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</si>
  <si>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</si>
  <si>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</si>
  <si>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</si>
  <si>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</si>
  <si>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</si>
  <si>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</si>
  <si>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</si>
  <si>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</si>
  <si>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</si>
  <si>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</si>
  <si>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</si>
  <si>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</si>
  <si>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</si>
  <si>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</si>
  <si>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</si>
  <si>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</si>
  <si>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</si>
  <si>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</si>
  <si>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</si>
  <si>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</si>
  <si>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</si>
  <si>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</si>
  <si>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</si>
  <si>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</si>
  <si>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</si>
  <si>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</si>
  <si>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</si>
  <si>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</si>
  <si>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</si>
  <si>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</si>
  <si>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</si>
  <si>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</si>
  <si>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</si>
  <si>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</si>
  <si>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</si>
  <si>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</si>
  <si>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</si>
  <si>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</si>
  <si>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</si>
  <si>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</si>
  <si>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</si>
  <si>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</si>
  <si>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</si>
  <si>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</si>
  <si>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</si>
  <si>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</si>
  <si>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</si>
  <si>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</si>
  <si>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</si>
  <si>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</si>
  <si>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</si>
  <si>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</si>
  <si>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</si>
  <si>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</si>
  <si>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</si>
  <si>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</si>
  <si>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</si>
  <si>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</si>
  <si>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</si>
  <si>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</si>
  <si>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</si>
  <si>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</si>
  <si>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</si>
  <si>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</si>
  <si>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</si>
  <si>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</si>
  <si>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</si>
  <si>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</si>
  <si>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</si>
  <si>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</si>
  <si>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</si>
  <si>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</si>
  <si>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</si>
  <si>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</si>
  <si>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</si>
  <si>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</si>
  <si>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</si>
  <si>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</si>
  <si>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</si>
  <si>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</si>
  <si>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</si>
  <si>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</si>
  <si>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</si>
  <si>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</si>
  <si>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</si>
  <si>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</si>
  <si>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</si>
  <si>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</si>
  <si>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</si>
  <si>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</si>
  <si>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</si>
  <si>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</si>
  <si>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</si>
  <si>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</si>
  <si>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</si>
  <si>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</si>
  <si>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</si>
  <si>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</si>
  <si>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</si>
  <si>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</si>
  <si>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</si>
  <si>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</si>
  <si>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</si>
  <si>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</si>
  <si>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</si>
  <si>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</si>
  <si>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</si>
  <si>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</si>
  <si>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</si>
  <si>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</si>
  <si>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</si>
  <si>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</si>
  <si>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</si>
  <si>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</si>
  <si>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</si>
  <si>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</si>
  <si>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</si>
  <si>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</si>
  <si>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</si>
  <si>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</si>
  <si>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</si>
  <si>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</si>
  <si>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</si>
  <si>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</si>
  <si>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</si>
  <si>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</si>
  <si>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</si>
  <si>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</si>
  <si>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</si>
  <si>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</si>
  <si>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</si>
  <si>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</si>
  <si>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</si>
  <si>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</si>
  <si>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</si>
  <si>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</si>
  <si>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</si>
  <si>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</si>
  <si>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</si>
  <si>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</si>
  <si>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</si>
  <si>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</si>
  <si>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</si>
  <si>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</si>
  <si>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</si>
  <si>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</si>
  <si>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</si>
  <si>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</si>
  <si>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</si>
  <si>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</si>
  <si>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</si>
  <si>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</si>
  <si>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</si>
  <si>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</si>
  <si>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</si>
  <si>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</si>
  <si>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</si>
  <si>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</si>
  <si>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</si>
  <si>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</si>
  <si>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</si>
  <si>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</si>
  <si>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</si>
  <si>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</si>
  <si>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</si>
  <si>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</si>
  <si>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</si>
  <si>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</si>
  <si>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</si>
  <si>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</si>
  <si>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</si>
  <si>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</si>
  <si>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</si>
  <si>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</si>
  <si>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</si>
  <si>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</si>
  <si>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</si>
  <si>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</si>
  <si>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</si>
  <si>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</si>
  <si>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</si>
  <si>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</si>
  <si>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</si>
  <si>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</si>
  <si>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</si>
  <si>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</si>
  <si>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</si>
  <si>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</si>
  <si>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</si>
  <si>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</si>
  <si>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</si>
  <si>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</si>
  <si>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</si>
  <si>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</si>
  <si>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</si>
  <si>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</si>
  <si>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</si>
  <si>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</si>
  <si>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</si>
  <si>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</si>
  <si>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</si>
  <si>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</si>
  <si>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</si>
  <si>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</si>
  <si>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</si>
  <si>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</si>
  <si>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</si>
  <si>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</si>
  <si>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</si>
  <si>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</si>
  <si>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</si>
  <si>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</si>
  <si>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</si>
  <si>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</si>
  <si>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</si>
  <si>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</si>
  <si>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</si>
  <si>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</si>
  <si>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</si>
  <si>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</si>
  <si>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</si>
  <si>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</si>
  <si>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</si>
  <si>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</si>
  <si>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</si>
  <si>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</si>
  <si>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</si>
  <si>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</si>
  <si>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</si>
  <si>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</si>
  <si>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</si>
  <si>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</si>
  <si>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</si>
  <si>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</si>
  <si>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</si>
  <si>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</si>
  <si>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</si>
  <si>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</si>
  <si>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</si>
  <si>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</si>
  <si>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</si>
  <si>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</si>
  <si>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</si>
  <si>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</si>
  <si>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</si>
  <si>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</si>
  <si>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</si>
  <si>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</si>
  <si>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</si>
  <si>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</si>
  <si>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</si>
  <si>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</si>
  <si>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</si>
  <si>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</si>
  <si>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</si>
  <si>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</si>
  <si>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</si>
  <si>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</si>
  <si>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</si>
  <si>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</si>
  <si>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</si>
  <si>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</si>
  <si>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</si>
  <si>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</si>
  <si>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</si>
  <si>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</si>
  <si>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</si>
  <si>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</si>
  <si>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</si>
  <si>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</si>
  <si>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</si>
  <si>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</si>
  <si>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</si>
  <si>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</si>
  <si>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</si>
  <si>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</si>
  <si>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</si>
  <si>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</si>
  <si>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</si>
  <si>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</si>
  <si>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</si>
  <si>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</si>
  <si>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</si>
  <si>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</si>
  <si>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</si>
  <si>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</si>
  <si>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</si>
  <si>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</si>
  <si>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</si>
  <si>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</si>
  <si>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</si>
  <si>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</si>
  <si>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</si>
  <si>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</si>
  <si>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</si>
  <si>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</si>
  <si>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</si>
  <si>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</si>
  <si>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</si>
  <si>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</si>
  <si>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</si>
  <si>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</si>
  <si>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</si>
  <si>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</si>
  <si>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</si>
  <si>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</si>
  <si>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</si>
  <si>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</si>
  <si>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</si>
  <si>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</si>
  <si>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</si>
  <si>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</si>
  <si>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</si>
  <si>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</si>
  <si>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</si>
  <si>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</si>
  <si>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</si>
  <si>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</si>
  <si>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</si>
  <si>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</si>
  <si>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</si>
  <si>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</si>
  <si>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</si>
  <si>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</si>
  <si>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</si>
  <si>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</si>
  <si>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</si>
  <si>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</si>
  <si>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</si>
  <si>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</si>
  <si>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</si>
  <si>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</si>
  <si>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</si>
  <si>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</si>
  <si>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</si>
  <si>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</si>
  <si>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</si>
  <si>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</si>
  <si>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</si>
  <si>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</si>
  <si>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</si>
  <si>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</si>
  <si>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</si>
  <si>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</si>
  <si>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</si>
  <si>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</si>
  <si>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</si>
  <si>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</si>
  <si>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</si>
  <si>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</si>
  <si>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</si>
  <si>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</si>
  <si>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</si>
  <si>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</si>
  <si>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</si>
  <si>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</si>
  <si>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</si>
  <si>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</si>
  <si>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</si>
  <si>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</si>
  <si>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</si>
  <si>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</si>
  <si>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</si>
  <si>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</si>
  <si>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</si>
  <si>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</si>
  <si>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</si>
  <si>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</si>
  <si>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</si>
  <si>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</si>
  <si>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</si>
  <si>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</si>
  <si>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</si>
  <si>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</si>
  <si>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</si>
  <si>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</si>
  <si>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</si>
  <si>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</si>
  <si>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</si>
  <si>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</si>
  <si>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</si>
  <si>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</si>
  <si>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</si>
  <si>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</si>
  <si>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</si>
  <si>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</si>
  <si>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</si>
  <si>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</si>
  <si>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</si>
  <si>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</si>
  <si>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</si>
  <si>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</si>
  <si>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</si>
  <si>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</si>
  <si>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</si>
  <si>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</si>
  <si>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</si>
  <si>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</si>
  <si>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</si>
  <si>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</si>
  <si>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</si>
  <si>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</si>
  <si>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</si>
  <si>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</si>
  <si>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</si>
  <si>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</si>
  <si>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</si>
  <si>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</si>
  <si>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</si>
  <si>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</si>
  <si>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</si>
  <si>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</si>
  <si>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</si>
  <si>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</si>
  <si>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</si>
  <si>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</si>
  <si>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</si>
  <si>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</si>
  <si>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</si>
  <si>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</si>
  <si>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</si>
  <si>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</si>
  <si>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</si>
  <si>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</si>
  <si>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</si>
  <si>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</si>
  <si>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</si>
  <si>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</si>
  <si>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</si>
  <si>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</si>
  <si>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</si>
  <si>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</si>
  <si>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</si>
  <si>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</si>
  <si>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</si>
  <si>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</si>
  <si>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</si>
  <si>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</si>
  <si>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</si>
  <si>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</si>
  <si>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</si>
  <si>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</si>
  <si>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</si>
  <si>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</si>
  <si>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</si>
  <si>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</si>
  <si>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</si>
  <si>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</si>
  <si>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</si>
  <si>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</si>
  <si>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</si>
  <si>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</si>
  <si>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</si>
  <si>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</si>
  <si>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</si>
  <si>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</si>
  <si>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</si>
  <si>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</si>
  <si>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</si>
  <si>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</si>
  <si>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</si>
  <si>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</si>
  <si>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</si>
  <si>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</si>
  <si>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</si>
  <si>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</si>
  <si>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</si>
  <si>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</si>
  <si>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</si>
  <si>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</si>
  <si>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</si>
  <si>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</si>
  <si>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</si>
  <si>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</si>
  <si>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</si>
  <si>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</si>
  <si>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</si>
  <si>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</si>
  <si>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</si>
  <si>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</si>
  <si>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</si>
  <si>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</si>
  <si>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</si>
  <si>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</si>
  <si>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</si>
  <si>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</si>
  <si>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</si>
  <si>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</si>
  <si>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</si>
  <si>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</si>
  <si>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</si>
  <si>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</si>
  <si>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</si>
  <si>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</si>
  <si>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</si>
  <si>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</si>
  <si>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</si>
  <si>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</si>
  <si>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</si>
  <si>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</si>
  <si>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</si>
  <si>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</si>
  <si>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</si>
  <si>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</si>
  <si>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</si>
  <si>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</si>
  <si>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</si>
  <si>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</si>
  <si>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</si>
  <si>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</si>
  <si>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</si>
  <si>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</si>
  <si>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</si>
  <si>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</si>
  <si>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</si>
  <si>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</si>
  <si>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</si>
  <si>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</si>
  <si>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</si>
  <si>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</si>
  <si>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</si>
  <si>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</si>
  <si>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</si>
  <si>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</si>
  <si>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</si>
  <si>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</si>
  <si>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</si>
  <si>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</si>
  <si>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</si>
  <si>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</si>
  <si>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</si>
  <si>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</si>
  <si>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</si>
  <si>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</si>
  <si>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</si>
  <si>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</si>
  <si>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</si>
  <si>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</si>
  <si>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</si>
  <si>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</si>
  <si>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</si>
  <si>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</si>
  <si>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</si>
  <si>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</si>
  <si>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</si>
  <si>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</si>
  <si>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</si>
  <si>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</si>
  <si>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</si>
  <si>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</si>
  <si>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</si>
  <si>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</si>
  <si>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</si>
  <si>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</si>
  <si>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</si>
  <si>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</si>
  <si>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</si>
  <si>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</si>
  <si>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</si>
  <si>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</si>
  <si>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</si>
  <si>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</si>
  <si>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</si>
  <si>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</si>
  <si>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</si>
  <si>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</si>
  <si>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</si>
  <si>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</si>
  <si>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</si>
  <si>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</si>
  <si>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</si>
  <si>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</si>
  <si>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</si>
  <si>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</si>
  <si>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</si>
  <si>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</si>
  <si>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</si>
  <si>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</si>
  <si>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</si>
  <si>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</si>
  <si>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</si>
  <si>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</si>
  <si>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</si>
  <si>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</si>
  <si>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</si>
  <si>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</si>
  <si>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</si>
  <si>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</si>
  <si>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</si>
  <si>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</si>
  <si>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</si>
  <si>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</si>
  <si>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</si>
  <si>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</si>
  <si>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</si>
  <si>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</si>
  <si>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</si>
  <si>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</si>
  <si>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</si>
  <si>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</si>
  <si>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</si>
  <si>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</si>
  <si>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</si>
  <si>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</si>
  <si>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</si>
  <si>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</si>
  <si>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</si>
  <si>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</si>
  <si>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</si>
  <si>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</si>
  <si>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</si>
  <si>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</si>
  <si>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</si>
  <si>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</si>
  <si>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</si>
  <si>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</si>
  <si>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</si>
  <si>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</si>
  <si>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</si>
  <si>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</si>
  <si>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</si>
  <si>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</si>
  <si>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</si>
  <si>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</si>
  <si>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</si>
  <si>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</si>
  <si>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</si>
  <si>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</si>
  <si>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</si>
  <si>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</si>
  <si>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</si>
  <si>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</si>
  <si>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</si>
  <si>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</si>
  <si>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</si>
  <si>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</si>
  <si>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</si>
  <si>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</si>
  <si>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</si>
  <si>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</si>
  <si>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</si>
  <si>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</si>
  <si>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</si>
  <si>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</si>
  <si>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</si>
  <si>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</si>
  <si>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</si>
  <si>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</si>
  <si>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</si>
  <si>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</si>
  <si>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</si>
  <si>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</si>
  <si>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</si>
  <si>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</si>
  <si>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</si>
  <si>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</si>
  <si>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</si>
  <si>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</si>
  <si>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</si>
  <si>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</si>
  <si>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</si>
  <si>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</si>
  <si>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</si>
  <si>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</si>
  <si>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</si>
  <si>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</si>
  <si>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</si>
  <si>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</si>
  <si>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</si>
  <si>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</si>
  <si>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</si>
  <si>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</si>
  <si>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</si>
  <si>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</si>
  <si>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</si>
  <si>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</si>
  <si>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</si>
  <si>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</si>
  <si>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</si>
  <si>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</si>
  <si>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</si>
  <si>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</si>
  <si>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</si>
  <si>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</si>
  <si>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</si>
  <si>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</si>
  <si>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</si>
  <si>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</si>
  <si>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</si>
  <si>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</si>
  <si>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</si>
  <si>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</si>
  <si>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</si>
  <si>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</si>
  <si>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</si>
  <si>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</si>
  <si>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</si>
  <si>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</si>
  <si>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</si>
  <si>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</si>
  <si>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</si>
  <si>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</si>
  <si>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</si>
  <si>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</si>
  <si>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</si>
  <si>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</si>
  <si>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</si>
  <si>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</si>
  <si>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</si>
  <si>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</si>
  <si>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</si>
  <si>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</si>
  <si>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</si>
  <si>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</si>
  <si>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</si>
  <si>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</si>
  <si>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</si>
  <si>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</si>
  <si>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</si>
  <si>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</si>
  <si>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</si>
  <si>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</si>
  <si>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</si>
  <si>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</si>
  <si>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</si>
  <si>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</si>
  <si>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</si>
  <si>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</si>
  <si>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</si>
  <si>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</si>
  <si>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</si>
  <si>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</si>
  <si>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</si>
  <si>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</si>
  <si>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</si>
  <si>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</si>
  <si>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</si>
  <si>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</si>
  <si>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</si>
  <si>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</si>
  <si>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</si>
  <si>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</si>
  <si>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</si>
  <si>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</si>
  <si>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</si>
  <si>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</si>
  <si>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</si>
  <si>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</si>
  <si>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</si>
  <si>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</si>
  <si>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</si>
  <si>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</si>
  <si>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</si>
  <si>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</si>
  <si>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</si>
  <si>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</si>
  <si>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</si>
  <si>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</si>
  <si>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</si>
  <si>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</si>
  <si>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</si>
  <si>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</si>
  <si>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</si>
  <si>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</si>
  <si>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</si>
  <si>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</si>
  <si>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</si>
  <si>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</si>
  <si>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</si>
  <si>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</si>
  <si>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</si>
  <si>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</si>
  <si>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</si>
  <si>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</si>
  <si>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</si>
  <si>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</si>
  <si>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</si>
  <si>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</si>
  <si>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</si>
  <si>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</si>
  <si>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</si>
  <si>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</si>
  <si>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</si>
  <si>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</si>
  <si>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</si>
  <si>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</si>
  <si>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</si>
  <si>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</si>
  <si>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</si>
  <si>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</si>
  <si>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</si>
  <si>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</si>
  <si>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</si>
  <si>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</si>
  <si>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</si>
  <si>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</si>
  <si>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</si>
  <si>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</si>
  <si>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</si>
  <si>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</si>
  <si>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</si>
  <si>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</si>
  <si>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</si>
  <si>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</si>
  <si>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</si>
  <si>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</si>
  <si>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</si>
  <si>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</si>
  <si>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</si>
  <si>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</si>
  <si>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</si>
  <si>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</si>
  <si>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</si>
  <si>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</si>
  <si>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</si>
  <si>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</si>
  <si>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</si>
  <si>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</si>
  <si>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</si>
  <si>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</si>
  <si>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</si>
  <si>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</si>
  <si>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</si>
  <si>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</si>
  <si>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</si>
  <si>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</si>
  <si>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</si>
  <si>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</si>
  <si>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</si>
  <si>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</si>
  <si>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</si>
  <si>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</si>
  <si>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</si>
  <si>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</si>
  <si>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</si>
  <si>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</si>
  <si>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</si>
  <si>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</si>
  <si>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</si>
  <si>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</si>
  <si>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</si>
  <si>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</si>
  <si>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</si>
  <si>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</si>
  <si>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</si>
  <si>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</si>
  <si>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</si>
  <si>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</si>
  <si>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</si>
  <si>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</si>
  <si>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</si>
  <si>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</si>
  <si>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</si>
  <si>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</si>
  <si>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</si>
  <si>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</si>
  <si>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</si>
  <si>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</si>
  <si>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</si>
  <si>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</si>
  <si>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</si>
  <si>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</si>
  <si>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</si>
  <si>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</si>
  <si>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</si>
  <si>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</si>
  <si>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</si>
  <si>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</si>
  <si>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</si>
  <si>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</si>
  <si>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</si>
  <si>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</si>
  <si>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</si>
  <si>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</si>
  <si>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</si>
  <si>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</si>
  <si>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</si>
  <si>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</si>
  <si>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</si>
  <si>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</si>
  <si>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</si>
  <si>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</si>
  <si>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</si>
  <si>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</si>
  <si>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</si>
  <si>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</si>
  <si>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</si>
  <si>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</si>
  <si>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</si>
  <si>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</si>
  <si>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</si>
  <si>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</si>
  <si>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</si>
  <si>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</si>
  <si>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</si>
  <si>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</si>
  <si>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</si>
  <si>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</si>
  <si>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</si>
  <si>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</si>
  <si>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</si>
  <si>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</si>
  <si>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</si>
  <si>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</si>
  <si>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</si>
  <si>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</si>
  <si>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</si>
  <si>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</si>
  <si>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</si>
  <si>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</si>
  <si>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</si>
  <si>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</si>
  <si>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</si>
  <si>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</si>
  <si>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</si>
  <si>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</si>
  <si>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</si>
  <si>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</si>
  <si>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</si>
  <si>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</si>
  <si>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</si>
  <si>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</si>
  <si>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</si>
  <si>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</si>
  <si>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</si>
  <si>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</si>
  <si>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</si>
  <si>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</si>
  <si>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</si>
  <si>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</si>
  <si>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</si>
  <si>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</si>
  <si>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</si>
  <si>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</si>
  <si>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</si>
  <si>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</si>
  <si>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</si>
  <si>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</si>
  <si>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</si>
  <si>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</si>
  <si>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</si>
  <si>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</si>
  <si>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</si>
  <si>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</si>
  <si>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</si>
  <si>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</si>
  <si>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</si>
  <si>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</si>
  <si>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</si>
  <si>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</si>
  <si>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</si>
  <si>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</si>
  <si>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</si>
  <si>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</si>
  <si>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</si>
  <si>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</si>
  <si>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</si>
  <si>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</si>
  <si>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</si>
  <si>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</si>
  <si>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</si>
  <si>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</si>
  <si>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</si>
  <si>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</si>
  <si>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</si>
  <si>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</si>
  <si>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</si>
  <si>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</si>
  <si>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</si>
  <si>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</si>
  <si>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</si>
  <si>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</si>
  <si>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</si>
  <si>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</si>
  <si>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</si>
  <si>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</si>
  <si>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</si>
  <si>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</si>
  <si>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</si>
  <si>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</si>
  <si>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</si>
  <si>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</si>
  <si>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</si>
  <si>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</si>
  <si>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</si>
  <si>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</si>
  <si>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</si>
  <si>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</si>
  <si>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</si>
  <si>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</si>
  <si>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</si>
  <si>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</si>
  <si>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</si>
  <si>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</si>
  <si>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</si>
  <si>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</si>
  <si>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</si>
  <si>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</si>
  <si>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</si>
  <si>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</si>
  <si>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</si>
  <si>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</si>
  <si>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</si>
  <si>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</si>
  <si>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</si>
  <si>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</si>
  <si>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</si>
  <si>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</si>
  <si>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</si>
  <si>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</si>
  <si>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</si>
  <si>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</si>
  <si>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</si>
  <si>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</si>
  <si>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</si>
  <si>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</si>
  <si>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</si>
  <si>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</si>
  <si>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</si>
  <si>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</si>
  <si>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</si>
  <si>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</si>
  <si>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</si>
  <si>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</si>
  <si>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</si>
  <si>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</si>
  <si>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</si>
  <si>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</si>
  <si>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</si>
  <si>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</si>
  <si>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</si>
  <si>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</si>
  <si>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</si>
  <si>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</si>
  <si>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</si>
  <si>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</si>
  <si>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</si>
  <si>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</si>
  <si>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</si>
  <si>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</si>
  <si>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</si>
  <si>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</si>
  <si>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</si>
  <si>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</si>
  <si>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</si>
  <si>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</si>
  <si>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</si>
  <si>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</si>
  <si>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</si>
  <si>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</si>
  <si>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</si>
  <si>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</si>
  <si>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</si>
  <si>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</si>
  <si>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</si>
  <si>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</si>
  <si>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</si>
  <si>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</si>
  <si>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</si>
  <si>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</si>
  <si>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</si>
  <si>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</si>
  <si>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</si>
  <si>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</si>
  <si>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</si>
  <si>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</si>
  <si>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</si>
  <si>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</si>
  <si>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</si>
  <si>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</si>
  <si>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</si>
  <si>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</si>
  <si>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</si>
  <si>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</si>
  <si>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</si>
  <si>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</si>
  <si>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</si>
  <si>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</si>
  <si>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</si>
  <si>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</si>
  <si>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</si>
  <si>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</si>
  <si>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</si>
  <si>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</si>
  <si>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</si>
  <si>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</si>
  <si>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</si>
  <si>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</si>
  <si>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</si>
  <si>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</si>
  <si>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</si>
  <si>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</si>
  <si>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</si>
  <si>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</si>
  <si>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</si>
  <si>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</si>
  <si>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</si>
  <si>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</si>
  <si>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</si>
  <si>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</si>
  <si>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</si>
  <si>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</si>
  <si>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</si>
  <si>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</si>
  <si>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</si>
  <si>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</si>
  <si>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</si>
  <si>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</si>
  <si>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</si>
  <si>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</si>
  <si>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</si>
  <si>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</si>
  <si>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</si>
  <si>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</si>
  <si>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</si>
  <si>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</si>
  <si>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</si>
  <si>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</si>
  <si>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</si>
  <si>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</si>
  <si>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</si>
  <si>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</si>
  <si>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</si>
  <si>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</si>
  <si>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</si>
  <si>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</si>
  <si>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</si>
  <si>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</si>
  <si>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</si>
  <si>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</si>
  <si>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</si>
  <si>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</si>
  <si>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</si>
  <si>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</si>
  <si>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</si>
  <si>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</si>
  <si>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</si>
  <si>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</si>
  <si>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</si>
  <si>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</si>
  <si>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</si>
  <si>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</si>
  <si>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</si>
  <si>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</si>
  <si>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</si>
  <si>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</si>
  <si>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</si>
  <si>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</si>
  <si>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</si>
  <si>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</si>
  <si>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</si>
  <si>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</si>
  <si>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</si>
  <si>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</si>
  <si>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</si>
  <si>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</si>
  <si>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</si>
  <si>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</si>
  <si>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</si>
  <si>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</si>
  <si>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</si>
  <si>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</si>
  <si>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</si>
  <si>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</si>
  <si>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</si>
  <si>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</si>
  <si>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</si>
  <si>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</si>
  <si>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</si>
  <si>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</si>
  <si>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</si>
  <si>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</si>
  <si>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</si>
  <si>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</si>
  <si>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</si>
  <si>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</si>
  <si>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</si>
  <si>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</si>
  <si>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</si>
  <si>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</si>
  <si>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</si>
  <si>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</si>
  <si>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</si>
  <si>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</si>
  <si>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</si>
  <si>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</si>
  <si>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</si>
  <si>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</si>
  <si>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</si>
  <si>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</si>
  <si>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</si>
  <si>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</si>
  <si>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</si>
  <si>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</si>
  <si>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</si>
  <si>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</si>
  <si>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</si>
  <si>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</si>
  <si>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</si>
  <si>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</si>
  <si>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</si>
  <si>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</si>
  <si>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</si>
  <si>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</si>
  <si>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</si>
  <si>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</si>
  <si>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</si>
  <si>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</si>
  <si>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</si>
  <si>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</si>
  <si>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</si>
  <si>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</si>
  <si>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</si>
  <si>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</si>
  <si>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</si>
  <si>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</si>
  <si>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</si>
  <si>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</si>
  <si>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</si>
  <si>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</si>
  <si>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</si>
  <si>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</si>
  <si>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</si>
  <si>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</si>
  <si>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</si>
  <si>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</si>
  <si>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</si>
  <si>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</si>
  <si>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</si>
  <si>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</si>
  <si>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</si>
  <si>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</si>
  <si>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</si>
  <si>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</si>
  <si>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</si>
  <si>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</si>
  <si>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</si>
  <si>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</si>
  <si>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</si>
  <si>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</si>
  <si>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</si>
  <si>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</si>
  <si>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</si>
  <si>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</si>
  <si>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</si>
  <si>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</si>
  <si>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</si>
  <si>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</si>
  <si>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</si>
  <si>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</si>
  <si>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</si>
  <si>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</si>
  <si>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</si>
  <si>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</si>
  <si>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</si>
  <si>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</si>
  <si>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</si>
  <si>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</si>
  <si>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</si>
  <si>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</si>
  <si>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</si>
  <si>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</si>
  <si>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</si>
  <si>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</si>
  <si>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</si>
  <si>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</si>
  <si>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</si>
  <si>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</si>
  <si>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</si>
  <si>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</si>
  <si>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</si>
  <si>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</si>
  <si>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</si>
  <si>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</si>
  <si>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</si>
  <si>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</si>
  <si>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</si>
  <si>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</si>
  <si>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</si>
  <si>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</si>
  <si>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</si>
  <si>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</si>
  <si>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</si>
  <si>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</si>
  <si>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</si>
  <si>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</si>
  <si>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</si>
  <si>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</si>
  <si>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</si>
  <si>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</si>
  <si>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</si>
  <si>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</si>
  <si>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</si>
  <si>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</si>
  <si>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</si>
  <si>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</si>
  <si>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</si>
  <si>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</si>
  <si>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</si>
  <si>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</si>
  <si>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</si>
  <si>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</si>
  <si>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</si>
  <si>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</si>
  <si>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</si>
  <si>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</si>
  <si>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</si>
  <si>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</si>
  <si>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</si>
  <si>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</si>
  <si>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</si>
  <si>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</si>
  <si>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</si>
  <si>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</si>
  <si>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</si>
  <si>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</si>
  <si>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</si>
  <si>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</si>
  <si>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</si>
  <si>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</si>
  <si>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</si>
  <si>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</si>
  <si>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</si>
  <si>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</si>
  <si>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</si>
  <si>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</si>
  <si>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</si>
  <si>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</si>
  <si>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</si>
  <si>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</si>
  <si>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</si>
  <si>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</si>
  <si>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</si>
  <si>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</si>
  <si>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</si>
  <si>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</si>
  <si>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</si>
  <si>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</si>
  <si>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</si>
  <si>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</si>
  <si>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</si>
  <si>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</si>
  <si>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</si>
  <si>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</si>
  <si>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</si>
  <si>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</si>
  <si>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</si>
  <si>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</si>
  <si>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</si>
  <si>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</si>
  <si>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</si>
  <si>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</si>
  <si>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</si>
  <si>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</si>
  <si>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</si>
  <si>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</si>
  <si>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</si>
  <si>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</si>
  <si>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</si>
  <si>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</si>
  <si>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</si>
  <si>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</si>
  <si>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</si>
  <si>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</si>
  <si>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</si>
  <si>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</si>
  <si>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</si>
  <si>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</si>
  <si>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</si>
  <si>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</si>
  <si>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</si>
  <si>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</si>
  <si>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</si>
  <si>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</si>
  <si>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</si>
  <si>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</si>
  <si>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</si>
  <si>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</si>
  <si>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</si>
  <si>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</si>
  <si>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</si>
  <si>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</si>
  <si>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</si>
  <si>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</si>
  <si>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</si>
  <si>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</si>
  <si>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</si>
  <si>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</si>
  <si>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</si>
  <si>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</si>
  <si>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</si>
  <si>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</si>
  <si>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</si>
  <si>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</si>
  <si>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</si>
  <si>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</si>
  <si>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</si>
  <si>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</si>
  <si>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</si>
  <si>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</si>
  <si>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</si>
  <si>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</si>
  <si>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</si>
  <si>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</si>
  <si>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</si>
  <si>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</si>
  <si>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</si>
  <si>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</si>
  <si>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</si>
  <si>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</si>
  <si>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</si>
  <si>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</si>
  <si>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</si>
  <si>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</si>
  <si>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</si>
  <si>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</si>
  <si>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</si>
  <si>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</si>
  <si>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</si>
  <si>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</si>
  <si>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</si>
  <si>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</si>
  <si>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</si>
  <si>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</si>
  <si>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</si>
  <si>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</si>
  <si>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</si>
  <si>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</si>
  <si>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</si>
  <si>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</si>
  <si>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</si>
  <si>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</si>
  <si>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</si>
  <si>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</si>
  <si>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</si>
  <si>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</si>
  <si>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</si>
  <si>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</si>
  <si>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</si>
  <si>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</si>
  <si>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</si>
  <si>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</si>
  <si>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</si>
  <si>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</si>
  <si>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</si>
  <si>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</si>
  <si>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</si>
  <si>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</si>
  <si>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</si>
  <si>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</si>
  <si>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</si>
  <si>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</si>
  <si>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</si>
  <si>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</si>
  <si>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</si>
  <si>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</si>
  <si>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</si>
  <si>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</si>
  <si>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</si>
  <si>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</si>
  <si>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</si>
  <si>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</si>
  <si>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</si>
  <si>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</si>
  <si>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</si>
  <si>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</si>
  <si>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</si>
  <si>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</si>
  <si>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</si>
  <si>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</si>
  <si>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</si>
  <si>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</si>
  <si>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</si>
  <si>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</si>
  <si>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</si>
  <si>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</si>
  <si>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</si>
  <si>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</si>
  <si>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</si>
  <si>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</si>
  <si>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</si>
  <si>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</si>
  <si>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</si>
  <si>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</si>
  <si>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</si>
  <si>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</si>
  <si>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</si>
  <si>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</si>
  <si>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</si>
  <si>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</si>
  <si>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</si>
  <si>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</si>
  <si>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</si>
  <si>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</si>
  <si>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</si>
  <si>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</si>
  <si>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</si>
  <si>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</si>
  <si>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</si>
  <si>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</si>
  <si>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</si>
  <si>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</si>
  <si>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</si>
  <si>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</si>
  <si>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</si>
  <si>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</si>
  <si>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</si>
  <si>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</si>
  <si>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</si>
  <si>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</si>
  <si>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</si>
  <si>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</si>
  <si>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</si>
  <si>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</si>
  <si>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</si>
  <si>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</si>
  <si>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</si>
  <si>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</si>
  <si>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</si>
  <si>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</si>
  <si>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</si>
  <si>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</si>
  <si>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</si>
  <si>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</si>
  <si>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</si>
  <si>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</si>
  <si>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</si>
  <si>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</si>
  <si>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</si>
  <si>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</si>
  <si>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</si>
  <si>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</si>
  <si>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</si>
  <si>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</si>
  <si>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</si>
  <si>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</si>
  <si>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</si>
  <si>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</si>
  <si>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</si>
  <si>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</si>
  <si>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</si>
  <si>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</si>
  <si>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</si>
  <si>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</si>
  <si>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</si>
  <si>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</si>
  <si>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</si>
  <si>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</si>
  <si>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</si>
  <si>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</si>
  <si>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</si>
  <si>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</si>
  <si>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</si>
  <si>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</si>
  <si>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</si>
  <si>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</si>
  <si>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</si>
  <si>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</si>
  <si>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</si>
  <si>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</si>
  <si>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</si>
  <si>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</si>
  <si>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</si>
  <si>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</si>
  <si>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</si>
  <si>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</si>
  <si>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</si>
  <si>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</si>
  <si>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</si>
  <si>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</si>
  <si>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</si>
  <si>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</si>
  <si>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</si>
  <si>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</si>
  <si>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</si>
  <si>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</si>
  <si>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</si>
  <si>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</si>
  <si>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</si>
  <si>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</si>
  <si>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</si>
  <si>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</si>
  <si>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</si>
  <si>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</si>
  <si>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</si>
  <si>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</si>
  <si>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</si>
  <si>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</si>
  <si>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</si>
  <si>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</si>
  <si>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</si>
  <si>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</si>
  <si>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</si>
  <si>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</si>
  <si>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</si>
  <si>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</si>
  <si>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</si>
  <si>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</si>
  <si>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</si>
  <si>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</si>
  <si>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</si>
  <si>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</si>
  <si>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</si>
  <si>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</si>
  <si>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</si>
  <si>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</si>
  <si>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</si>
  <si>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</si>
  <si>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</si>
  <si>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</si>
  <si>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</si>
  <si>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</si>
  <si>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</si>
  <si>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</si>
  <si>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</si>
  <si>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</si>
  <si>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</si>
  <si>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</si>
  <si>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</si>
  <si>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</si>
  <si>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</si>
  <si>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</si>
  <si>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</si>
  <si>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</si>
  <si>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</si>
  <si>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</si>
  <si>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</si>
  <si>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</si>
  <si>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</si>
  <si>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</si>
  <si>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</si>
  <si>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</si>
  <si>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</si>
  <si>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</si>
  <si>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</si>
  <si>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</si>
  <si>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</si>
  <si>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</si>
  <si>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</si>
  <si>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</si>
  <si>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</si>
  <si>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</si>
  <si>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</si>
  <si>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</si>
  <si>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</si>
  <si>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</si>
  <si>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</si>
  <si>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</si>
  <si>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</si>
  <si>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</si>
  <si>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</si>
  <si>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</si>
  <si>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</si>
  <si>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</si>
  <si>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</si>
  <si>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</si>
  <si>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</si>
  <si>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</si>
  <si>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</si>
  <si>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</si>
  <si>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</si>
  <si>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</si>
  <si>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</si>
  <si>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</si>
  <si>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</si>
  <si>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</si>
  <si>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</si>
  <si>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</si>
  <si>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</si>
  <si>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</si>
  <si>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</si>
  <si>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</si>
  <si>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</si>
  <si>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</si>
  <si>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</si>
  <si>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</si>
  <si>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</si>
  <si>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</si>
  <si>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</si>
  <si>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</si>
  <si>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</si>
  <si>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</si>
  <si>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</si>
  <si>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</si>
  <si>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</si>
  <si>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</si>
  <si>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</si>
  <si>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</si>
  <si>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</si>
  <si>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</si>
  <si>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</si>
  <si>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</si>
  <si>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</si>
  <si>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</si>
  <si>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</si>
  <si>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</si>
  <si>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</si>
  <si>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</si>
  <si>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</si>
  <si>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</si>
  <si>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</si>
  <si>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</si>
  <si>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</si>
  <si>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</si>
  <si>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</si>
  <si>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</si>
  <si>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</si>
  <si>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</si>
  <si>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</si>
  <si>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</si>
  <si>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</si>
  <si>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</si>
  <si>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</si>
  <si>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</si>
  <si>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</si>
  <si>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</si>
  <si>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</si>
  <si>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</si>
  <si>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</si>
  <si>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</si>
  <si>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</si>
  <si>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</si>
  <si>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</si>
  <si>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</si>
  <si>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</si>
  <si>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</si>
  <si>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</si>
  <si>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</si>
  <si>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</si>
  <si>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</si>
  <si>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</si>
  <si>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</si>
  <si>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</si>
  <si>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</si>
  <si>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</si>
  <si>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</si>
  <si>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</si>
  <si>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</si>
  <si>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</si>
  <si>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</si>
  <si>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</si>
  <si>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</si>
  <si>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</si>
  <si>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</si>
  <si>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</si>
  <si>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</si>
  <si>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</si>
  <si>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</si>
  <si>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</si>
  <si>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</si>
  <si>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</si>
  <si>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</si>
  <si>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</si>
  <si>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</si>
  <si>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</si>
  <si>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</si>
  <si>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</si>
  <si>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</si>
  <si>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</si>
  <si>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</si>
  <si>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</si>
  <si>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</si>
  <si>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</si>
  <si>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</si>
  <si>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</si>
  <si>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</si>
  <si>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</si>
  <si>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</si>
  <si>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</si>
  <si>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</si>
  <si>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</si>
  <si>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</si>
  <si>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</si>
  <si>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</si>
  <si>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</si>
  <si>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</si>
  <si>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</si>
  <si>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</si>
  <si>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</si>
  <si>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</si>
  <si>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</si>
  <si>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</si>
  <si>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</si>
  <si>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</si>
  <si>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</si>
  <si>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</si>
  <si>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</si>
  <si>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</si>
  <si>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</si>
  <si>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</si>
  <si>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</si>
  <si>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</si>
  <si>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</si>
  <si>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</si>
  <si>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</si>
  <si>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</si>
  <si>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</si>
  <si>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</si>
  <si>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</si>
  <si>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</si>
  <si>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</si>
  <si>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</si>
  <si>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</si>
  <si>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</si>
  <si>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</si>
  <si>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</si>
  <si>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</si>
  <si>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</si>
  <si>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</si>
  <si>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</si>
  <si>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</si>
  <si>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</si>
  <si>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</si>
  <si>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</si>
  <si>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</si>
  <si>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</si>
  <si>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</si>
  <si>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</si>
  <si>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</si>
  <si>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</si>
  <si>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</si>
  <si>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</si>
  <si>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</si>
  <si>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</si>
  <si>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</si>
  <si>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</si>
  <si>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</si>
  <si>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</si>
  <si>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</si>
  <si>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</si>
  <si>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</si>
  <si>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</si>
  <si>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</si>
  <si>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</si>
  <si>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</si>
  <si>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</si>
  <si>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</si>
  <si>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</si>
  <si>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</si>
  <si>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</si>
  <si>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</si>
  <si>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</si>
  <si>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</si>
  <si>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</si>
  <si>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</si>
  <si>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</si>
  <si>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</si>
  <si>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</si>
  <si>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</si>
  <si>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</si>
  <si>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</si>
  <si>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</si>
  <si>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</si>
  <si>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</si>
  <si>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</si>
  <si>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</si>
  <si>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</si>
  <si>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</si>
  <si>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</si>
  <si>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</si>
  <si>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</si>
  <si>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</si>
  <si>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</si>
  <si>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</si>
  <si>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</si>
  <si>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</si>
  <si>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</si>
  <si>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</si>
  <si>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</si>
  <si>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</si>
  <si>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</si>
  <si>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</si>
  <si>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</si>
  <si>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</si>
  <si>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</si>
  <si>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</si>
  <si>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</si>
  <si>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</si>
  <si>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</si>
  <si>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</si>
  <si>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</si>
  <si>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</si>
  <si>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</si>
  <si>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</si>
  <si>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</si>
  <si>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</si>
  <si>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</si>
  <si>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</si>
  <si>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</si>
  <si>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</si>
  <si>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</si>
  <si>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</si>
  <si>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</si>
  <si>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</si>
  <si>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</si>
  <si>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</si>
  <si>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</si>
  <si>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</si>
  <si>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</si>
  <si>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</si>
  <si>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</si>
  <si>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</si>
  <si>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</si>
  <si>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</si>
  <si>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</si>
  <si>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</si>
  <si>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</si>
  <si>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</si>
  <si>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</si>
  <si>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</si>
  <si>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</si>
  <si>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</si>
  <si>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</si>
  <si>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</si>
  <si>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</si>
  <si>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</si>
  <si>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</si>
  <si>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</si>
  <si>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</si>
  <si>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</si>
  <si>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</si>
  <si>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</si>
  <si>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</si>
  <si>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</si>
  <si>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</si>
  <si>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</si>
  <si>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</si>
  <si>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</si>
  <si>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</si>
  <si>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</si>
  <si>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</si>
  <si>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</si>
  <si>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</si>
  <si>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</si>
  <si>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</si>
  <si>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</si>
  <si>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</si>
  <si>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</si>
  <si>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</si>
  <si>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</si>
  <si>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</si>
  <si>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</si>
  <si>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</si>
  <si>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</si>
  <si>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</si>
  <si>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</si>
  <si>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</si>
  <si>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</si>
  <si>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</si>
  <si>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</si>
  <si>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</si>
  <si>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</si>
  <si>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</si>
  <si>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</si>
  <si>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</si>
  <si>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</si>
  <si>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</si>
  <si>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</si>
  <si>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</si>
  <si>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</si>
  <si>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</si>
  <si>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</si>
  <si>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</si>
  <si>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</si>
  <si>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</si>
  <si>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</si>
  <si>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</si>
  <si>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</si>
  <si>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</si>
  <si>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</si>
  <si>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</si>
  <si>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</si>
  <si>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</si>
  <si>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</si>
  <si>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</si>
  <si>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</si>
  <si>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</si>
  <si>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</si>
  <si>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</si>
  <si>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</si>
  <si>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</si>
  <si>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</si>
  <si>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</si>
  <si>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</si>
  <si>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</si>
  <si>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</si>
  <si>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</si>
  <si>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</si>
  <si>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</si>
  <si>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</si>
  <si>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</si>
  <si>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</si>
  <si>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</si>
  <si>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</si>
  <si>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</si>
  <si>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</si>
  <si>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</si>
  <si>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</si>
  <si>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</si>
  <si>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</si>
  <si>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</si>
  <si>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</si>
  <si>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</si>
  <si>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</si>
  <si>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</si>
  <si>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</si>
  <si>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</si>
  <si>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</si>
  <si>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</si>
  <si>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</si>
  <si>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</si>
  <si>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</si>
  <si>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</si>
  <si>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</si>
  <si>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</si>
  <si>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</si>
  <si>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</si>
  <si>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</si>
  <si>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</si>
  <si>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</si>
  <si>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</si>
  <si>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</si>
  <si>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</si>
  <si>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</si>
  <si>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</si>
  <si>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</si>
  <si>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</si>
  <si>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</si>
  <si>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</si>
  <si>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</si>
  <si>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</si>
  <si>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</si>
  <si>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</si>
  <si>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</si>
  <si>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</si>
  <si>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</si>
  <si>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</si>
  <si>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</si>
  <si>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</si>
  <si>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</si>
  <si>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</si>
  <si>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</si>
  <si>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</si>
  <si>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</si>
  <si>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</si>
  <si>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</si>
  <si>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</si>
  <si>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</si>
  <si>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</si>
  <si>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</si>
  <si>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</si>
  <si>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</si>
  <si>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</si>
  <si>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</si>
  <si>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</si>
  <si>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</si>
  <si>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</si>
  <si>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</si>
  <si>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</si>
  <si>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</si>
  <si>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</si>
  <si>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</si>
  <si>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</si>
  <si>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</si>
  <si>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</si>
  <si>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</si>
  <si>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</si>
  <si>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</si>
  <si>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</si>
  <si>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</si>
  <si>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</si>
  <si>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</si>
  <si>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</si>
  <si>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</si>
  <si>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</si>
  <si>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</si>
  <si>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</si>
  <si>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</si>
  <si>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</si>
  <si>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</si>
  <si>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</si>
  <si>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</si>
  <si>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</si>
  <si>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</si>
  <si>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</si>
  <si>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</si>
  <si>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</si>
  <si>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</si>
  <si>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</si>
  <si>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</si>
  <si>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</si>
  <si>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</si>
  <si>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</si>
  <si>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</si>
  <si>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</si>
  <si>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</si>
  <si>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</si>
  <si>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</si>
  <si>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</si>
  <si>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</si>
  <si>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</si>
  <si>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</si>
  <si>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</si>
  <si>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</si>
  <si>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</si>
  <si>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</si>
  <si>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</si>
  <si>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</si>
  <si>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</si>
  <si>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</si>
  <si>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</si>
  <si>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</si>
  <si>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</si>
  <si>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</si>
  <si>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</si>
  <si>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</si>
  <si>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</si>
  <si>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</si>
  <si>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</si>
  <si>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</si>
  <si>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</si>
  <si>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</si>
  <si>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</si>
  <si>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</si>
  <si>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</si>
  <si>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</si>
  <si>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</si>
  <si>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</si>
  <si>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</si>
  <si>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</si>
  <si>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</si>
  <si>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</si>
  <si>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</si>
  <si>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</si>
  <si>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</si>
  <si>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</si>
  <si>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</si>
  <si>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</si>
  <si>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</si>
  <si>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</si>
  <si>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</si>
  <si>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</si>
  <si>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</si>
  <si>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</si>
  <si>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</si>
  <si>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</si>
  <si>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</si>
  <si>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</si>
  <si>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</si>
  <si>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</si>
  <si>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</si>
  <si>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</si>
  <si>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</si>
  <si>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</si>
  <si>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</si>
  <si>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</si>
  <si>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</si>
  <si>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</si>
  <si>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</si>
  <si>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</si>
  <si>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</si>
  <si>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</si>
  <si>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</si>
  <si>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</si>
  <si>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</si>
  <si>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</si>
  <si>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</si>
  <si>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</si>
  <si>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</si>
  <si>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</si>
  <si>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</si>
  <si>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</si>
  <si>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</si>
  <si>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</si>
  <si>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</si>
  <si>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</si>
  <si>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</si>
  <si>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</si>
  <si>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</si>
  <si>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</si>
  <si>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</si>
  <si>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</si>
  <si>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</si>
  <si>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</si>
  <si>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</si>
  <si>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</si>
  <si>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</si>
  <si>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</si>
  <si>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</si>
  <si>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</si>
  <si>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</si>
  <si>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</si>
  <si>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</si>
  <si>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</si>
  <si>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</si>
  <si>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</si>
  <si>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</si>
  <si>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</si>
  <si>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</si>
  <si>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</si>
  <si>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</si>
  <si>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</si>
  <si>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</si>
  <si>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</si>
  <si>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</si>
  <si>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</si>
  <si>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</si>
  <si>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</si>
  <si>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</si>
  <si>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</si>
  <si>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</si>
  <si>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</si>
  <si>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</si>
  <si>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</si>
  <si>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</si>
  <si>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</si>
  <si>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</si>
  <si>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</si>
  <si>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</si>
  <si>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</si>
  <si>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</si>
  <si>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</si>
  <si>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</si>
  <si>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</si>
  <si>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</si>
  <si>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</si>
  <si>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</si>
  <si>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</si>
  <si>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</si>
  <si>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</si>
  <si>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</si>
  <si>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</si>
  <si>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</si>
  <si>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</si>
  <si>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</si>
  <si>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</si>
  <si>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</si>
  <si>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</si>
  <si>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</si>
  <si>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</si>
  <si>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</si>
  <si>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</si>
  <si>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</si>
  <si>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</si>
  <si>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</si>
  <si>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</si>
  <si>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</si>
  <si>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</si>
  <si>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</si>
  <si>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</si>
  <si>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</si>
  <si>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</si>
  <si>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</si>
  <si>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</si>
  <si>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</si>
  <si>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</si>
  <si>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</si>
  <si>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</si>
  <si>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</si>
  <si>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</si>
  <si>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</si>
  <si>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</si>
  <si>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</si>
  <si>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</si>
  <si>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</si>
  <si>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</si>
  <si>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</si>
  <si>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</si>
  <si>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</si>
  <si>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</si>
  <si>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</si>
  <si>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</si>
  <si>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</si>
  <si>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</si>
  <si>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</si>
  <si>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</si>
  <si>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</si>
  <si>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</si>
  <si>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</si>
  <si>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</si>
  <si>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</si>
  <si>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</si>
  <si>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</si>
  <si>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</si>
  <si>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</si>
  <si>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</si>
  <si>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</si>
  <si>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</si>
  <si>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</si>
  <si>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</si>
  <si>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</si>
  <si>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</si>
  <si>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</si>
  <si>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</si>
  <si>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</si>
  <si>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</si>
  <si>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</si>
  <si>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</si>
  <si>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</si>
  <si>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</si>
  <si>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</si>
  <si>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</si>
  <si>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</si>
  <si>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</si>
  <si>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</si>
  <si>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</si>
  <si>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</si>
  <si>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</si>
  <si>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</si>
  <si>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</si>
  <si>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</si>
  <si>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</si>
  <si>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</si>
  <si>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</si>
  <si>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</si>
  <si>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</si>
  <si>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</si>
  <si>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</si>
  <si>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</si>
  <si>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</si>
  <si>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</si>
  <si>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</si>
  <si>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</si>
  <si>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</si>
  <si>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</si>
  <si>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</si>
  <si>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</si>
  <si>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</si>
  <si>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</si>
  <si>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</si>
  <si>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</si>
  <si>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</si>
  <si>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</si>
  <si>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</si>
  <si>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</si>
  <si>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</si>
  <si>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</si>
  <si>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</si>
  <si>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</si>
  <si>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</si>
  <si>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</si>
  <si>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</si>
  <si>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</si>
  <si>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</si>
  <si>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</si>
  <si>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</si>
  <si>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</si>
  <si>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</si>
  <si>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</si>
  <si>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</si>
  <si>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</si>
  <si>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</si>
  <si>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</si>
  <si>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</si>
  <si>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</si>
  <si>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</si>
  <si>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</si>
  <si>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</si>
  <si>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</si>
  <si>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</si>
  <si>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</si>
  <si>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</si>
  <si>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</si>
  <si>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</si>
  <si>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</si>
  <si>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</si>
  <si>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</si>
  <si>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</si>
  <si>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</si>
  <si>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</si>
  <si>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</si>
  <si>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</si>
  <si>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</si>
  <si>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</si>
  <si>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</si>
  <si>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</si>
  <si>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</si>
  <si>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</si>
  <si>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</si>
  <si>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</si>
  <si>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</si>
  <si>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</si>
  <si>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</si>
  <si>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</si>
  <si>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</si>
  <si>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</si>
  <si>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</si>
  <si>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</si>
  <si>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</si>
  <si>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</si>
  <si>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</si>
  <si>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</si>
  <si>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</si>
  <si>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</si>
  <si>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</si>
  <si>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</si>
  <si>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</si>
  <si>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</si>
  <si>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</si>
  <si>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</si>
  <si>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</si>
  <si>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</si>
  <si>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</si>
  <si>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</si>
  <si>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</si>
  <si>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</si>
  <si>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</si>
  <si>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</si>
  <si>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</si>
  <si>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</si>
  <si>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</si>
  <si>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</si>
  <si>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</si>
  <si>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</si>
  <si>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</si>
  <si>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</si>
  <si>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</si>
  <si>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</si>
  <si>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</si>
  <si>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</si>
  <si>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</si>
  <si>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</si>
  <si>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</si>
  <si>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</si>
  <si>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</si>
  <si>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</si>
  <si>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</si>
  <si>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</si>
  <si>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</si>
  <si>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</si>
  <si>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</si>
  <si>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</si>
  <si>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</si>
  <si>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</si>
  <si>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</si>
  <si>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</si>
  <si>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</si>
  <si>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</si>
  <si>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</si>
  <si>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</si>
  <si>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</si>
  <si>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</si>
  <si>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</si>
  <si>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</si>
  <si>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</si>
  <si>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</si>
  <si>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</si>
  <si>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</si>
  <si>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</si>
  <si>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</si>
  <si>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</si>
  <si>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</si>
  <si>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</si>
  <si>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</si>
  <si>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</si>
  <si>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</si>
  <si>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</si>
  <si>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</si>
  <si>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</si>
  <si>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</si>
  <si>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</si>
  <si>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</si>
  <si>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</si>
  <si>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</si>
  <si>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</si>
  <si>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</si>
  <si>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</si>
  <si>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</si>
  <si>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</si>
  <si>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</si>
  <si>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</si>
  <si>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</si>
  <si>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</si>
  <si>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</si>
  <si>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</si>
  <si>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</si>
  <si>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</si>
  <si>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</si>
  <si>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</si>
  <si>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</si>
  <si>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</si>
  <si>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</si>
  <si>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</si>
  <si>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</si>
  <si>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</si>
  <si>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</si>
  <si>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</si>
  <si>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</si>
  <si>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</si>
  <si>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</si>
  <si>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</si>
  <si>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</si>
  <si>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</si>
  <si>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</si>
  <si>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</si>
  <si>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</si>
  <si>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</si>
  <si>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</si>
  <si>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</si>
  <si>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</si>
  <si>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</si>
  <si>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</si>
  <si>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</si>
  <si>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</si>
  <si>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</si>
  <si>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</si>
  <si>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</si>
  <si>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</si>
  <si>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</si>
  <si>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</si>
  <si>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</si>
  <si>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</si>
  <si>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</si>
  <si>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</si>
  <si>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</si>
  <si>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</si>
  <si>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</si>
  <si>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</si>
  <si>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</si>
  <si>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</si>
  <si>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</si>
  <si>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</si>
  <si>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</si>
  <si>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</si>
  <si>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</si>
  <si>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</si>
  <si>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</si>
  <si>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</si>
  <si>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</si>
  <si>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</si>
  <si>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</si>
  <si>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</si>
  <si>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</si>
  <si>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</si>
  <si>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</si>
  <si>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</si>
  <si>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</si>
  <si>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</si>
  <si>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</si>
  <si>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</si>
  <si>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</si>
  <si>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</si>
  <si>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</si>
  <si>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</si>
  <si>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</si>
  <si>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</si>
  <si>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</si>
  <si>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</si>
  <si>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</si>
  <si>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</si>
  <si>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</si>
  <si>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</si>
  <si>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</si>
  <si>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</si>
  <si>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</si>
  <si>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</si>
  <si>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</si>
  <si>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</si>
  <si>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</si>
  <si>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</si>
  <si>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</si>
  <si>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</si>
  <si>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</si>
  <si>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</si>
  <si>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</si>
  <si>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</si>
  <si>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</si>
  <si>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</si>
  <si>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</si>
  <si>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</si>
  <si>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</si>
  <si>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</si>
  <si>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</si>
  <si>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</si>
  <si>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</si>
  <si>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</si>
  <si>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</si>
  <si>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</si>
  <si>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</si>
  <si>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</si>
  <si>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</si>
  <si>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</si>
  <si>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</si>
  <si>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</si>
  <si>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</si>
  <si>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</si>
  <si>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</si>
  <si>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</si>
  <si>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</si>
  <si>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</si>
  <si>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</si>
  <si>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</si>
  <si>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</si>
  <si>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</si>
  <si>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</si>
  <si>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</si>
  <si>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</si>
  <si>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</si>
  <si>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</si>
  <si>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</si>
  <si>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</si>
  <si>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</si>
  <si>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</si>
  <si>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</si>
  <si>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</si>
  <si>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</si>
  <si>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</si>
  <si>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</si>
  <si>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</si>
  <si>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</si>
  <si>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</si>
  <si>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</si>
  <si>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</si>
  <si>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</si>
  <si>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</si>
  <si>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</si>
  <si>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</si>
  <si>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</si>
  <si>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</si>
  <si>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</si>
  <si>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</si>
  <si>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</si>
  <si>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</si>
  <si>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</si>
  <si>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</si>
  <si>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</si>
  <si>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</si>
  <si>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</si>
  <si>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</si>
  <si>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</si>
  <si>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</si>
  <si>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</si>
  <si>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</si>
  <si>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</si>
  <si>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</si>
  <si>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</si>
  <si>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</si>
  <si>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</si>
  <si>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</si>
  <si>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</si>
  <si>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</si>
  <si>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</si>
  <si>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</si>
  <si>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</si>
  <si>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</si>
  <si>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</si>
  <si>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</si>
  <si>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</si>
  <si>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</si>
  <si>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</si>
  <si>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</si>
  <si>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</si>
  <si>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</si>
  <si>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</si>
  <si>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</si>
  <si>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</si>
  <si>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</si>
  <si>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</si>
  <si>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</si>
  <si>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</si>
  <si>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</si>
  <si>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</si>
  <si>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</si>
  <si>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</si>
  <si>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</si>
  <si>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</si>
  <si>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</si>
  <si>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</si>
  <si>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</si>
  <si>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</si>
  <si>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</si>
  <si>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</si>
  <si>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</si>
  <si>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</si>
  <si>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</si>
  <si>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</si>
  <si>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</si>
  <si>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</si>
  <si>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</si>
  <si>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</si>
  <si>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</si>
  <si>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</si>
  <si>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</si>
  <si>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</si>
  <si>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</si>
  <si>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</si>
  <si>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</si>
  <si>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</si>
  <si>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</si>
  <si>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</si>
  <si>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</si>
  <si>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</si>
  <si>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</si>
  <si>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</si>
  <si>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</si>
  <si>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</si>
  <si>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</si>
  <si>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</si>
  <si>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</si>
  <si>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</si>
  <si>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</si>
  <si>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</si>
  <si>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</si>
  <si>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</si>
  <si>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</si>
  <si>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</si>
  <si>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</si>
  <si>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</si>
  <si>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</si>
  <si>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</si>
  <si>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</si>
  <si>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</si>
  <si>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</si>
  <si>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</si>
  <si>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</si>
  <si>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</si>
  <si>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</si>
  <si>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</si>
  <si>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</si>
  <si>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</si>
  <si>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</si>
  <si>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</si>
  <si>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</si>
  <si>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</si>
  <si>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</si>
  <si>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</si>
  <si>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</si>
  <si>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</si>
  <si>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</si>
  <si>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</si>
  <si>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</si>
  <si>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</si>
  <si>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</si>
  <si>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</si>
  <si>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</si>
  <si>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</si>
  <si>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</si>
  <si>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</si>
  <si>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</si>
  <si>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</si>
  <si>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</si>
  <si>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</si>
  <si>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</si>
  <si>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</si>
  <si>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</si>
  <si>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</si>
  <si>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</si>
  <si>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</si>
  <si>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</si>
  <si>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</si>
  <si>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</si>
  <si>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</si>
  <si>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</si>
  <si>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</si>
  <si>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</si>
  <si>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</si>
  <si>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</si>
  <si>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</si>
  <si>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</si>
  <si>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</si>
  <si>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</si>
  <si>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</si>
  <si>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</si>
  <si>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</si>
  <si>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</si>
  <si>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</si>
  <si>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</si>
  <si>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</si>
  <si>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</si>
  <si>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</si>
  <si>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</si>
  <si>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</si>
  <si>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</si>
  <si>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</si>
  <si>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</si>
  <si>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</si>
  <si>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</si>
  <si>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</si>
  <si>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</si>
  <si>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</si>
  <si>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</si>
  <si>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</si>
  <si>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</si>
  <si>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</si>
  <si>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</si>
  <si>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</si>
  <si>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</si>
  <si>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</si>
  <si>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</si>
  <si>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</si>
  <si>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</si>
  <si>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</si>
  <si>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</si>
  <si>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</si>
  <si>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</si>
  <si>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</si>
  <si>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</si>
  <si>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</si>
  <si>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</si>
  <si>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</si>
  <si>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</si>
  <si>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</si>
  <si>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</si>
  <si>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</si>
  <si>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</si>
  <si>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</si>
  <si>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</si>
  <si>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</si>
  <si>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</si>
  <si>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</si>
  <si>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</si>
  <si>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</si>
  <si>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</si>
  <si>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</si>
  <si>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</si>
  <si>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</si>
  <si>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</si>
  <si>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</si>
  <si>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</si>
  <si>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</si>
  <si>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</si>
  <si>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</si>
  <si>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</si>
  <si>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</si>
  <si>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</si>
  <si>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</si>
  <si>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</si>
  <si>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</si>
  <si>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</si>
  <si>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</si>
  <si>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</si>
  <si>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</si>
  <si>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</si>
  <si>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</si>
  <si>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</si>
  <si>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</si>
  <si>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</si>
  <si>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</si>
  <si>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</si>
  <si>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</si>
  <si>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</si>
  <si>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</si>
  <si>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</si>
  <si>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</si>
  <si>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</si>
  <si>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</si>
  <si>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</si>
  <si>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</si>
  <si>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</si>
  <si>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</si>
  <si>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</si>
  <si>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</si>
  <si>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</si>
  <si>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</si>
  <si>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</si>
  <si>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</si>
  <si>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</si>
  <si>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</si>
  <si>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</si>
  <si>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</si>
  <si>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</si>
  <si>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</si>
  <si>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</si>
  <si>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</si>
  <si>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</si>
  <si>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</si>
  <si>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</si>
  <si>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</si>
  <si>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</si>
  <si>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</si>
  <si>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</si>
  <si>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</si>
  <si>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</si>
  <si>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</si>
  <si>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</si>
  <si>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</si>
  <si>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</si>
  <si>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</si>
  <si>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</si>
  <si>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</si>
  <si>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</si>
  <si>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</si>
  <si>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</si>
  <si>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</si>
  <si>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</si>
  <si>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</si>
  <si>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</si>
  <si>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</si>
  <si>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</si>
  <si>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</si>
  <si>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</si>
  <si>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</si>
  <si>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</si>
  <si>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</si>
  <si>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</si>
  <si>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</si>
  <si>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</si>
  <si>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</si>
  <si>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</si>
  <si>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</si>
  <si>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</si>
  <si>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</si>
  <si>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</si>
  <si>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</si>
  <si>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</si>
  <si>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</si>
  <si>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</si>
  <si>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</si>
  <si>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</si>
  <si>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</si>
  <si>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</si>
  <si>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</si>
  <si>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</si>
  <si>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</si>
  <si>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</si>
  <si>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</si>
  <si>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</si>
  <si>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</si>
  <si>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</si>
  <si>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</si>
  <si>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</si>
  <si>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</si>
  <si>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</si>
  <si>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</si>
  <si>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</si>
  <si>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</si>
  <si>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</si>
  <si>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</si>
  <si>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</si>
  <si>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</si>
  <si>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</si>
  <si>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</si>
  <si>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</si>
  <si>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</si>
  <si>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</si>
  <si>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</si>
  <si>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</si>
  <si>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</si>
  <si>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</si>
  <si>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</si>
  <si>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</si>
  <si>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</si>
  <si>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</si>
  <si>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</si>
  <si>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</si>
  <si>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</si>
  <si>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</si>
  <si>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</si>
  <si>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</si>
  <si>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</si>
  <si>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</si>
  <si>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</si>
  <si>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</si>
  <si>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</si>
  <si>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</si>
  <si>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</si>
  <si>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</si>
  <si>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</si>
  <si>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</si>
  <si>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</si>
  <si>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</si>
  <si>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</si>
  <si>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</si>
  <si>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</si>
  <si>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</si>
  <si>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</si>
  <si>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</si>
  <si>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</si>
  <si>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</si>
  <si>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</si>
  <si>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</si>
  <si>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</si>
  <si>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</si>
  <si>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</si>
  <si>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</si>
  <si>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</si>
  <si>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</si>
  <si>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</si>
  <si>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</si>
  <si>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</si>
  <si>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</si>
  <si>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</si>
  <si>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</si>
  <si>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</si>
  <si>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</si>
  <si>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</si>
  <si>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</si>
  <si>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</si>
  <si>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</si>
  <si>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</si>
  <si>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</si>
  <si>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</si>
  <si>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</si>
  <si>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</si>
  <si>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</si>
  <si>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</si>
  <si>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</si>
  <si>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</si>
  <si>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</si>
  <si>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</si>
  <si>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</si>
  <si>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</si>
  <si>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</si>
  <si>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</si>
  <si>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</si>
  <si>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</si>
  <si>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</si>
  <si>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</si>
  <si>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</si>
  <si>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</si>
  <si>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</si>
  <si>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</si>
  <si>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</si>
  <si>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</si>
  <si>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</si>
  <si>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</si>
  <si>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</si>
  <si>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</si>
  <si>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</si>
  <si>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</si>
  <si>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</si>
  <si>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</si>
  <si>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</si>
  <si>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</si>
  <si>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</si>
  <si>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</si>
  <si>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</si>
  <si>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</si>
  <si>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</si>
  <si>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</si>
  <si>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</si>
  <si>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</si>
  <si>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</si>
  <si>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</si>
  <si>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</si>
  <si>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</si>
  <si>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</si>
  <si>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</si>
  <si>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</si>
  <si>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</si>
  <si>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</si>
  <si>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</si>
  <si>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</si>
  <si>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</si>
  <si>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</si>
  <si>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</si>
  <si>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</si>
  <si>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</si>
  <si>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</si>
  <si>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</si>
  <si>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</si>
  <si>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</si>
  <si>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</si>
  <si>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</si>
  <si>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</si>
  <si>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</si>
  <si>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</si>
  <si>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</si>
  <si>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</si>
  <si>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</si>
  <si>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</si>
  <si>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</si>
  <si>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</si>
  <si>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</si>
  <si>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</si>
  <si>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</si>
  <si>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</si>
  <si>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</si>
  <si>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</si>
  <si>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</si>
  <si>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</si>
  <si>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</si>
  <si>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</si>
  <si>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</si>
  <si>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</si>
  <si>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</si>
  <si>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</si>
  <si>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</si>
  <si>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</si>
  <si>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</si>
  <si>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</si>
  <si>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</si>
  <si>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</si>
  <si>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</si>
  <si>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</si>
  <si>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</si>
  <si>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</si>
  <si>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</si>
  <si>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</si>
  <si>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</si>
  <si>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</si>
  <si>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</si>
  <si>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</si>
  <si>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</si>
  <si>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</si>
  <si>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</si>
  <si>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</si>
  <si>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</si>
  <si>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</si>
  <si>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</si>
  <si>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</si>
  <si>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</si>
  <si>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</si>
  <si>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</si>
  <si>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</si>
  <si>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</si>
  <si>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</si>
  <si>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</si>
  <si>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</si>
  <si>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</si>
  <si>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</si>
  <si>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</si>
  <si>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</si>
  <si>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</si>
  <si>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</si>
  <si>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</si>
  <si>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</si>
  <si>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</si>
  <si>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</si>
  <si>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</si>
  <si>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</si>
  <si>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</si>
  <si>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</si>
  <si>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</si>
  <si>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</si>
  <si>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</si>
  <si>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</si>
  <si>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</si>
  <si>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</si>
  <si>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</si>
  <si>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</si>
  <si>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</si>
  <si>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</si>
  <si>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</si>
  <si>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</si>
  <si>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</si>
  <si>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</si>
  <si>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</si>
  <si>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</si>
  <si>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</si>
  <si>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</si>
  <si>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</si>
  <si>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</si>
  <si>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</si>
  <si>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</si>
  <si>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</si>
  <si>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</si>
  <si>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</si>
  <si>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</si>
  <si>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</si>
  <si>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</si>
  <si>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</si>
  <si>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</si>
  <si>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</si>
  <si>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</si>
  <si>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</si>
  <si>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</si>
  <si>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</si>
  <si>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</si>
  <si>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</si>
  <si>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</si>
  <si>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</si>
  <si>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</si>
  <si>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</si>
  <si>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</si>
  <si>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</si>
  <si>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</si>
  <si>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</si>
  <si>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</si>
  <si>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</si>
  <si>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</si>
  <si>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</si>
  <si>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</si>
  <si>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</si>
  <si>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</si>
  <si>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</si>
  <si>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</si>
  <si>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</si>
  <si>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</si>
  <si>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</si>
  <si>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</si>
  <si>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</si>
  <si>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</si>
  <si>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</si>
  <si>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</si>
  <si>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</si>
  <si>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</si>
  <si>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</si>
  <si>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</si>
  <si>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</si>
  <si>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</si>
  <si>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</si>
  <si>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</si>
  <si>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</si>
  <si>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</si>
  <si>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</si>
  <si>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</si>
  <si>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</si>
  <si>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</si>
  <si>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</si>
  <si>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</si>
  <si>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</si>
  <si>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</si>
  <si>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</si>
  <si>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</si>
  <si>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</si>
  <si>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</si>
  <si>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</si>
  <si>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</si>
  <si>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</si>
  <si>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</si>
  <si>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</si>
  <si>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</si>
  <si>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</si>
  <si>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</si>
  <si>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</si>
  <si>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</si>
  <si>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</si>
  <si>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</si>
  <si>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</si>
  <si>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</si>
  <si>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</si>
  <si>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</si>
  <si>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</si>
  <si>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</si>
  <si>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</si>
  <si>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</si>
  <si>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</si>
  <si>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</si>
  <si>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</si>
  <si>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</si>
  <si>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</si>
  <si>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</si>
  <si>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</si>
  <si>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</si>
  <si>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</si>
  <si>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</si>
  <si>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</si>
  <si>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</si>
  <si>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</si>
  <si>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</si>
  <si>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</si>
  <si>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</si>
  <si>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</si>
  <si>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</si>
  <si>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</si>
  <si>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</si>
  <si>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</si>
  <si>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</si>
  <si>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</si>
  <si>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</si>
  <si>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</si>
  <si>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</si>
  <si>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</si>
  <si>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</si>
  <si>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</si>
  <si>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</si>
  <si>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</si>
  <si>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</si>
  <si>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</si>
  <si>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</si>
  <si>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</si>
  <si>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</si>
  <si>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</si>
  <si>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</si>
  <si>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</si>
  <si>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</si>
  <si>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</si>
  <si>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</si>
  <si>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</si>
  <si>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</si>
  <si>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</si>
  <si>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</si>
  <si>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</si>
  <si>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</si>
  <si>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</si>
  <si>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</si>
  <si>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</si>
  <si>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</si>
  <si>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</si>
  <si>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</si>
  <si>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</si>
  <si>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</si>
  <si>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</si>
  <si>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</si>
  <si>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</si>
  <si>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</si>
  <si>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</si>
  <si>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</si>
  <si>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</si>
  <si>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</si>
  <si>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</si>
  <si>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</si>
  <si>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</si>
  <si>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</si>
  <si>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</si>
  <si>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</si>
  <si>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</si>
  <si>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</si>
  <si>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</si>
  <si>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</si>
  <si>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</si>
  <si>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</si>
  <si>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</si>
  <si>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</si>
  <si>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</si>
  <si>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</si>
  <si>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</si>
  <si>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</si>
  <si>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</si>
  <si>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</si>
  <si>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</si>
  <si>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</si>
  <si>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</si>
  <si>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</si>
  <si>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</si>
  <si>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</si>
  <si>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</si>
  <si>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</si>
  <si>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</si>
  <si>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</si>
  <si>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</si>
  <si>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</si>
  <si>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</si>
  <si>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</si>
  <si>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</si>
  <si>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</si>
  <si>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</si>
  <si>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</si>
  <si>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</si>
  <si>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</si>
  <si>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</si>
  <si>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</si>
  <si>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</si>
  <si>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</si>
  <si>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</si>
  <si>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</si>
  <si>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</si>
  <si>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</si>
  <si>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</si>
  <si>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</si>
  <si>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</si>
  <si>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</si>
  <si>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</si>
  <si>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</si>
  <si>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</si>
  <si>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</si>
  <si>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</si>
  <si>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</si>
  <si>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</si>
  <si>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</si>
  <si>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</si>
  <si>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</si>
  <si>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</si>
  <si>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</si>
  <si>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</si>
  <si>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</si>
  <si>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</si>
  <si>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</si>
  <si>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</si>
  <si>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</si>
  <si>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</si>
  <si>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</si>
  <si>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</si>
  <si>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</si>
  <si>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</si>
  <si>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</si>
  <si>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</si>
  <si>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</si>
  <si>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</si>
  <si>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</si>
  <si>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</si>
  <si>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</si>
  <si>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</si>
  <si>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</si>
  <si>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</si>
  <si>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</si>
  <si>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</si>
  <si>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</si>
  <si>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</si>
  <si>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</si>
  <si>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</si>
  <si>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</si>
  <si>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</si>
  <si>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</si>
  <si>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</si>
  <si>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</si>
  <si>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</si>
  <si>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</si>
  <si>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</si>
  <si>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</si>
  <si>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</si>
  <si>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</si>
  <si>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</si>
  <si>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</si>
  <si>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</si>
  <si>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</si>
  <si>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</si>
  <si>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</si>
  <si>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</si>
  <si>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</si>
  <si>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</si>
  <si>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</si>
  <si>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</si>
  <si>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</si>
  <si>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</si>
  <si>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</si>
  <si>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</si>
  <si>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</si>
  <si>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</si>
  <si>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</si>
  <si>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</si>
  <si>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</si>
  <si>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</si>
  <si>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</si>
  <si>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</si>
  <si>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</si>
  <si>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</si>
  <si>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</si>
  <si>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</si>
  <si>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</si>
  <si>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</si>
  <si>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</si>
  <si>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</si>
  <si>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</si>
  <si>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</si>
  <si>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</si>
  <si>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</si>
  <si>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</si>
  <si>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</si>
  <si>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</si>
  <si>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</si>
  <si>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</si>
  <si>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</si>
  <si>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</si>
  <si>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</si>
  <si>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</si>
  <si>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</si>
  <si>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</si>
  <si>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</si>
  <si>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</si>
  <si>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</si>
  <si>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</si>
  <si>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</si>
  <si>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</si>
  <si>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</si>
  <si>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</si>
  <si>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</si>
  <si>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</si>
  <si>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</si>
  <si>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</si>
  <si>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</si>
  <si>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</si>
  <si>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</si>
  <si>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</si>
  <si>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</si>
  <si>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</si>
  <si>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</si>
  <si>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</si>
  <si>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</si>
  <si>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</si>
  <si>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</si>
  <si>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</si>
  <si>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</si>
  <si>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</si>
  <si>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</si>
  <si>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</si>
  <si>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</si>
  <si>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</si>
  <si>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</si>
  <si>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</si>
  <si>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</si>
  <si>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</si>
  <si>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</si>
  <si>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</si>
  <si>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</si>
  <si>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</si>
  <si>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</si>
  <si>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</si>
  <si>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</si>
  <si>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</si>
  <si>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</si>
  <si>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</si>
  <si>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</si>
  <si>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</si>
  <si>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</si>
  <si>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</si>
  <si>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</si>
  <si>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</si>
  <si>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</si>
  <si>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</si>
  <si>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</si>
  <si>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</si>
  <si>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</si>
  <si>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</si>
  <si>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</si>
  <si>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</si>
  <si>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</si>
  <si>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</si>
  <si>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</si>
  <si>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</si>
  <si>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</si>
  <si>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</si>
  <si>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</si>
  <si>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</si>
  <si>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</si>
  <si>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</si>
  <si>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</si>
  <si>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</si>
  <si>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</si>
  <si>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</si>
  <si>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</si>
  <si>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</si>
  <si>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</si>
  <si>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</si>
  <si>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</si>
  <si>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</si>
  <si>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</si>
  <si>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</si>
  <si>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</si>
  <si>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</si>
  <si>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</si>
  <si>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</si>
  <si>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</si>
  <si>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</si>
  <si>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</si>
  <si>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</si>
  <si>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</si>
  <si>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</si>
  <si>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</si>
  <si>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</si>
  <si>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</si>
  <si>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</si>
  <si>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</si>
  <si>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</si>
  <si>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</si>
  <si>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</si>
  <si>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</si>
  <si>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</si>
  <si>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</si>
  <si>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</si>
  <si>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</si>
  <si>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</si>
  <si>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</si>
  <si>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</si>
  <si>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</si>
  <si>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</si>
  <si>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</si>
  <si>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</si>
  <si>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</si>
  <si>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</si>
  <si>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</si>
  <si>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</si>
  <si>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</si>
  <si>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</si>
  <si>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</si>
  <si>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</si>
  <si>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</si>
  <si>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</si>
  <si>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</si>
  <si>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</si>
  <si>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</si>
  <si>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</si>
  <si>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</si>
  <si>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</si>
  <si>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</si>
  <si>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</si>
  <si>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</si>
  <si>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</si>
  <si>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</si>
  <si>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</si>
  <si>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</si>
  <si>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</si>
  <si>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</si>
  <si>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</si>
  <si>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</si>
  <si>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</si>
  <si>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</si>
  <si>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</si>
  <si>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</si>
  <si>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</si>
  <si>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</si>
  <si>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</si>
  <si>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</si>
  <si>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</si>
  <si>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</si>
  <si>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</si>
  <si>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</si>
  <si>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</si>
  <si>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</si>
  <si>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</si>
  <si>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</si>
  <si>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</si>
  <si>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</si>
  <si>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</si>
  <si>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</si>
  <si>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</si>
  <si>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</si>
  <si>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</si>
  <si>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</si>
  <si>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</si>
  <si>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</si>
  <si>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</si>
  <si>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</si>
  <si>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</si>
  <si>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</si>
  <si>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</si>
  <si>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</si>
  <si>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</si>
  <si>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</si>
  <si>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</si>
  <si>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</si>
  <si>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</si>
  <si>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</si>
  <si>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</si>
  <si>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</si>
  <si>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</si>
  <si>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</si>
  <si>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</si>
  <si>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</si>
  <si>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</si>
  <si>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</si>
  <si>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</si>
  <si>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</si>
  <si>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</si>
  <si>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</si>
  <si>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</si>
  <si>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</si>
  <si>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</si>
  <si>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</si>
  <si>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</si>
  <si>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</si>
  <si>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</si>
  <si>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</si>
  <si>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</si>
  <si>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</si>
  <si>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</si>
  <si>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</si>
  <si>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</si>
  <si>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</si>
  <si>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</si>
  <si>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</si>
  <si>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</si>
  <si>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</si>
  <si>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</si>
  <si>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</si>
  <si>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</si>
  <si>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</si>
  <si>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</si>
  <si>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</si>
  <si>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</si>
  <si>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</si>
  <si>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</si>
  <si>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</si>
  <si>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</si>
  <si>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</si>
  <si>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</si>
  <si>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</si>
  <si>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</si>
  <si>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</si>
  <si>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</si>
  <si>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</si>
  <si>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</si>
  <si>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</si>
  <si>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</si>
  <si>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</si>
  <si>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</si>
  <si>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</si>
  <si>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</si>
  <si>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</si>
  <si>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</si>
  <si>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</si>
  <si>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</si>
  <si>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</si>
  <si>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</si>
  <si>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</si>
  <si>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</si>
  <si>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</si>
  <si>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</si>
  <si>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</si>
  <si>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</si>
  <si>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</si>
  <si>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</si>
  <si>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</si>
  <si>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</si>
  <si>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</si>
  <si>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</si>
  <si>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</si>
  <si>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</si>
  <si>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</si>
  <si>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</si>
  <si>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</si>
  <si>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</si>
  <si>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</si>
  <si>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</si>
  <si>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</si>
  <si>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</si>
  <si>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</si>
  <si>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</si>
  <si>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</si>
  <si>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</si>
  <si>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</si>
  <si>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</si>
  <si>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</si>
  <si>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</si>
  <si>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</si>
  <si>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</si>
  <si>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</si>
  <si>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</si>
  <si>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</si>
  <si>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</si>
  <si>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</si>
  <si>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</si>
  <si>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</si>
  <si>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</si>
  <si>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</si>
  <si>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</si>
  <si>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</si>
  <si>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</si>
  <si>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</si>
  <si>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</si>
  <si>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</si>
  <si>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</si>
  <si>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</si>
  <si>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</si>
  <si>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</si>
  <si>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</si>
  <si>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</si>
  <si>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</si>
  <si>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</si>
  <si>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</si>
  <si>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</si>
  <si>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</si>
  <si>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</si>
  <si>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</si>
  <si>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</si>
  <si>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</si>
  <si>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</si>
  <si>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</si>
  <si>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</si>
  <si>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</si>
  <si>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</si>
  <si>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</si>
  <si>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</si>
  <si>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</si>
  <si>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</si>
  <si>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</si>
  <si>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</si>
  <si>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</si>
  <si>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</si>
  <si>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</si>
  <si>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</si>
  <si>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</si>
  <si>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</si>
  <si>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</si>
  <si>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</si>
  <si>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</si>
  <si>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</si>
  <si>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</si>
  <si>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</si>
  <si>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</si>
  <si>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</si>
  <si>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</si>
  <si>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</si>
  <si>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</si>
  <si>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</si>
  <si>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</si>
  <si>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</si>
  <si>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</si>
  <si>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</si>
  <si>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</si>
  <si>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</si>
  <si>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</si>
  <si>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</si>
  <si>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</si>
  <si>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</si>
  <si>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</si>
  <si>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</si>
  <si>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</si>
  <si>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</si>
  <si>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</si>
  <si>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</si>
  <si>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</si>
  <si>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</si>
  <si>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</si>
  <si>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</si>
  <si>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</si>
  <si>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</si>
  <si>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</si>
  <si>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</si>
  <si>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</si>
  <si>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</si>
  <si>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</si>
  <si>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</si>
  <si>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</si>
  <si>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</si>
  <si>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</si>
  <si>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</si>
  <si>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</si>
  <si>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</si>
  <si>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</si>
  <si>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</si>
  <si>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</si>
  <si>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</si>
  <si>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</si>
  <si>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</si>
  <si>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</si>
  <si>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</si>
  <si>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</si>
  <si>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</si>
  <si>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</si>
  <si>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</si>
  <si>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</si>
  <si>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</si>
  <si>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</si>
  <si>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</si>
  <si>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</si>
  <si>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</si>
  <si>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</si>
  <si>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</si>
  <si>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</si>
  <si>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</si>
  <si>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</si>
  <si>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</si>
  <si>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</si>
  <si>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</si>
  <si>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</si>
  <si>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</si>
  <si>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</si>
  <si>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</si>
  <si>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</si>
  <si>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</si>
  <si>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</si>
  <si>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</si>
  <si>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</si>
  <si>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</si>
  <si>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</si>
  <si>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</si>
  <si>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</si>
  <si>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</si>
  <si>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</si>
  <si>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</si>
  <si>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</si>
  <si>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</si>
  <si>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</si>
  <si>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</si>
  <si>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</si>
  <si>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</si>
  <si>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</si>
  <si>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</si>
  <si>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</si>
  <si>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</si>
  <si>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</si>
  <si>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</si>
  <si>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</si>
  <si>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</si>
  <si>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</si>
  <si>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</si>
  <si>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</si>
  <si>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</si>
  <si>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</si>
  <si>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</si>
  <si>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</si>
  <si>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</si>
  <si>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</si>
  <si>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</si>
  <si>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</si>
  <si>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</si>
  <si>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</si>
  <si>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</si>
  <si>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</si>
  <si>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</si>
  <si>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</si>
  <si>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</si>
  <si>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</si>
  <si>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</si>
  <si>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</si>
  <si>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</si>
  <si>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</si>
  <si>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</si>
  <si>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</si>
  <si>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</si>
  <si>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</si>
  <si>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</si>
  <si>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</si>
  <si>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</si>
  <si>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</si>
  <si>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</si>
  <si>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</si>
  <si>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</si>
  <si>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MCB 1968625832  CHQ amt = 200,000</t>
  </si>
  <si>
    <t>MCB 1968625833</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</si>
  <si>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</si>
  <si>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</si>
  <si>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</si>
  <si>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</si>
  <si>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</si>
  <si>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</si>
  <si>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</si>
  <si>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</si>
  <si>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</si>
  <si>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</si>
  <si>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</si>
  <si>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</si>
  <si>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</si>
  <si>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</si>
  <si>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</si>
  <si>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</si>
  <si>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</si>
  <si>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</si>
  <si>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</si>
  <si>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</si>
  <si>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</si>
  <si>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</si>
  <si>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</si>
  <si>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</si>
  <si>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</si>
  <si>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</si>
  <si>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</si>
  <si>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</si>
  <si>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</si>
  <si>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</si>
  <si>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</si>
  <si>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</si>
  <si>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</si>
  <si>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</si>
  <si>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</si>
  <si>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</si>
  <si>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</si>
  <si>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</si>
  <si>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</si>
  <si>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</si>
  <si>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</si>
  <si>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</si>
  <si>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</si>
  <si>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</si>
  <si>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</si>
  <si>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</si>
  <si>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</si>
  <si>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</si>
  <si>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</si>
  <si>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</si>
  <si>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</si>
  <si>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</si>
  <si>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</si>
  <si>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</si>
  <si>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</si>
  <si>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</si>
  <si>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</si>
  <si>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</si>
  <si>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</si>
  <si>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</si>
  <si>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</si>
  <si>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</si>
  <si>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</si>
  <si>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</si>
  <si>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</si>
  <si>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</si>
  <si>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</si>
  <si>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</si>
  <si>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</si>
  <si>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</si>
  <si>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</si>
  <si>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</si>
  <si>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</si>
  <si>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</si>
  <si>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</si>
  <si>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</si>
  <si>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</si>
  <si>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</si>
  <si>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</si>
  <si>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</si>
  <si>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</si>
  <si>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</si>
  <si>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</si>
  <si>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</si>
  <si>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</si>
  <si>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</si>
  <si>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</si>
  <si>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</si>
  <si>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</si>
  <si>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</si>
  <si>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</si>
  <si>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</si>
  <si>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</si>
  <si>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</si>
  <si>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</si>
  <si>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</si>
  <si>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</si>
  <si>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</si>
  <si>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</si>
  <si>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</si>
  <si>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</si>
  <si>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</si>
  <si>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</si>
  <si>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</si>
  <si>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</si>
  <si>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</si>
  <si>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</si>
  <si>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</si>
  <si>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</si>
  <si>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</si>
  <si>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</si>
  <si>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</si>
  <si>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</si>
  <si>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</si>
  <si>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</si>
  <si>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</si>
  <si>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</si>
  <si>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</si>
  <si>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</si>
  <si>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</si>
  <si>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</si>
  <si>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</si>
  <si>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</si>
  <si>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</si>
  <si>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</si>
  <si>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</si>
  <si>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</si>
  <si>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</si>
  <si>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</si>
  <si>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</si>
  <si>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</si>
  <si>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</si>
  <si>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</si>
  <si>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</si>
  <si>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</si>
  <si>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</si>
  <si>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</si>
  <si>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</si>
  <si>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</si>
  <si>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</si>
  <si>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</si>
  <si>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</si>
  <si>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</si>
  <si>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</si>
  <si>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</si>
  <si>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</si>
  <si>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</si>
  <si>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Zahid Juno</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</si>
  <si>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</si>
  <si>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</si>
  <si>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</si>
  <si>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</si>
  <si>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</si>
  <si>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</si>
  <si>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</si>
  <si>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</si>
  <si>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</si>
  <si>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</si>
  <si>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</si>
  <si>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</si>
  <si>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</si>
  <si>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</si>
  <si>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</si>
  <si>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</si>
  <si>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</si>
  <si>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</si>
  <si>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</si>
  <si>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</si>
  <si>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</si>
  <si>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</si>
  <si>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</si>
  <si>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</si>
  <si>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</si>
  <si>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</si>
  <si>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</si>
  <si>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</si>
  <si>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</si>
  <si>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</si>
  <si>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</si>
  <si>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</si>
  <si>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</si>
  <si>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</si>
  <si>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</si>
  <si>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</si>
  <si>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</si>
  <si>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</si>
  <si>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</si>
  <si>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</si>
  <si>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</si>
  <si>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</si>
  <si>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</si>
  <si>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</si>
  <si>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</si>
  <si>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</si>
  <si>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</si>
  <si>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</si>
  <si>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</si>
  <si>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</si>
  <si>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</si>
  <si>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</si>
  <si>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</si>
  <si>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</si>
  <si>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</si>
  <si>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</si>
  <si>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</si>
  <si>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Fakhri Brothers (MZN)</t>
  </si>
  <si>
    <t>Fakhri Brothers (NEC)</t>
  </si>
  <si>
    <t>22948</t>
  </si>
  <si>
    <t>Fakhri Brothers (NOVEC)</t>
  </si>
  <si>
    <t>Fakhri brothers (NEC)</t>
  </si>
  <si>
    <t>Fakhri brothers (MZN)</t>
  </si>
  <si>
    <t>Fakhri brothers (NOVEC)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</si>
</sst>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23"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1" xfId="0" applyFont="1" applyBorder="1" applyAlignment="1">
      <alignment horizontal="left" vertic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 fillId="0" borderId="1" xfId="0" applyFont="1" applyBorder="1" applyAlignment="1">
      <alignment horizontal="left" vertical="center"/>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8" fillId="0" borderId="0"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65" fontId="7" fillId="0" borderId="0" xfId="0" applyNumberFormat="1" applyFont="1" applyAlignment="1">
      <alignment horizontal="center"/>
    </xf>
  </cellXfs>
  <cellStyles count="3">
    <cellStyle name="Comma" xfId="1" builtinId="3"/>
    <cellStyle name="Hyperlink" xfId="2" builtinId="8"/>
    <cellStyle name="Normal" xfId="0" builtinId="0"/>
  </cellStyles>
  <dxfs count="2371">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2"/>
      </font>
    </dxf>
    <dxf>
      <font>
        <sz val="14"/>
      </font>
    </dxf>
    <dxf>
      <font>
        <sz val="12"/>
      </font>
    </dxf>
    <dxf>
      <font>
        <sz val="14"/>
      </font>
    </dxf>
    <dxf>
      <font>
        <sz val="12"/>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2"/>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18-Dec-23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78.62927986111" createdVersion="5" refreshedVersion="8" minRefreshableVersion="3" recordCount="17869" xr:uid="{00000000-000A-0000-FFFF-FFFF2E000000}">
  <cacheSource type="worksheet">
    <worksheetSource ref="A1:H18846" sheet="Posting"/>
  </cacheSource>
  <cacheFields count="8">
    <cacheField name="Date" numFmtId="0">
      <sharedItems containsDate="1" containsBlank="1" containsMixedTypes="1" minDate="2013-12-15T00:00:00" maxDate="2023-12-17T00:00:00" count="221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Juno"/>
        <s v="khurshid fans"/>
        <s v="Zara Engineer"/>
        <s v="Masroor Khan"/>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26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s v="MCB 1968625833"/>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fare to danish"/>
        <s v="MCB chq 1968625841"/>
        <s v="MCB chq 1968625842"/>
        <s v="MCB 1973738845 = 83858"/>
        <s v="MCB chq 1968625844"/>
        <s v="MCB 1973738846"/>
        <s v="MCB 1973738847"/>
        <s v="MCB 1973738848 = 179,000"/>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XXXXXXXXXXXXXXXX)"/>
        <s v="Received from Total (hard cash received)"/>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78.693289236115" createdVersion="5" refreshedVersion="8" minRefreshableVersion="3" recordCount="4592" xr:uid="{00000000-000A-0000-FFFF-FFFF2F000000}">
  <cacheSource type="worksheet">
    <worksheetSource ref="A1:H5977" sheet="Supplier"/>
  </cacheSource>
  <cacheFields count="8">
    <cacheField name="Date" numFmtId="0">
      <sharedItems containsNonDate="0" containsDate="1" containsString="0" containsBlank="1" minDate="2015-11-24T00:00:00" maxDate="2023-12-16T00:00:00" count="1279">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Sana Safinaz"/>
        <s v="VISA Fit-out Office"/>
        <s v="BAF Limited"/>
        <s v="BAH Center point"/>
        <s v="Tri fit Gym"/>
        <s v="Bukhari meezan bank"/>
        <s v="Khaadi Canteen"/>
        <s v="Daftar Khuwan"/>
        <s v="Meezan bank Head office"/>
        <s v="Ali jameel Residen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Ernst &amp; Young"/>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3">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Fakhri Brothers (MZN)"/>
        <s v="Shan control"/>
        <s v="Alpha Engineering"/>
        <s v="Fakhri Brothers (NOVEC)"/>
        <s v="Fakhri Brothers (NEC)"/>
        <s v="H S Ahmed Ally"/>
        <s v="United Insulation"/>
        <s v="Owais Traders (Golimar)"/>
        <s v="Sabro Technologies"/>
        <s v="Fame international"/>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4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6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84"/>
    <x v="277"/>
    <x v="9046"/>
    <n v="9500"/>
    <m/>
    <n v="-9500"/>
    <x v="109"/>
  </r>
  <r>
    <x v="2085"/>
    <x v="79"/>
    <x v="285"/>
    <x v="7068"/>
    <n v="1000"/>
    <m/>
    <n v="-1000"/>
    <x v="109"/>
  </r>
  <r>
    <x v="2085"/>
    <x v="84"/>
    <x v="765"/>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84"/>
    <x v="765"/>
    <x v="233"/>
    <n v="500"/>
    <m/>
    <n v="-500"/>
    <x v="109"/>
  </r>
  <r>
    <x v="2086"/>
    <x v="90"/>
    <x v="278"/>
    <x v="9055"/>
    <n v="44000"/>
    <m/>
    <n v="-44000"/>
    <x v="109"/>
  </r>
  <r>
    <x v="2087"/>
    <x v="90"/>
    <x v="278"/>
    <x v="9056"/>
    <n v="46500"/>
    <m/>
    <n v="-46500"/>
    <x v="109"/>
  </r>
  <r>
    <x v="2087"/>
    <x v="84"/>
    <x v="745"/>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8"/>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4"/>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60"/>
    <x v="8439"/>
    <n v="150000"/>
    <m/>
    <n v="-150000"/>
    <x v="109"/>
  </r>
  <r>
    <x v="2089"/>
    <x v="91"/>
    <x v="278"/>
    <x v="9072"/>
    <n v="22600"/>
    <m/>
    <n v="-22600"/>
    <x v="109"/>
  </r>
  <r>
    <x v="2090"/>
    <x v="7"/>
    <x v="27"/>
    <x v="9073"/>
    <n v="2000"/>
    <m/>
    <n v="-2000"/>
    <x v="109"/>
  </r>
  <r>
    <x v="2090"/>
    <x v="4"/>
    <x v="27"/>
    <x v="9073"/>
    <n v="8700"/>
    <m/>
    <n v="-8700"/>
    <x v="109"/>
  </r>
  <r>
    <x v="2090"/>
    <x v="76"/>
    <x v="765"/>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5"/>
    <x v="9095"/>
    <n v="450000"/>
    <m/>
    <n v="-450000"/>
    <x v="109"/>
  </r>
  <r>
    <x v="2092"/>
    <x v="81"/>
    <x v="755"/>
    <x v="9095"/>
    <n v="417730"/>
    <m/>
    <n v="-417730"/>
    <x v="109"/>
  </r>
  <r>
    <x v="2092"/>
    <x v="76"/>
    <x v="755"/>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7"/>
    <x v="9101"/>
    <n v="234213"/>
    <m/>
    <n v="-234213"/>
    <x v="109"/>
  </r>
  <r>
    <x v="2093"/>
    <x v="67"/>
    <x v="767"/>
    <x v="9101"/>
    <n v="163580"/>
    <m/>
    <n v="-163580"/>
    <x v="109"/>
  </r>
  <r>
    <x v="2093"/>
    <x v="76"/>
    <x v="767"/>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8"/>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9"/>
    <x v="9114"/>
    <n v="50000"/>
    <m/>
    <n v="-50000"/>
    <x v="109"/>
  </r>
  <r>
    <x v="2095"/>
    <x v="4"/>
    <x v="43"/>
    <x v="9115"/>
    <n v="25000"/>
    <m/>
    <n v="-25000"/>
    <x v="109"/>
  </r>
  <r>
    <x v="2095"/>
    <x v="73"/>
    <x v="474"/>
    <x v="233"/>
    <n v="2800"/>
    <m/>
    <n v="-2800"/>
    <x v="109"/>
  </r>
  <r>
    <x v="2095"/>
    <x v="80"/>
    <x v="644"/>
    <x v="9024"/>
    <n v="1000000"/>
    <m/>
    <n v="-1000000"/>
    <x v="109"/>
  </r>
  <r>
    <x v="2095"/>
    <x v="84"/>
    <x v="718"/>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51"/>
    <x v="9143"/>
    <n v="300000"/>
    <m/>
    <n v="-300000"/>
    <x v="109"/>
  </r>
  <r>
    <x v="2087"/>
    <x v="84"/>
    <x v="718"/>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6"/>
    <x v="9157"/>
    <n v="53100"/>
    <m/>
    <n v="-53100"/>
    <x v="109"/>
  </r>
  <r>
    <x v="2091"/>
    <x v="79"/>
    <x v="736"/>
    <x v="9157"/>
    <n v="136508"/>
    <m/>
    <n v="-136508"/>
    <x v="109"/>
  </r>
  <r>
    <x v="2092"/>
    <x v="80"/>
    <x v="770"/>
    <x v="9095"/>
    <n v="495000"/>
    <m/>
    <n v="-495000"/>
    <x v="109"/>
  </r>
  <r>
    <x v="2092"/>
    <x v="80"/>
    <x v="770"/>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71"/>
    <x v="9158"/>
    <n v="200000"/>
    <m/>
    <n v="-200000"/>
    <x v="109"/>
  </r>
  <r>
    <x v="2094"/>
    <x v="74"/>
    <x v="689"/>
    <x v="9159"/>
    <n v="107000"/>
    <m/>
    <n v="-107000"/>
    <x v="109"/>
  </r>
  <r>
    <x v="2094"/>
    <x v="73"/>
    <x v="338"/>
    <x v="9160"/>
    <n v="70000"/>
    <m/>
    <n v="-70000"/>
    <x v="109"/>
  </r>
  <r>
    <x v="2094"/>
    <x v="80"/>
    <x v="338"/>
    <x v="9160"/>
    <n v="133000"/>
    <m/>
    <n v="-133000"/>
    <x v="109"/>
  </r>
  <r>
    <x v="2094"/>
    <x v="80"/>
    <x v="338"/>
    <x v="9161"/>
    <n v="150000"/>
    <m/>
    <n v="-150000"/>
    <x v="109"/>
  </r>
  <r>
    <x v="2097"/>
    <x v="23"/>
    <x v="723"/>
    <x v="9162"/>
    <n v="120000"/>
    <m/>
    <n v="-120000"/>
    <x v="109"/>
  </r>
  <r>
    <x v="2098"/>
    <x v="84"/>
    <x v="592"/>
    <x v="9163"/>
    <n v="850000"/>
    <m/>
    <n v="-850000"/>
    <x v="109"/>
  </r>
  <r>
    <x v="2100"/>
    <x v="80"/>
    <x v="757"/>
    <x v="9164"/>
    <n v="130000"/>
    <m/>
    <n v="-130000"/>
    <x v="109"/>
  </r>
  <r>
    <x v="2100"/>
    <x v="68"/>
    <x v="694"/>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91"/>
    <x v="65"/>
    <x v="97"/>
    <x v="9175"/>
    <m/>
    <n v="189608"/>
    <n v="189608"/>
    <x v="109"/>
  </r>
  <r>
    <x v="2096"/>
    <x v="74"/>
    <x v="97"/>
    <x v="9176"/>
    <m/>
    <n v="2500000"/>
    <n v="2500000"/>
    <x v="109"/>
  </r>
  <r>
    <x v="2096"/>
    <x v="74"/>
    <x v="97"/>
    <x v="9177"/>
    <m/>
    <n v="1204349"/>
    <n v="1204349"/>
    <x v="109"/>
  </r>
  <r>
    <x v="2096"/>
    <x v="74"/>
    <x v="97"/>
    <x v="9177"/>
    <m/>
    <n v="1000000"/>
    <n v="1000000"/>
    <x v="109"/>
  </r>
  <r>
    <x v="2096"/>
    <x v="74"/>
    <x v="97"/>
    <x v="9177"/>
    <m/>
    <n v="1000000"/>
    <n v="1000000"/>
    <x v="109"/>
  </r>
  <r>
    <x v="2096"/>
    <x v="74"/>
    <x v="97"/>
    <x v="9177"/>
    <m/>
    <n v="1000000"/>
    <n v="1000000"/>
    <x v="109"/>
  </r>
  <r>
    <x v="2096"/>
    <x v="74"/>
    <x v="97"/>
    <x v="9177"/>
    <m/>
    <n v="1000000"/>
    <n v="1000000"/>
    <x v="109"/>
  </r>
  <r>
    <x v="2097"/>
    <x v="79"/>
    <x v="97"/>
    <x v="9178"/>
    <m/>
    <n v="850000"/>
    <n v="850000"/>
    <x v="109"/>
  </r>
  <r>
    <x v="2097"/>
    <x v="79"/>
    <x v="97"/>
    <x v="9179"/>
    <m/>
    <n v="850000"/>
    <n v="850000"/>
    <x v="109"/>
  </r>
  <r>
    <x v="2097"/>
    <x v="79"/>
    <x v="97"/>
    <x v="9179"/>
    <m/>
    <n v="840000"/>
    <n v="840000"/>
    <x v="109"/>
  </r>
  <r>
    <x v="2097"/>
    <x v="79"/>
    <x v="97"/>
    <x v="9179"/>
    <m/>
    <n v="830000"/>
    <n v="830000"/>
    <x v="109"/>
  </r>
  <r>
    <x v="2097"/>
    <x v="79"/>
    <x v="97"/>
    <x v="9179"/>
    <m/>
    <n v="830000"/>
    <n v="830000"/>
    <x v="109"/>
  </r>
  <r>
    <x v="2097"/>
    <x v="79"/>
    <x v="97"/>
    <x v="9179"/>
    <m/>
    <n v="800000"/>
    <n v="800000"/>
    <x v="109"/>
  </r>
  <r>
    <x v="2097"/>
    <x v="79"/>
    <x v="97"/>
    <x v="9180"/>
    <m/>
    <n v="28200"/>
    <n v="28200"/>
    <x v="109"/>
  </r>
  <r>
    <x v="2102"/>
    <x v="22"/>
    <x v="97"/>
    <x v="9181"/>
    <m/>
    <n v="333522"/>
    <n v="333522"/>
    <x v="109"/>
  </r>
  <r>
    <x v="2103"/>
    <x v="81"/>
    <x v="664"/>
    <x v="898"/>
    <n v="20000"/>
    <m/>
    <n v="-20000"/>
    <x v="110"/>
  </r>
  <r>
    <x v="2103"/>
    <x v="84"/>
    <x v="390"/>
    <x v="233"/>
    <n v="6000"/>
    <m/>
    <n v="-6000"/>
    <x v="110"/>
  </r>
  <r>
    <x v="2103"/>
    <x v="4"/>
    <x v="2"/>
    <x v="9182"/>
    <n v="450"/>
    <m/>
    <n v="-450"/>
    <x v="110"/>
  </r>
  <r>
    <x v="2103"/>
    <x v="84"/>
    <x v="285"/>
    <x v="7068"/>
    <n v="1450"/>
    <m/>
    <n v="-1450"/>
    <x v="110"/>
  </r>
  <r>
    <x v="2103"/>
    <x v="52"/>
    <x v="397"/>
    <x v="6724"/>
    <n v="25000"/>
    <m/>
    <n v="-25000"/>
    <x v="110"/>
  </r>
  <r>
    <x v="2103"/>
    <x v="90"/>
    <x v="761"/>
    <x v="9104"/>
    <n v="50000"/>
    <m/>
    <n v="-50000"/>
    <x v="110"/>
  </r>
  <r>
    <x v="2103"/>
    <x v="93"/>
    <x v="611"/>
    <x v="9183"/>
    <n v="50000"/>
    <m/>
    <n v="-50000"/>
    <x v="110"/>
  </r>
  <r>
    <x v="2103"/>
    <x v="74"/>
    <x v="772"/>
    <x v="9183"/>
    <n v="50000"/>
    <m/>
    <n v="-50000"/>
    <x v="110"/>
  </r>
  <r>
    <x v="2103"/>
    <x v="84"/>
    <x v="474"/>
    <x v="233"/>
    <n v="5000"/>
    <m/>
    <n v="-5000"/>
    <x v="110"/>
  </r>
  <r>
    <x v="2103"/>
    <x v="91"/>
    <x v="278"/>
    <x v="9184"/>
    <n v="18700"/>
    <m/>
    <n v="-18700"/>
    <x v="110"/>
  </r>
  <r>
    <x v="2104"/>
    <x v="7"/>
    <x v="25"/>
    <x v="1696"/>
    <n v="4500"/>
    <m/>
    <n v="-4500"/>
    <x v="110"/>
  </r>
  <r>
    <x v="2104"/>
    <x v="90"/>
    <x v="278"/>
    <x v="9185"/>
    <n v="5000"/>
    <m/>
    <n v="-5000"/>
    <x v="110"/>
  </r>
  <r>
    <x v="2104"/>
    <x v="79"/>
    <x v="278"/>
    <x v="7645"/>
    <n v="1500"/>
    <m/>
    <n v="-1500"/>
    <x v="110"/>
  </r>
  <r>
    <x v="2104"/>
    <x v="90"/>
    <x v="278"/>
    <x v="9186"/>
    <n v="11620"/>
    <m/>
    <n v="-11620"/>
    <x v="110"/>
  </r>
  <r>
    <x v="2104"/>
    <x v="84"/>
    <x v="592"/>
    <x v="9187"/>
    <n v="1000000"/>
    <m/>
    <n v="-1000000"/>
    <x v="110"/>
  </r>
  <r>
    <x v="2105"/>
    <x v="76"/>
    <x v="518"/>
    <x v="9183"/>
    <n v="100000"/>
    <m/>
    <n v="-100000"/>
    <x v="110"/>
  </r>
  <r>
    <x v="2106"/>
    <x v="76"/>
    <x v="518"/>
    <x v="9183"/>
    <n v="30000"/>
    <m/>
    <n v="-30000"/>
    <x v="110"/>
  </r>
  <r>
    <x v="2106"/>
    <x v="84"/>
    <x v="592"/>
    <x v="9188"/>
    <n v="600000"/>
    <m/>
    <n v="-600000"/>
    <x v="110"/>
  </r>
  <r>
    <x v="2106"/>
    <x v="90"/>
    <x v="278"/>
    <x v="9189"/>
    <n v="45000"/>
    <m/>
    <n v="-45000"/>
    <x v="110"/>
  </r>
  <r>
    <x v="2106"/>
    <x v="79"/>
    <x v="474"/>
    <x v="8211"/>
    <n v="300"/>
    <m/>
    <n v="-300"/>
    <x v="110"/>
  </r>
  <r>
    <x v="2106"/>
    <x v="84"/>
    <x v="474"/>
    <x v="233"/>
    <n v="5000"/>
    <m/>
    <n v="-5000"/>
    <x v="110"/>
  </r>
  <r>
    <x v="2106"/>
    <x v="4"/>
    <x v="4"/>
    <x v="9111"/>
    <n v="2000"/>
    <m/>
    <n v="-2000"/>
    <x v="110"/>
  </r>
  <r>
    <x v="2106"/>
    <x v="84"/>
    <x v="474"/>
    <x v="233"/>
    <n v="1700"/>
    <m/>
    <n v="-1700"/>
    <x v="110"/>
  </r>
  <r>
    <x v="2107"/>
    <x v="84"/>
    <x v="718"/>
    <x v="9187"/>
    <n v="100000"/>
    <m/>
    <n v="-100000"/>
    <x v="110"/>
  </r>
  <r>
    <x v="2107"/>
    <x v="84"/>
    <x v="695"/>
    <x v="9190"/>
    <n v="11000"/>
    <m/>
    <n v="-11000"/>
    <x v="110"/>
  </r>
  <r>
    <x v="2107"/>
    <x v="94"/>
    <x v="57"/>
    <x v="898"/>
    <n v="30000"/>
    <m/>
    <n v="-30000"/>
    <x v="110"/>
  </r>
  <r>
    <x v="2107"/>
    <x v="4"/>
    <x v="2"/>
    <x v="7644"/>
    <n v="1600"/>
    <m/>
    <n v="-1600"/>
    <x v="110"/>
  </r>
  <r>
    <x v="2107"/>
    <x v="4"/>
    <x v="4"/>
    <x v="9111"/>
    <n v="5000"/>
    <m/>
    <n v="-5000"/>
    <x v="110"/>
  </r>
  <r>
    <x v="2107"/>
    <x v="84"/>
    <x v="465"/>
    <x v="9191"/>
    <n v="5000"/>
    <m/>
    <n v="-5000"/>
    <x v="110"/>
  </r>
  <r>
    <x v="2107"/>
    <x v="93"/>
    <x v="474"/>
    <x v="8211"/>
    <n v="500"/>
    <m/>
    <n v="-500"/>
    <x v="110"/>
  </r>
  <r>
    <x v="2107"/>
    <x v="93"/>
    <x v="759"/>
    <x v="9192"/>
    <n v="27000"/>
    <m/>
    <n v="-27000"/>
    <x v="110"/>
  </r>
  <r>
    <x v="2107"/>
    <x v="90"/>
    <x v="759"/>
    <x v="9192"/>
    <n v="23000"/>
    <m/>
    <n v="-23000"/>
    <x v="110"/>
  </r>
  <r>
    <x v="2107"/>
    <x v="93"/>
    <x v="759"/>
    <x v="9192"/>
    <n v="82000"/>
    <m/>
    <n v="-82000"/>
    <x v="110"/>
  </r>
  <r>
    <x v="2107"/>
    <x v="91"/>
    <x v="278"/>
    <x v="5324"/>
    <n v="15880"/>
    <m/>
    <n v="-15880"/>
    <x v="110"/>
  </r>
  <r>
    <x v="2107"/>
    <x v="84"/>
    <x v="278"/>
    <x v="9193"/>
    <n v="13000"/>
    <m/>
    <n v="-13000"/>
    <x v="110"/>
  </r>
  <r>
    <x v="2108"/>
    <x v="93"/>
    <x v="611"/>
    <x v="9194"/>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5"/>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6"/>
    <n v="8000"/>
    <m/>
    <n v="-8000"/>
    <x v="110"/>
  </r>
  <r>
    <x v="2109"/>
    <x v="93"/>
    <x v="278"/>
    <x v="9197"/>
    <n v="28000"/>
    <m/>
    <n v="-28000"/>
    <x v="110"/>
  </r>
  <r>
    <x v="2109"/>
    <x v="79"/>
    <x v="278"/>
    <x v="8486"/>
    <n v="8500"/>
    <m/>
    <n v="-8500"/>
    <x v="110"/>
  </r>
  <r>
    <x v="2109"/>
    <x v="93"/>
    <x v="474"/>
    <x v="233"/>
    <n v="950"/>
    <m/>
    <n v="-950"/>
    <x v="110"/>
  </r>
  <r>
    <x v="2109"/>
    <x v="93"/>
    <x v="278"/>
    <x v="1241"/>
    <n v="540"/>
    <m/>
    <n v="-540"/>
    <x v="110"/>
  </r>
  <r>
    <x v="2109"/>
    <x v="4"/>
    <x v="4"/>
    <x v="9111"/>
    <n v="4000"/>
    <m/>
    <n v="-4000"/>
    <x v="110"/>
  </r>
  <r>
    <x v="2109"/>
    <x v="4"/>
    <x v="4"/>
    <x v="9198"/>
    <n v="800"/>
    <m/>
    <n v="-800"/>
    <x v="110"/>
  </r>
  <r>
    <x v="2110"/>
    <x v="79"/>
    <x v="278"/>
    <x v="9199"/>
    <n v="1200"/>
    <m/>
    <n v="-1200"/>
    <x v="110"/>
  </r>
  <r>
    <x v="2110"/>
    <x v="79"/>
    <x v="474"/>
    <x v="233"/>
    <n v="500"/>
    <m/>
    <n v="-500"/>
    <x v="110"/>
  </r>
  <r>
    <x v="2110"/>
    <x v="79"/>
    <x v="474"/>
    <x v="9200"/>
    <n v="1000"/>
    <m/>
    <n v="-1000"/>
    <x v="110"/>
  </r>
  <r>
    <x v="2110"/>
    <x v="93"/>
    <x v="278"/>
    <x v="9201"/>
    <n v="114500"/>
    <m/>
    <n v="-114500"/>
    <x v="110"/>
  </r>
  <r>
    <x v="2110"/>
    <x v="84"/>
    <x v="278"/>
    <x v="9201"/>
    <n v="9000"/>
    <m/>
    <n v="-9000"/>
    <x v="110"/>
  </r>
  <r>
    <x v="2110"/>
    <x v="79"/>
    <x v="278"/>
    <x v="9201"/>
    <n v="41500"/>
    <m/>
    <n v="-41500"/>
    <x v="110"/>
  </r>
  <r>
    <x v="2110"/>
    <x v="84"/>
    <x v="278"/>
    <x v="9202"/>
    <n v="28700"/>
    <m/>
    <n v="-28700"/>
    <x v="110"/>
  </r>
  <r>
    <x v="2110"/>
    <x v="79"/>
    <x v="278"/>
    <x v="9202"/>
    <n v="28500"/>
    <m/>
    <n v="-28500"/>
    <x v="110"/>
  </r>
  <r>
    <x v="2110"/>
    <x v="90"/>
    <x v="278"/>
    <x v="9202"/>
    <n v="28500"/>
    <m/>
    <n v="-28500"/>
    <x v="110"/>
  </r>
  <r>
    <x v="2110"/>
    <x v="84"/>
    <x v="278"/>
    <x v="9202"/>
    <n v="27000"/>
    <m/>
    <n v="-27000"/>
    <x v="110"/>
  </r>
  <r>
    <x v="2110"/>
    <x v="90"/>
    <x v="755"/>
    <x v="9203"/>
    <n v="61500"/>
    <m/>
    <n v="-61500"/>
    <x v="110"/>
  </r>
  <r>
    <x v="2110"/>
    <x v="52"/>
    <x v="727"/>
    <x v="9204"/>
    <n v="340000"/>
    <m/>
    <n v="-340000"/>
    <x v="110"/>
  </r>
  <r>
    <x v="2110"/>
    <x v="79"/>
    <x v="278"/>
    <x v="9205"/>
    <n v="11750"/>
    <m/>
    <n v="-11750"/>
    <x v="110"/>
  </r>
  <r>
    <x v="2110"/>
    <x v="79"/>
    <x v="278"/>
    <x v="9206"/>
    <n v="5000"/>
    <m/>
    <n v="-5000"/>
    <x v="110"/>
  </r>
  <r>
    <x v="2110"/>
    <x v="79"/>
    <x v="278"/>
    <x v="9207"/>
    <n v="2700"/>
    <m/>
    <n v="-2700"/>
    <x v="110"/>
  </r>
  <r>
    <x v="2110"/>
    <x v="79"/>
    <x v="474"/>
    <x v="233"/>
    <n v="4000"/>
    <m/>
    <n v="-4000"/>
    <x v="110"/>
  </r>
  <r>
    <x v="2110"/>
    <x v="4"/>
    <x v="4"/>
    <x v="9111"/>
    <n v="2000"/>
    <m/>
    <n v="-2000"/>
    <x v="110"/>
  </r>
  <r>
    <x v="2110"/>
    <x v="79"/>
    <x v="680"/>
    <x v="9208"/>
    <n v="53300"/>
    <m/>
    <n v="-53300"/>
    <x v="110"/>
  </r>
  <r>
    <x v="2110"/>
    <x v="79"/>
    <x v="278"/>
    <x v="6089"/>
    <n v="2460"/>
    <m/>
    <n v="-2460"/>
    <x v="110"/>
  </r>
  <r>
    <x v="2110"/>
    <x v="91"/>
    <x v="278"/>
    <x v="9209"/>
    <n v="14860"/>
    <m/>
    <n v="-14860"/>
    <x v="110"/>
  </r>
  <r>
    <x v="2110"/>
    <x v="93"/>
    <x v="474"/>
    <x v="9210"/>
    <n v="3600"/>
    <m/>
    <n v="-3600"/>
    <x v="110"/>
  </r>
  <r>
    <x v="2111"/>
    <x v="91"/>
    <x v="43"/>
    <x v="9211"/>
    <n v="147980"/>
    <m/>
    <n v="-147980"/>
    <x v="110"/>
  </r>
  <r>
    <x v="2111"/>
    <x v="76"/>
    <x v="43"/>
    <x v="9212"/>
    <n v="70690"/>
    <m/>
    <n v="-70690"/>
    <x v="110"/>
  </r>
  <r>
    <x v="2111"/>
    <x v="79"/>
    <x v="43"/>
    <x v="9213"/>
    <n v="30750"/>
    <m/>
    <n v="-30750"/>
    <x v="110"/>
  </r>
  <r>
    <x v="2111"/>
    <x v="76"/>
    <x v="2"/>
    <x v="9214"/>
    <n v="1000"/>
    <m/>
    <n v="-1000"/>
    <x v="110"/>
  </r>
  <r>
    <x v="2111"/>
    <x v="1"/>
    <x v="474"/>
    <x v="8211"/>
    <n v="550"/>
    <m/>
    <n v="-550"/>
    <x v="110"/>
  </r>
  <r>
    <x v="2111"/>
    <x v="22"/>
    <x v="43"/>
    <x v="9215"/>
    <n v="136964.58333333334"/>
    <m/>
    <n v="-136964.58333333334"/>
    <x v="110"/>
  </r>
  <r>
    <x v="2111"/>
    <x v="97"/>
    <x v="43"/>
    <x v="5437"/>
    <n v="25050"/>
    <m/>
    <n v="-25050"/>
    <x v="110"/>
  </r>
  <r>
    <x v="2111"/>
    <x v="90"/>
    <x v="761"/>
    <x v="6729"/>
    <n v="9300"/>
    <m/>
    <n v="-9300"/>
    <x v="110"/>
  </r>
  <r>
    <x v="2111"/>
    <x v="90"/>
    <x v="655"/>
    <x v="9216"/>
    <n v="24000"/>
    <m/>
    <n v="-24000"/>
    <x v="110"/>
  </r>
  <r>
    <x v="2111"/>
    <x v="4"/>
    <x v="434"/>
    <x v="9217"/>
    <n v="2200"/>
    <m/>
    <n v="-2200"/>
    <x v="110"/>
  </r>
  <r>
    <x v="2111"/>
    <x v="97"/>
    <x v="43"/>
    <x v="9218"/>
    <n v="45750"/>
    <m/>
    <n v="-45750"/>
    <x v="110"/>
  </r>
  <r>
    <x v="2111"/>
    <x v="4"/>
    <x v="2"/>
    <x v="9219"/>
    <n v="880"/>
    <m/>
    <n v="-880"/>
    <x v="110"/>
  </r>
  <r>
    <x v="2111"/>
    <x v="4"/>
    <x v="4"/>
    <x v="9111"/>
    <n v="4000"/>
    <m/>
    <n v="-4000"/>
    <x v="110"/>
  </r>
  <r>
    <x v="2112"/>
    <x v="80"/>
    <x v="474"/>
    <x v="233"/>
    <n v="2000"/>
    <m/>
    <n v="-2000"/>
    <x v="110"/>
  </r>
  <r>
    <x v="2112"/>
    <x v="23"/>
    <x v="43"/>
    <x v="9220"/>
    <n v="39300"/>
    <m/>
    <n v="-39300"/>
    <x v="110"/>
  </r>
  <r>
    <x v="2112"/>
    <x v="76"/>
    <x v="286"/>
    <x v="9221"/>
    <n v="7000"/>
    <m/>
    <n v="-7000"/>
    <x v="110"/>
  </r>
  <r>
    <x v="2112"/>
    <x v="81"/>
    <x v="286"/>
    <x v="9221"/>
    <n v="52000"/>
    <m/>
    <n v="-52000"/>
    <x v="110"/>
  </r>
  <r>
    <x v="2112"/>
    <x v="73"/>
    <x v="773"/>
    <x v="8731"/>
    <n v="400000"/>
    <m/>
    <n v="-400000"/>
    <x v="110"/>
  </r>
  <r>
    <x v="2112"/>
    <x v="73"/>
    <x v="773"/>
    <x v="8731"/>
    <n v="600000"/>
    <m/>
    <n v="-600000"/>
    <x v="110"/>
  </r>
  <r>
    <x v="2113"/>
    <x v="98"/>
    <x v="774"/>
    <x v="9222"/>
    <n v="1500000"/>
    <m/>
    <n v="-1500000"/>
    <x v="110"/>
  </r>
  <r>
    <x v="2113"/>
    <x v="4"/>
    <x v="4"/>
    <x v="9223"/>
    <n v="15000"/>
    <m/>
    <n v="-15000"/>
    <x v="110"/>
  </r>
  <r>
    <x v="2113"/>
    <x v="98"/>
    <x v="465"/>
    <x v="9224"/>
    <n v="10000"/>
    <m/>
    <n v="-10000"/>
    <x v="110"/>
  </r>
  <r>
    <x v="2113"/>
    <x v="93"/>
    <x v="278"/>
    <x v="9225"/>
    <n v="3900"/>
    <m/>
    <n v="-3900"/>
    <x v="110"/>
  </r>
  <r>
    <x v="2114"/>
    <x v="79"/>
    <x v="474"/>
    <x v="898"/>
    <n v="1000"/>
    <m/>
    <n v="-1000"/>
    <x v="110"/>
  </r>
  <r>
    <x v="2114"/>
    <x v="84"/>
    <x v="737"/>
    <x v="9226"/>
    <n v="40000"/>
    <m/>
    <n v="-40000"/>
    <x v="110"/>
  </r>
  <r>
    <x v="2114"/>
    <x v="79"/>
    <x v="474"/>
    <x v="9227"/>
    <n v="2000"/>
    <m/>
    <n v="-2000"/>
    <x v="110"/>
  </r>
  <r>
    <x v="2114"/>
    <x v="93"/>
    <x v="474"/>
    <x v="8211"/>
    <n v="250"/>
    <m/>
    <n v="-250"/>
    <x v="110"/>
  </r>
  <r>
    <x v="2114"/>
    <x v="73"/>
    <x v="775"/>
    <x v="9228"/>
    <n v="155000"/>
    <m/>
    <n v="-155000"/>
    <x v="110"/>
  </r>
  <r>
    <x v="2114"/>
    <x v="93"/>
    <x v="58"/>
    <x v="9229"/>
    <n v="23750"/>
    <m/>
    <n v="-23750"/>
    <x v="110"/>
  </r>
  <r>
    <x v="2114"/>
    <x v="79"/>
    <x v="58"/>
    <x v="9229"/>
    <n v="23750"/>
    <m/>
    <n v="-23750"/>
    <x v="110"/>
  </r>
  <r>
    <x v="2114"/>
    <x v="84"/>
    <x v="58"/>
    <x v="9229"/>
    <n v="23750"/>
    <m/>
    <n v="-23750"/>
    <x v="110"/>
  </r>
  <r>
    <x v="2114"/>
    <x v="80"/>
    <x v="58"/>
    <x v="9229"/>
    <n v="23750"/>
    <m/>
    <n v="-23750"/>
    <x v="110"/>
  </r>
  <r>
    <x v="2115"/>
    <x v="93"/>
    <x v="278"/>
    <x v="9230"/>
    <n v="20000"/>
    <m/>
    <n v="-20000"/>
    <x v="110"/>
  </r>
  <r>
    <x v="2115"/>
    <x v="84"/>
    <x v="278"/>
    <x v="9230"/>
    <n v="9600"/>
    <m/>
    <n v="-9600"/>
    <x v="110"/>
  </r>
  <r>
    <x v="2115"/>
    <x v="93"/>
    <x v="755"/>
    <x v="9231"/>
    <n v="143500"/>
    <m/>
    <n v="-143500"/>
    <x v="110"/>
  </r>
  <r>
    <x v="2115"/>
    <x v="98"/>
    <x v="45"/>
    <x v="9232"/>
    <n v="1500000"/>
    <m/>
    <n v="-1500000"/>
    <x v="110"/>
  </r>
  <r>
    <x v="2115"/>
    <x v="84"/>
    <x v="208"/>
    <x v="9232"/>
    <n v="1000000"/>
    <m/>
    <n v="-1000000"/>
    <x v="110"/>
  </r>
  <r>
    <x v="2115"/>
    <x v="98"/>
    <x v="660"/>
    <x v="9232"/>
    <n v="1000000"/>
    <m/>
    <n v="-1000000"/>
    <x v="110"/>
  </r>
  <r>
    <x v="2115"/>
    <x v="80"/>
    <x v="644"/>
    <x v="9233"/>
    <n v="250000"/>
    <m/>
    <n v="-250000"/>
    <x v="110"/>
  </r>
  <r>
    <x v="2115"/>
    <x v="84"/>
    <x v="644"/>
    <x v="9233"/>
    <n v="250000"/>
    <m/>
    <n v="-250000"/>
    <x v="110"/>
  </r>
  <r>
    <x v="2115"/>
    <x v="79"/>
    <x v="644"/>
    <x v="9233"/>
    <n v="250000"/>
    <m/>
    <n v="-250000"/>
    <x v="110"/>
  </r>
  <r>
    <x v="2115"/>
    <x v="90"/>
    <x v="644"/>
    <x v="9233"/>
    <n v="250000"/>
    <m/>
    <n v="-250000"/>
    <x v="110"/>
  </r>
  <r>
    <x v="2115"/>
    <x v="80"/>
    <x v="592"/>
    <x v="9232"/>
    <n v="1000000"/>
    <m/>
    <n v="-1000000"/>
    <x v="110"/>
  </r>
  <r>
    <x v="2115"/>
    <x v="93"/>
    <x v="278"/>
    <x v="9234"/>
    <n v="4150"/>
    <m/>
    <n v="-4150"/>
    <x v="110"/>
  </r>
  <r>
    <x v="2115"/>
    <x v="93"/>
    <x v="474"/>
    <x v="233"/>
    <n v="800"/>
    <m/>
    <n v="-800"/>
    <x v="110"/>
  </r>
  <r>
    <x v="2115"/>
    <x v="93"/>
    <x v="2"/>
    <x v="9235"/>
    <n v="50"/>
    <m/>
    <n v="-50"/>
    <x v="110"/>
  </r>
  <r>
    <x v="2115"/>
    <x v="7"/>
    <x v="27"/>
    <x v="6236"/>
    <n v="2060"/>
    <m/>
    <n v="-2060"/>
    <x v="110"/>
  </r>
  <r>
    <x v="2115"/>
    <x v="4"/>
    <x v="27"/>
    <x v="6236"/>
    <n v="7550"/>
    <m/>
    <n v="-7550"/>
    <x v="110"/>
  </r>
  <r>
    <x v="2115"/>
    <x v="84"/>
    <x v="2"/>
    <x v="9236"/>
    <n v="3000"/>
    <m/>
    <n v="-3000"/>
    <x v="110"/>
  </r>
  <r>
    <x v="2115"/>
    <x v="98"/>
    <x v="390"/>
    <x v="8329"/>
    <n v="9000"/>
    <m/>
    <n v="-9000"/>
    <x v="110"/>
  </r>
  <r>
    <x v="2115"/>
    <x v="98"/>
    <x v="474"/>
    <x v="9237"/>
    <n v="7500"/>
    <m/>
    <n v="-7500"/>
    <x v="110"/>
  </r>
  <r>
    <x v="2115"/>
    <x v="93"/>
    <x v="278"/>
    <x v="9238"/>
    <n v="40500"/>
    <m/>
    <n v="-40500"/>
    <x v="110"/>
  </r>
  <r>
    <x v="2115"/>
    <x v="93"/>
    <x v="278"/>
    <x v="9239"/>
    <n v="28000"/>
    <m/>
    <n v="-28000"/>
    <x v="110"/>
  </r>
  <r>
    <x v="2115"/>
    <x v="73"/>
    <x v="278"/>
    <x v="9240"/>
    <n v="4000"/>
    <m/>
    <n v="-4000"/>
    <x v="110"/>
  </r>
  <r>
    <x v="2115"/>
    <x v="73"/>
    <x v="278"/>
    <x v="9241"/>
    <n v="1500"/>
    <m/>
    <n v="-1500"/>
    <x v="110"/>
  </r>
  <r>
    <x v="2115"/>
    <x v="79"/>
    <x v="278"/>
    <x v="8486"/>
    <n v="1800"/>
    <m/>
    <n v="-1800"/>
    <x v="110"/>
  </r>
  <r>
    <x v="2115"/>
    <x v="80"/>
    <x v="278"/>
    <x v="7645"/>
    <n v="3000"/>
    <m/>
    <n v="-3000"/>
    <x v="110"/>
  </r>
  <r>
    <x v="2115"/>
    <x v="98"/>
    <x v="2"/>
    <x v="9242"/>
    <n v="1500"/>
    <m/>
    <n v="-1500"/>
    <x v="110"/>
  </r>
  <r>
    <x v="2115"/>
    <x v="73"/>
    <x v="474"/>
    <x v="233"/>
    <n v="1500"/>
    <m/>
    <n v="-1500"/>
    <x v="110"/>
  </r>
  <r>
    <x v="2115"/>
    <x v="73"/>
    <x v="2"/>
    <x v="3651"/>
    <n v="10600"/>
    <m/>
    <n v="-10600"/>
    <x v="110"/>
  </r>
  <r>
    <x v="2115"/>
    <x v="89"/>
    <x v="2"/>
    <x v="3651"/>
    <n v="12000"/>
    <m/>
    <n v="-12000"/>
    <x v="110"/>
  </r>
  <r>
    <x v="2115"/>
    <x v="95"/>
    <x v="397"/>
    <x v="9243"/>
    <n v="6000"/>
    <m/>
    <n v="-6000"/>
    <x v="110"/>
  </r>
  <r>
    <x v="2115"/>
    <x v="52"/>
    <x v="397"/>
    <x v="9243"/>
    <n v="24000"/>
    <m/>
    <n v="-24000"/>
    <x v="110"/>
  </r>
  <r>
    <x v="2115"/>
    <x v="95"/>
    <x v="415"/>
    <x v="9244"/>
    <n v="4000"/>
    <m/>
    <n v="-4000"/>
    <x v="110"/>
  </r>
  <r>
    <x v="2115"/>
    <x v="93"/>
    <x v="285"/>
    <x v="7068"/>
    <n v="1600"/>
    <m/>
    <n v="-1600"/>
    <x v="110"/>
  </r>
  <r>
    <x v="2116"/>
    <x v="93"/>
    <x v="474"/>
    <x v="9245"/>
    <n v="1500"/>
    <m/>
    <n v="-1500"/>
    <x v="110"/>
  </r>
  <r>
    <x v="2103"/>
    <x v="74"/>
    <x v="542"/>
    <x v="9246"/>
    <n v="80000"/>
    <m/>
    <n v="-80000"/>
    <x v="110"/>
  </r>
  <r>
    <x v="2106"/>
    <x v="79"/>
    <x v="751"/>
    <x v="9247"/>
    <n v="250000"/>
    <m/>
    <n v="-250000"/>
    <x v="110"/>
  </r>
  <r>
    <x v="2110"/>
    <x v="89"/>
    <x v="261"/>
    <x v="9248"/>
    <n v="15900"/>
    <m/>
    <n v="-15900"/>
    <x v="110"/>
  </r>
  <r>
    <x v="2110"/>
    <x v="23"/>
    <x v="261"/>
    <x v="9248"/>
    <n v="32760"/>
    <m/>
    <n v="-32760"/>
    <x v="110"/>
  </r>
  <r>
    <x v="2110"/>
    <x v="22"/>
    <x v="261"/>
    <x v="9248"/>
    <n v="35360"/>
    <m/>
    <n v="-35360"/>
    <x v="110"/>
  </r>
  <r>
    <x v="2112"/>
    <x v="79"/>
    <x v="760"/>
    <x v="9249"/>
    <n v="250000"/>
    <m/>
    <n v="-250000"/>
    <x v="110"/>
  </r>
  <r>
    <x v="2113"/>
    <x v="84"/>
    <x v="635"/>
    <x v="9250"/>
    <n v="150000"/>
    <m/>
    <n v="-150000"/>
    <x v="110"/>
  </r>
  <r>
    <x v="2113"/>
    <x v="81"/>
    <x v="664"/>
    <x v="9251"/>
    <n v="50000"/>
    <m/>
    <n v="-50000"/>
    <x v="110"/>
  </r>
  <r>
    <x v="2113"/>
    <x v="84"/>
    <x v="751"/>
    <x v="9252"/>
    <n v="45000"/>
    <m/>
    <n v="-45000"/>
    <x v="110"/>
  </r>
  <r>
    <x v="2113"/>
    <x v="67"/>
    <x v="751"/>
    <x v="9252"/>
    <n v="10000"/>
    <m/>
    <n v="-10000"/>
    <x v="110"/>
  </r>
  <r>
    <x v="2113"/>
    <x v="90"/>
    <x v="751"/>
    <x v="9252"/>
    <n v="75000"/>
    <m/>
    <n v="-75000"/>
    <x v="110"/>
  </r>
  <r>
    <x v="2113"/>
    <x v="79"/>
    <x v="751"/>
    <x v="9252"/>
    <n v="49000"/>
    <m/>
    <n v="-49000"/>
    <x v="110"/>
  </r>
  <r>
    <x v="2109"/>
    <x v="87"/>
    <x v="97"/>
    <x v="9253"/>
    <m/>
    <n v="1000000"/>
    <n v="1000000"/>
    <x v="110"/>
  </r>
  <r>
    <x v="2109"/>
    <x v="78"/>
    <x v="97"/>
    <x v="9254"/>
    <m/>
    <n v="100000"/>
    <n v="100000"/>
    <x v="110"/>
  </r>
  <r>
    <x v="2109"/>
    <x v="78"/>
    <x v="97"/>
    <x v="9255"/>
    <m/>
    <n v="-100000"/>
    <n v="-100000"/>
    <x v="110"/>
  </r>
  <r>
    <x v="2109"/>
    <x v="76"/>
    <x v="97"/>
    <x v="9256"/>
    <m/>
    <n v="520000"/>
    <n v="520000"/>
    <x v="110"/>
  </r>
  <r>
    <x v="2112"/>
    <x v="71"/>
    <x v="97"/>
    <x v="9257"/>
    <m/>
    <n v="3221233"/>
    <n v="3221233"/>
    <x v="110"/>
  </r>
  <r>
    <x v="2112"/>
    <x v="93"/>
    <x v="97"/>
    <x v="9257"/>
    <m/>
    <n v="1000000"/>
    <n v="1000000"/>
    <x v="110"/>
  </r>
  <r>
    <x v="2112"/>
    <x v="23"/>
    <x v="97"/>
    <x v="9258"/>
    <m/>
    <n v="359992"/>
    <n v="359992"/>
    <x v="110"/>
  </r>
  <r>
    <x v="2113"/>
    <x v="80"/>
    <x v="97"/>
    <x v="9259"/>
    <m/>
    <n v="1500000"/>
    <n v="1500000"/>
    <x v="110"/>
  </r>
  <r>
    <x v="2115"/>
    <x v="80"/>
    <x v="97"/>
    <x v="9260"/>
    <m/>
    <n v="1000000"/>
    <n v="1000000"/>
    <x v="110"/>
  </r>
  <r>
    <x v="2115"/>
    <x v="80"/>
    <x v="97"/>
    <x v="9261"/>
    <m/>
    <n v="1000000"/>
    <n v="1000000"/>
    <x v="110"/>
  </r>
  <r>
    <x v="2115"/>
    <x v="80"/>
    <x v="97"/>
    <x v="9262"/>
    <m/>
    <n v="1000000"/>
    <n v="1000000"/>
    <x v="110"/>
  </r>
  <r>
    <x v="2115"/>
    <x v="80"/>
    <x v="97"/>
    <x v="9263"/>
    <m/>
    <n v="1000000"/>
    <n v="1000000"/>
    <x v="110"/>
  </r>
  <r>
    <x v="2115"/>
    <x v="80"/>
    <x v="97"/>
    <x v="9264"/>
    <m/>
    <n v="1500000"/>
    <n v="1500000"/>
    <x v="110"/>
  </r>
  <r>
    <x v="2116"/>
    <x v="80"/>
    <x v="97"/>
    <x v="9265"/>
    <m/>
    <n v="1000000"/>
    <n v="1000000"/>
    <x v="110"/>
  </r>
  <r>
    <x v="2116"/>
    <x v="80"/>
    <x v="97"/>
    <x v="9265"/>
    <m/>
    <n v="1000000"/>
    <n v="1000000"/>
    <x v="110"/>
  </r>
  <r>
    <x v="2116"/>
    <x v="80"/>
    <x v="97"/>
    <x v="9265"/>
    <m/>
    <n v="1000000"/>
    <n v="1000000"/>
    <x v="110"/>
  </r>
  <r>
    <x v="2116"/>
    <x v="80"/>
    <x v="97"/>
    <x v="9265"/>
    <m/>
    <n v="1500000"/>
    <n v="1500000"/>
    <x v="110"/>
  </r>
  <r>
    <x v="2116"/>
    <x v="80"/>
    <x v="97"/>
    <x v="9265"/>
    <m/>
    <n v="1500000"/>
    <n v="1500000"/>
    <x v="110"/>
  </r>
  <r>
    <x v="2116"/>
    <x v="80"/>
    <x v="97"/>
    <x v="9265"/>
    <m/>
    <n v="1417880"/>
    <n v="1417880"/>
    <x v="110"/>
  </r>
  <r>
    <x v="2116"/>
    <x v="80"/>
    <x v="97"/>
    <x v="9266"/>
    <m/>
    <n v="2200"/>
    <n v="2200"/>
    <x v="110"/>
  </r>
  <r>
    <x v="2117"/>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77"/>
    <x v="5"/>
    <m/>
    <m/>
    <n v="80055"/>
    <n v="-80055"/>
    <s v="discount"/>
  </r>
  <r>
    <x v="1009"/>
    <x v="77"/>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8"/>
    <x v="4"/>
    <s v="19492"/>
    <n v="78000"/>
    <m/>
    <n v="78000"/>
    <s v="10 Roll insulation 16kg 1&quot;"/>
  </r>
  <r>
    <x v="1018"/>
    <x v="99"/>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8"/>
    <x v="0"/>
    <s v="354"/>
    <n v="164160"/>
    <m/>
    <n v="164160"/>
    <m/>
  </r>
  <r>
    <x v="1021"/>
    <x v="98"/>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8"/>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8"/>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8"/>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99"/>
    <x v="35"/>
    <s v="11954"/>
    <n v="45500"/>
    <m/>
    <n v="45500"/>
    <s v="channel 27 x 18 &amp; Fishcer"/>
  </r>
  <r>
    <x v="1032"/>
    <x v="97"/>
    <x v="4"/>
    <s v="19596"/>
    <n v="126500"/>
    <m/>
    <n v="126500"/>
    <s v="11 Roll insulation"/>
  </r>
  <r>
    <x v="1033"/>
    <x v="99"/>
    <x v="1"/>
    <s v="579"/>
    <n v="25754"/>
    <m/>
    <n v="25754"/>
    <s v="Aeroflex tube 1-1/4 and 1-7/8"/>
  </r>
  <r>
    <x v="1034"/>
    <x v="99"/>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99"/>
    <x v="0"/>
    <s v="363"/>
    <n v="263400"/>
    <m/>
    <n v="263400"/>
    <s v="M.s Pipe 1&quot; , 1-1/2 &amp; 2&quot;"/>
  </r>
  <r>
    <x v="1037"/>
    <x v="99"/>
    <x v="4"/>
    <s v="19622"/>
    <n v="17000"/>
    <m/>
    <n v="17000"/>
    <s v="flexbiel connector 1 carton"/>
  </r>
  <r>
    <x v="1037"/>
    <x v="99"/>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99"/>
    <x v="35"/>
    <s v="12005"/>
    <n v="20250"/>
    <m/>
    <n v="20250"/>
    <s v="channel 27 x 18  15 nos"/>
  </r>
  <r>
    <x v="1041"/>
    <x v="99"/>
    <x v="1"/>
    <s v="599"/>
    <n v="56500"/>
    <m/>
    <n v="56500"/>
    <s v="NBR roll 3/4&quot;"/>
  </r>
  <r>
    <x v="1041"/>
    <x v="99"/>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99"/>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99"/>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99"/>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99"/>
    <x v="1"/>
    <m/>
    <m/>
    <n v="23827"/>
    <n v="-23827"/>
    <m/>
  </r>
  <r>
    <x v="1048"/>
    <x v="99"/>
    <x v="1"/>
    <m/>
    <m/>
    <n v="110000"/>
    <n v="-110000"/>
    <s v="MCB chq 1933400316"/>
  </r>
  <r>
    <x v="1048"/>
    <x v="95"/>
    <x v="48"/>
    <m/>
    <n v="55000"/>
    <m/>
    <n v="55000"/>
    <s v="Adjustment"/>
  </r>
  <r>
    <x v="1049"/>
    <x v="98"/>
    <x v="32"/>
    <s v="811"/>
    <n v="90816"/>
    <m/>
    <n v="90816"/>
    <s v="Combined bill"/>
  </r>
  <r>
    <x v="1049"/>
    <x v="91"/>
    <x v="32"/>
    <m/>
    <n v="10628"/>
    <m/>
    <n v="10628"/>
    <m/>
  </r>
  <r>
    <x v="1049"/>
    <x v="99"/>
    <x v="32"/>
    <s v="814"/>
    <n v="42000"/>
    <m/>
    <n v="42000"/>
    <m/>
  </r>
  <r>
    <x v="1049"/>
    <x v="91"/>
    <x v="32"/>
    <s v="810"/>
    <n v="33552"/>
    <m/>
    <n v="33552"/>
    <s v="Combined bill"/>
  </r>
  <r>
    <x v="1049"/>
    <x v="94"/>
    <x v="32"/>
    <m/>
    <n v="28080"/>
    <m/>
    <n v="28080"/>
    <m/>
  </r>
  <r>
    <x v="1050"/>
    <x v="97"/>
    <x v="4"/>
    <s v="19699"/>
    <n v="192500"/>
    <m/>
    <n v="192500"/>
    <s v="10 Roll"/>
  </r>
  <r>
    <x v="1051"/>
    <x v="98"/>
    <x v="32"/>
    <s v="815"/>
    <n v="306000"/>
    <m/>
    <n v="306000"/>
    <s v="swirl diffuser 36 nos"/>
  </r>
  <r>
    <x v="1051"/>
    <x v="97"/>
    <x v="32"/>
    <s v="811"/>
    <n v="175176"/>
    <m/>
    <n v="175176"/>
    <s v="Fire dampers"/>
  </r>
  <r>
    <x v="1051"/>
    <x v="97"/>
    <x v="32"/>
    <s v="813"/>
    <n v="251240"/>
    <m/>
    <n v="251240"/>
    <s v="VCDs"/>
  </r>
  <r>
    <x v="1051"/>
    <x v="99"/>
    <x v="32"/>
    <s v="816"/>
    <n v="6480"/>
    <m/>
    <n v="6480"/>
    <m/>
  </r>
  <r>
    <x v="1051"/>
    <x v="99"/>
    <x v="0"/>
    <s v="373"/>
    <n v="39160"/>
    <m/>
    <n v="39160"/>
    <s v="2-1/2&quot; pipe 40 rft"/>
  </r>
  <r>
    <x v="1051"/>
    <x v="99"/>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99"/>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99"/>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8"/>
    <x v="27"/>
    <s v="30"/>
    <n v="61163"/>
    <m/>
    <n v="61163"/>
    <m/>
  </r>
  <r>
    <x v="1058"/>
    <x v="91"/>
    <x v="27"/>
    <s v="31"/>
    <n v="34650"/>
    <m/>
    <n v="34650"/>
    <m/>
  </r>
  <r>
    <x v="1058"/>
    <x v="97"/>
    <x v="27"/>
    <s v="32"/>
    <n v="44740"/>
    <m/>
    <n v="44740"/>
    <m/>
  </r>
  <r>
    <x v="1058"/>
    <x v="95"/>
    <x v="27"/>
    <s v="33"/>
    <n v="16940"/>
    <m/>
    <n v="16940"/>
    <m/>
  </r>
  <r>
    <x v="1058"/>
    <x v="99"/>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8"/>
    <x v="4"/>
    <m/>
    <m/>
    <n v="78000"/>
    <n v="-78000"/>
    <m/>
  </r>
  <r>
    <x v="1062"/>
    <x v="99"/>
    <x v="4"/>
    <m/>
    <m/>
    <n v="115000"/>
    <n v="-115000"/>
    <m/>
  </r>
  <r>
    <x v="1062"/>
    <x v="25"/>
    <x v="19"/>
    <m/>
    <m/>
    <n v="28596"/>
    <n v="-28596"/>
    <s v="adjust"/>
  </r>
  <r>
    <x v="1062"/>
    <x v="100"/>
    <x v="1"/>
    <s v="678"/>
    <n v="20500"/>
    <m/>
    <n v="20500"/>
    <s v="3500 gram glue"/>
  </r>
  <r>
    <x v="1063"/>
    <x v="99"/>
    <x v="0"/>
    <m/>
    <m/>
    <n v="411820"/>
    <n v="-411820"/>
    <s v="Online transfer by Al madina via Ethnic payment rec on 13- mar 23 (total transfer amount is 575,980)"/>
  </r>
  <r>
    <x v="1063"/>
    <x v="98"/>
    <x v="0"/>
    <m/>
    <m/>
    <n v="164160"/>
    <n v="-164160"/>
    <m/>
  </r>
  <r>
    <x v="1063"/>
    <x v="100"/>
    <x v="0"/>
    <s v="392"/>
    <n v="670000"/>
    <m/>
    <n v="670000"/>
    <m/>
  </r>
  <r>
    <x v="1063"/>
    <x v="99"/>
    <x v="0"/>
    <s v="393"/>
    <n v="117520"/>
    <m/>
    <n v="117520"/>
    <m/>
  </r>
  <r>
    <x v="1064"/>
    <x v="97"/>
    <x v="44"/>
    <s v="28"/>
    <n v="20020"/>
    <m/>
    <n v="20020"/>
    <m/>
  </r>
  <r>
    <x v="1065"/>
    <x v="91"/>
    <x v="44"/>
    <m/>
    <m/>
    <n v="128554"/>
    <n v="-128554"/>
    <s v="adjusted with Al Madina Steel traders"/>
  </r>
  <r>
    <x v="1065"/>
    <x v="97"/>
    <x v="44"/>
    <m/>
    <m/>
    <n v="371446"/>
    <n v="-371446"/>
    <m/>
  </r>
  <r>
    <x v="1065"/>
    <x v="99"/>
    <x v="1"/>
    <s v="687"/>
    <n v="9690"/>
    <m/>
    <n v="9690"/>
    <m/>
  </r>
  <r>
    <x v="1066"/>
    <x v="91"/>
    <x v="39"/>
    <m/>
    <m/>
    <n v="100000"/>
    <n v="-100000"/>
    <s v="paid in labour against bill # 10"/>
  </r>
  <r>
    <x v="1066"/>
    <x v="100"/>
    <x v="0"/>
    <s v="396"/>
    <n v="193000"/>
    <m/>
    <n v="193000"/>
    <s v="Gate valve 8&quot; N/R GALA 2 nos"/>
  </r>
  <r>
    <x v="1066"/>
    <x v="97"/>
    <x v="44"/>
    <s v="29"/>
    <n v="331988"/>
    <m/>
    <n v="331988"/>
    <m/>
  </r>
  <r>
    <x v="1066"/>
    <x v="97"/>
    <x v="44"/>
    <s v="30"/>
    <n v="59781"/>
    <m/>
    <n v="59781"/>
    <m/>
  </r>
  <r>
    <x v="1067"/>
    <x v="99"/>
    <x v="1"/>
    <s v="691"/>
    <n v="4248"/>
    <m/>
    <n v="4248"/>
    <m/>
  </r>
  <r>
    <x v="1067"/>
    <x v="100"/>
    <x v="1"/>
    <s v="692"/>
    <n v="20500"/>
    <m/>
    <n v="20500"/>
    <s v="Glue"/>
  </r>
  <r>
    <x v="1067"/>
    <x v="100"/>
    <x v="1"/>
    <m/>
    <n v="6936"/>
    <m/>
    <n v="6936"/>
    <s v="adjustment"/>
  </r>
  <r>
    <x v="1068"/>
    <x v="101"/>
    <x v="3"/>
    <s v="4626"/>
    <n v="3303"/>
    <m/>
    <n v="3303"/>
    <s v="PVC conduits"/>
  </r>
  <r>
    <x v="1068"/>
    <x v="98"/>
    <x v="3"/>
    <s v="4627"/>
    <n v="2773"/>
    <m/>
    <n v="2773"/>
    <s v="PVC conduits"/>
  </r>
  <r>
    <x v="1069"/>
    <x v="99"/>
    <x v="28"/>
    <s v="1490"/>
    <n v="11200"/>
    <m/>
    <n v="11200"/>
    <s v="16 pcs 3&quot; tapes"/>
  </r>
  <r>
    <x v="1070"/>
    <x v="101"/>
    <x v="44"/>
    <s v="31"/>
    <n v="28496"/>
    <m/>
    <n v="28496"/>
    <s v="Combined bill"/>
  </r>
  <r>
    <x v="1070"/>
    <x v="76"/>
    <x v="44"/>
    <m/>
    <n v="8745"/>
    <m/>
    <n v="8745"/>
    <m/>
  </r>
  <r>
    <x v="1071"/>
    <x v="97"/>
    <x v="4"/>
    <s v="19891"/>
    <n v="115000"/>
    <m/>
    <n v="115000"/>
    <s v="10 roll glass wool insulation"/>
  </r>
  <r>
    <x v="1072"/>
    <x v="99"/>
    <x v="44"/>
    <s v="32"/>
    <n v="17015"/>
    <m/>
    <n v="17015"/>
    <m/>
  </r>
  <r>
    <x v="1072"/>
    <x v="97"/>
    <x v="44"/>
    <s v="33"/>
    <n v="119264"/>
    <m/>
    <n v="119264"/>
    <m/>
  </r>
  <r>
    <x v="1073"/>
    <x v="99"/>
    <x v="32"/>
    <s v="826"/>
    <n v="20000"/>
    <m/>
    <n v="20000"/>
    <s v="Combined bill"/>
  </r>
  <r>
    <x v="1073"/>
    <x v="91"/>
    <x v="32"/>
    <m/>
    <n v="15000"/>
    <m/>
    <n v="15000"/>
    <m/>
  </r>
  <r>
    <x v="1073"/>
    <x v="99"/>
    <x v="32"/>
    <s v="829"/>
    <n v="5000"/>
    <m/>
    <n v="5000"/>
    <m/>
  </r>
  <r>
    <x v="1073"/>
    <x v="91"/>
    <x v="1"/>
    <s v="715"/>
    <n v="67000"/>
    <m/>
    <n v="67000"/>
    <s v="2&quot; insulation"/>
  </r>
  <r>
    <x v="1074"/>
    <x v="91"/>
    <x v="32"/>
    <m/>
    <m/>
    <n v="94550"/>
    <n v="-94550"/>
    <s v="cash paid"/>
  </r>
  <r>
    <x v="1074"/>
    <x v="94"/>
    <x v="32"/>
    <m/>
    <m/>
    <n v="20624"/>
    <n v="-20624"/>
    <m/>
  </r>
  <r>
    <x v="1074"/>
    <x v="99"/>
    <x v="32"/>
    <m/>
    <m/>
    <n v="34826"/>
    <n v="-34826"/>
    <m/>
  </r>
  <r>
    <x v="1075"/>
    <x v="102"/>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3"/>
    <x v="3"/>
    <s v="4893"/>
    <n v="64935"/>
    <m/>
    <n v="64935"/>
    <s v="UPVC pipe and fittings"/>
  </r>
  <r>
    <x v="1077"/>
    <x v="100"/>
    <x v="14"/>
    <s v="9282"/>
    <n v="4250"/>
    <m/>
    <n v="4250"/>
    <m/>
  </r>
  <r>
    <x v="1077"/>
    <x v="91"/>
    <x v="1"/>
    <m/>
    <m/>
    <n v="67000"/>
    <n v="-67000"/>
    <s v="paid via Al madina steel "/>
  </r>
  <r>
    <x v="1077"/>
    <x v="99"/>
    <x v="1"/>
    <m/>
    <m/>
    <n v="18365"/>
    <n v="-18365"/>
    <m/>
  </r>
  <r>
    <x v="1077"/>
    <x v="100"/>
    <x v="1"/>
    <m/>
    <m/>
    <n v="20500"/>
    <n v="-20500"/>
    <m/>
  </r>
  <r>
    <x v="1077"/>
    <x v="100"/>
    <x v="1"/>
    <m/>
    <m/>
    <n v="4135"/>
    <n v="-4135"/>
    <m/>
  </r>
  <r>
    <x v="1078"/>
    <x v="104"/>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99"/>
    <x v="44"/>
    <m/>
    <m/>
    <n v="17015"/>
    <n v="-17015"/>
    <m/>
  </r>
  <r>
    <x v="1079"/>
    <x v="101"/>
    <x v="44"/>
    <m/>
    <m/>
    <n v="28496"/>
    <n v="-28496"/>
    <m/>
  </r>
  <r>
    <x v="1079"/>
    <x v="102"/>
    <x v="44"/>
    <m/>
    <m/>
    <n v="93883"/>
    <n v="-93883"/>
    <m/>
  </r>
  <r>
    <x v="1080"/>
    <x v="99"/>
    <x v="32"/>
    <s v="836"/>
    <n v="150000"/>
    <m/>
    <n v="150000"/>
    <s v="verified bill"/>
  </r>
  <r>
    <x v="1081"/>
    <x v="97"/>
    <x v="44"/>
    <s v="35"/>
    <n v="410656"/>
    <m/>
    <n v="410656"/>
    <m/>
  </r>
  <r>
    <x v="1081"/>
    <x v="104"/>
    <x v="44"/>
    <s v="36"/>
    <n v="315888"/>
    <m/>
    <n v="315888"/>
    <m/>
  </r>
  <r>
    <x v="1081"/>
    <x v="104"/>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4"/>
    <x v="44"/>
    <s v="38"/>
    <n v="268519"/>
    <m/>
    <n v="268519"/>
    <m/>
  </r>
  <r>
    <x v="1083"/>
    <x v="104"/>
    <x v="28"/>
    <s v="1515"/>
    <n v="441068"/>
    <m/>
    <n v="441068"/>
    <s v="XLPE N Clad 33 sheets &amp; 3&quot; Diamond tapes 2 carton "/>
  </r>
  <r>
    <x v="1084"/>
    <x v="97"/>
    <x v="44"/>
    <m/>
    <m/>
    <n v="494907"/>
    <n v="-494907"/>
    <s v="Sheet adjustment from al madian Total = 730,000"/>
  </r>
  <r>
    <x v="1084"/>
    <x v="104"/>
    <x v="44"/>
    <m/>
    <m/>
    <n v="235093"/>
    <n v="-235093"/>
    <m/>
  </r>
  <r>
    <x v="1084"/>
    <x v="97"/>
    <x v="4"/>
    <s v="19955"/>
    <n v="95350"/>
    <m/>
    <n v="95350"/>
    <s v="Flexible duct 8&quot; 4 carton &amp; flexbile connector 75 mtr"/>
  </r>
  <r>
    <x v="1085"/>
    <x v="102"/>
    <x v="1"/>
    <s v="767"/>
    <n v="125327"/>
    <m/>
    <n v="125327"/>
    <s v="aerofoam tube"/>
  </r>
  <r>
    <x v="1086"/>
    <x v="97"/>
    <x v="44"/>
    <s v="39"/>
    <n v="72367"/>
    <m/>
    <n v="72367"/>
    <m/>
  </r>
  <r>
    <x v="1086"/>
    <x v="105"/>
    <x v="44"/>
    <s v="40"/>
    <n v="1140427"/>
    <m/>
    <n v="1140427"/>
    <m/>
  </r>
  <r>
    <x v="1086"/>
    <x v="104"/>
    <x v="44"/>
    <s v="41"/>
    <n v="354608"/>
    <m/>
    <n v="354608"/>
    <m/>
  </r>
  <r>
    <x v="1086"/>
    <x v="102"/>
    <x v="3"/>
    <m/>
    <n v="5187"/>
    <m/>
    <n v="5187"/>
    <s v="PVC conduits"/>
  </r>
  <r>
    <x v="1086"/>
    <x v="105"/>
    <x v="44"/>
    <m/>
    <m/>
    <n v="400000"/>
    <n v="-400000"/>
    <s v="Sheet adjustment from al madina"/>
  </r>
  <r>
    <x v="1087"/>
    <x v="91"/>
    <x v="39"/>
    <m/>
    <m/>
    <n v="89000"/>
    <n v="-89000"/>
    <s v="MCB chq 1940090991 final amount in bill # 10"/>
  </r>
  <r>
    <x v="1087"/>
    <x v="100"/>
    <x v="1"/>
    <m/>
    <m/>
    <n v="23301"/>
    <n v="-23301"/>
    <s v="Online transfer by bilal bhai amount is 148,000"/>
  </r>
  <r>
    <x v="1087"/>
    <x v="102"/>
    <x v="1"/>
    <m/>
    <m/>
    <n v="124699"/>
    <n v="-124699"/>
    <m/>
  </r>
  <r>
    <x v="1087"/>
    <x v="99"/>
    <x v="0"/>
    <m/>
    <m/>
    <n v="380920"/>
    <n v="-380920"/>
    <s v="Online transfer by bilal bhai amount is 573,000"/>
  </r>
  <r>
    <x v="1087"/>
    <x v="100"/>
    <x v="0"/>
    <m/>
    <m/>
    <n v="192080"/>
    <n v="-192080"/>
    <m/>
  </r>
  <r>
    <x v="1087"/>
    <x v="100"/>
    <x v="0"/>
    <m/>
    <m/>
    <n v="920"/>
    <n v="-920"/>
    <s v="adjustment"/>
  </r>
  <r>
    <x v="1087"/>
    <x v="97"/>
    <x v="32"/>
    <m/>
    <m/>
    <n v="25176"/>
    <n v="-25176"/>
    <s v="MCB 1940090992 4 bills paid against this cheque amount Rs 217761"/>
  </r>
  <r>
    <x v="1087"/>
    <x v="99"/>
    <x v="32"/>
    <m/>
    <m/>
    <n v="150000"/>
    <n v="-150000"/>
    <m/>
  </r>
  <r>
    <x v="1087"/>
    <x v="99"/>
    <x v="32"/>
    <m/>
    <m/>
    <n v="35000"/>
    <n v="-35000"/>
    <m/>
  </r>
  <r>
    <x v="1087"/>
    <x v="99"/>
    <x v="32"/>
    <m/>
    <m/>
    <n v="5000"/>
    <n v="-5000"/>
    <m/>
  </r>
  <r>
    <x v="1087"/>
    <x v="100"/>
    <x v="27"/>
    <s v="35"/>
    <n v="164970"/>
    <m/>
    <n v="164970"/>
    <m/>
  </r>
  <r>
    <x v="1087"/>
    <x v="102"/>
    <x v="3"/>
    <s v="5121"/>
    <n v="5187"/>
    <m/>
    <n v="5187"/>
    <m/>
  </r>
  <r>
    <x v="1087"/>
    <x v="106"/>
    <x v="49"/>
    <m/>
    <m/>
    <n v="5000000"/>
    <n v="-5000000"/>
    <s v="Advance paid in Meezan bank deal (payment rec from IK in acc of Ethnic)"/>
  </r>
  <r>
    <x v="1088"/>
    <x v="102"/>
    <x v="1"/>
    <s v="786"/>
    <n v="38050"/>
    <m/>
    <n v="38050"/>
    <s v="aerofoam tube"/>
  </r>
  <r>
    <x v="1089"/>
    <x v="104"/>
    <x v="28"/>
    <s v="1528"/>
    <n v="77980"/>
    <m/>
    <n v="77980"/>
    <s v="N clad sheet + tapes"/>
  </r>
  <r>
    <x v="1090"/>
    <x v="105"/>
    <x v="44"/>
    <s v="42"/>
    <n v="345118"/>
    <m/>
    <n v="345118"/>
    <m/>
  </r>
  <r>
    <x v="1090"/>
    <x v="104"/>
    <x v="44"/>
    <s v="43"/>
    <n v="354772"/>
    <m/>
    <n v="354772"/>
    <m/>
  </r>
  <r>
    <x v="1090"/>
    <x v="104"/>
    <x v="32"/>
    <s v="839"/>
    <n v="37560"/>
    <m/>
    <n v="37560"/>
    <m/>
  </r>
  <r>
    <x v="1091"/>
    <x v="107"/>
    <x v="4"/>
    <s v="4465"/>
    <n v="15800"/>
    <m/>
    <n v="15800"/>
    <s v="super loan"/>
  </r>
  <r>
    <x v="1092"/>
    <x v="105"/>
    <x v="44"/>
    <m/>
    <m/>
    <n v="250000"/>
    <n v="-250000"/>
    <s v="MCB chq 1940091002"/>
  </r>
  <r>
    <x v="1092"/>
    <x v="105"/>
    <x v="44"/>
    <m/>
    <m/>
    <n v="250000"/>
    <n v="-250000"/>
    <s v="MCB chq 1940091002"/>
  </r>
  <r>
    <x v="1092"/>
    <x v="104"/>
    <x v="44"/>
    <m/>
    <m/>
    <n v="250000"/>
    <n v="-250000"/>
    <s v="Given by bilal bhai"/>
  </r>
  <r>
    <x v="1092"/>
    <x v="104"/>
    <x v="44"/>
    <m/>
    <m/>
    <n v="250000"/>
    <n v="-250000"/>
    <s v="Given by bilal bhai"/>
  </r>
  <r>
    <x v="1092"/>
    <x v="105"/>
    <x v="44"/>
    <s v="44"/>
    <n v="308829"/>
    <m/>
    <n v="308829"/>
    <m/>
  </r>
  <r>
    <x v="1092"/>
    <x v="104"/>
    <x v="44"/>
    <s v="45"/>
    <n v="92285"/>
    <m/>
    <n v="92285"/>
    <m/>
  </r>
  <r>
    <x v="1092"/>
    <x v="104"/>
    <x v="4"/>
    <s v="4473"/>
    <n v="6900"/>
    <m/>
    <n v="6900"/>
    <s v="rock wool"/>
  </r>
  <r>
    <x v="1093"/>
    <x v="104"/>
    <x v="28"/>
    <s v="1534"/>
    <n v="51648"/>
    <m/>
    <n v="51648"/>
    <s v="go flex xlpe foam"/>
  </r>
  <r>
    <x v="1093"/>
    <x v="107"/>
    <x v="7"/>
    <m/>
    <n v="12591"/>
    <m/>
    <n v="12591"/>
    <m/>
  </r>
  <r>
    <x v="1094"/>
    <x v="102"/>
    <x v="1"/>
    <s v="836"/>
    <n v="9004"/>
    <m/>
    <n v="9004"/>
    <m/>
  </r>
  <r>
    <x v="1095"/>
    <x v="105"/>
    <x v="44"/>
    <s v="46"/>
    <n v="329527"/>
    <m/>
    <n v="329527"/>
    <m/>
  </r>
  <r>
    <x v="1095"/>
    <x v="104"/>
    <x v="44"/>
    <s v="47"/>
    <n v="154261"/>
    <m/>
    <n v="154261"/>
    <m/>
  </r>
  <r>
    <x v="1095"/>
    <x v="107"/>
    <x v="7"/>
    <m/>
    <n v="873"/>
    <m/>
    <n v="873"/>
    <m/>
  </r>
  <r>
    <x v="1095"/>
    <x v="102"/>
    <x v="1"/>
    <s v="848"/>
    <n v="7880"/>
    <m/>
    <n v="7880"/>
    <m/>
  </r>
  <r>
    <x v="1096"/>
    <x v="105"/>
    <x v="44"/>
    <s v="48"/>
    <n v="334037"/>
    <m/>
    <n v="334037"/>
    <m/>
  </r>
  <r>
    <x v="1096"/>
    <x v="90"/>
    <x v="45"/>
    <m/>
    <m/>
    <n v="975000"/>
    <n v="-975000"/>
    <s v="Given by bilal bhai"/>
  </r>
  <r>
    <x v="1096"/>
    <x v="102"/>
    <x v="3"/>
    <s v="5348"/>
    <n v="2537"/>
    <m/>
    <n v="2537"/>
    <m/>
  </r>
  <r>
    <x v="1097"/>
    <x v="104"/>
    <x v="28"/>
    <s v="1548"/>
    <n v="10200"/>
    <m/>
    <n v="10200"/>
    <s v="2&quot; tapes"/>
  </r>
  <r>
    <x v="1097"/>
    <x v="106"/>
    <x v="49"/>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8"/>
    <x v="27"/>
    <m/>
    <m/>
    <n v="3983"/>
    <n v="-3983"/>
    <m/>
  </r>
  <r>
    <x v="1098"/>
    <x v="99"/>
    <x v="27"/>
    <m/>
    <m/>
    <n v="48076"/>
    <n v="-48076"/>
    <m/>
  </r>
  <r>
    <x v="1098"/>
    <x v="100"/>
    <x v="27"/>
    <m/>
    <m/>
    <n v="48076"/>
    <n v="-48076"/>
    <m/>
  </r>
  <r>
    <x v="1098"/>
    <x v="95"/>
    <x v="27"/>
    <s v="36"/>
    <n v="100000"/>
    <m/>
    <n v="100000"/>
    <m/>
  </r>
  <r>
    <x v="1098"/>
    <x v="107"/>
    <x v="7"/>
    <m/>
    <n v="31540"/>
    <m/>
    <n v="31540"/>
    <m/>
  </r>
  <r>
    <x v="1096"/>
    <x v="94"/>
    <x v="27"/>
    <m/>
    <m/>
    <n v="200000"/>
    <n v="-200000"/>
    <s v="MCB chq 1940091009"/>
  </r>
  <r>
    <x v="1096"/>
    <x v="95"/>
    <x v="27"/>
    <m/>
    <m/>
    <n v="50000"/>
    <n v="-50000"/>
    <s v="MCB chq 1940091010"/>
  </r>
  <r>
    <x v="1099"/>
    <x v="105"/>
    <x v="4"/>
    <s v="10020"/>
    <n v="44000"/>
    <m/>
    <n v="44000"/>
    <s v="flexible duct connector"/>
  </r>
  <r>
    <x v="1097"/>
    <x v="104"/>
    <x v="4"/>
    <s v="4488"/>
    <n v="9200"/>
    <m/>
    <n v="9200"/>
    <s v="rock wool"/>
  </r>
  <r>
    <x v="1100"/>
    <x v="105"/>
    <x v="44"/>
    <s v="49"/>
    <n v="114314"/>
    <m/>
    <n v="114314"/>
    <m/>
  </r>
  <r>
    <x v="1100"/>
    <x v="104"/>
    <x v="32"/>
    <s v="847"/>
    <n v="68320"/>
    <m/>
    <n v="68320"/>
    <m/>
  </r>
  <r>
    <x v="1100"/>
    <x v="104"/>
    <x v="32"/>
    <s v="849"/>
    <n v="75000"/>
    <m/>
    <n v="75000"/>
    <m/>
  </r>
  <r>
    <x v="1100"/>
    <x v="97"/>
    <x v="32"/>
    <s v="845"/>
    <n v="217008"/>
    <m/>
    <n v="217008"/>
    <m/>
  </r>
  <r>
    <x v="1100"/>
    <x v="103"/>
    <x v="32"/>
    <s v="846"/>
    <n v="15000"/>
    <m/>
    <n v="15000"/>
    <m/>
  </r>
  <r>
    <x v="1100"/>
    <x v="99"/>
    <x v="32"/>
    <s v="848"/>
    <n v="15600"/>
    <m/>
    <n v="15600"/>
    <m/>
  </r>
  <r>
    <x v="1100"/>
    <x v="99"/>
    <x v="32"/>
    <s v="844"/>
    <n v="960"/>
    <m/>
    <n v="960"/>
    <m/>
  </r>
  <r>
    <x v="1100"/>
    <x v="108"/>
    <x v="1"/>
    <s v="872"/>
    <n v="7092"/>
    <m/>
    <n v="7092"/>
    <m/>
  </r>
  <r>
    <x v="1101"/>
    <x v="91"/>
    <x v="40"/>
    <m/>
    <m/>
    <n v="1500000"/>
    <n v="-1500000"/>
    <s v="(rec from IK on 26 may 23)"/>
  </r>
  <r>
    <x v="1101"/>
    <x v="97"/>
    <x v="4"/>
    <m/>
    <m/>
    <n v="600000"/>
    <n v="-600000"/>
    <s v="(rec from IK on 26 may 23)"/>
  </r>
  <r>
    <x v="1101"/>
    <x v="104"/>
    <x v="4"/>
    <s v="4495"/>
    <n v="4600"/>
    <m/>
    <n v="4600"/>
    <s v="rock wool"/>
  </r>
  <r>
    <x v="1101"/>
    <x v="105"/>
    <x v="0"/>
    <s v="426"/>
    <n v="1849080"/>
    <m/>
    <n v="1849080"/>
    <s v="MS pipe"/>
  </r>
  <r>
    <x v="1101"/>
    <x v="104"/>
    <x v="28"/>
    <s v="1523"/>
    <n v="32000"/>
    <m/>
    <n v="32000"/>
    <s v="3&quot; tapes"/>
  </r>
  <r>
    <x v="1101"/>
    <x v="108"/>
    <x v="28"/>
    <s v="1549"/>
    <n v="25630"/>
    <m/>
    <n v="25630"/>
    <s v="NBR tube"/>
  </r>
  <r>
    <x v="1101"/>
    <x v="104"/>
    <x v="44"/>
    <s v="50"/>
    <n v="197917"/>
    <m/>
    <n v="197917"/>
    <m/>
  </r>
  <r>
    <x v="1098"/>
    <x v="93"/>
    <x v="44"/>
    <s v="51"/>
    <n v="69785"/>
    <m/>
    <n v="69785"/>
    <m/>
  </r>
  <r>
    <x v="1098"/>
    <x v="97"/>
    <x v="44"/>
    <s v="52"/>
    <n v="44259"/>
    <m/>
    <n v="44259"/>
    <m/>
  </r>
  <r>
    <x v="1098"/>
    <x v="104"/>
    <x v="44"/>
    <s v="53"/>
    <n v="63065"/>
    <m/>
    <n v="63065"/>
    <m/>
  </r>
  <r>
    <x v="1102"/>
    <x v="104"/>
    <x v="4"/>
    <s v="4500"/>
    <n v="11500"/>
    <m/>
    <n v="11500"/>
    <s v="rock wool"/>
  </r>
  <r>
    <x v="1098"/>
    <x v="105"/>
    <x v="44"/>
    <m/>
    <m/>
    <n v="500000"/>
    <n v="-500000"/>
    <s v="MCB chq 1940091015"/>
  </r>
  <r>
    <x v="1103"/>
    <x v="107"/>
    <x v="7"/>
    <m/>
    <n v="4215"/>
    <m/>
    <n v="4215"/>
    <m/>
  </r>
  <r>
    <x v="1103"/>
    <x v="105"/>
    <x v="44"/>
    <s v="54"/>
    <n v="272244"/>
    <m/>
    <n v="272244"/>
    <m/>
  </r>
  <r>
    <x v="1103"/>
    <x v="102"/>
    <x v="44"/>
    <s v="55"/>
    <n v="101572"/>
    <m/>
    <n v="101572"/>
    <m/>
  </r>
  <r>
    <x v="1104"/>
    <x v="104"/>
    <x v="4"/>
    <s v="4507"/>
    <n v="16100"/>
    <m/>
    <n v="16100"/>
    <m/>
  </r>
  <r>
    <x v="1104"/>
    <x v="107"/>
    <x v="7"/>
    <m/>
    <n v="14792"/>
    <m/>
    <n v="14792"/>
    <m/>
  </r>
  <r>
    <x v="1105"/>
    <x v="93"/>
    <x v="44"/>
    <s v="56"/>
    <n v="352684"/>
    <m/>
    <n v="352684"/>
    <m/>
  </r>
  <r>
    <x v="1105"/>
    <x v="104"/>
    <x v="44"/>
    <s v="57"/>
    <n v="71932"/>
    <m/>
    <n v="71932"/>
    <m/>
  </r>
  <r>
    <x v="1105"/>
    <x v="97"/>
    <x v="44"/>
    <s v="58"/>
    <n v="19825"/>
    <m/>
    <n v="19825"/>
    <m/>
  </r>
  <r>
    <x v="1106"/>
    <x v="104"/>
    <x v="44"/>
    <s v="59"/>
    <n v="106851"/>
    <m/>
    <n v="106851"/>
    <m/>
  </r>
  <r>
    <x v="1107"/>
    <x v="102"/>
    <x v="28"/>
    <s v="1563"/>
    <n v="59395"/>
    <m/>
    <n v="59395"/>
    <m/>
  </r>
  <r>
    <x v="1107"/>
    <x v="97"/>
    <x v="17"/>
    <m/>
    <m/>
    <n v="200000"/>
    <n v="-200000"/>
    <s v="cash paid"/>
  </r>
  <r>
    <x v="1107"/>
    <x v="105"/>
    <x v="0"/>
    <m/>
    <m/>
    <n v="1800000"/>
    <n v="-1800000"/>
    <s v="cash paid"/>
  </r>
  <r>
    <x v="1108"/>
    <x v="93"/>
    <x v="44"/>
    <s v="60"/>
    <n v="131823"/>
    <m/>
    <n v="131823"/>
    <m/>
  </r>
  <r>
    <x v="1108"/>
    <x v="107"/>
    <x v="7"/>
    <m/>
    <n v="10679"/>
    <m/>
    <n v="10679"/>
    <m/>
  </r>
  <r>
    <x v="1109"/>
    <x v="104"/>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99"/>
    <x v="28"/>
    <m/>
    <m/>
    <n v="201031"/>
    <n v="-201031"/>
    <m/>
  </r>
  <r>
    <x v="1111"/>
    <x v="97"/>
    <x v="44"/>
    <s v="63"/>
    <n v="100747"/>
    <m/>
    <n v="100747"/>
    <m/>
  </r>
  <r>
    <x v="1111"/>
    <x v="105"/>
    <x v="44"/>
    <m/>
    <m/>
    <n v="1050000"/>
    <n v="-1050000"/>
    <s v="Given cash through Al madina steel"/>
  </r>
  <r>
    <x v="1111"/>
    <x v="104"/>
    <x v="44"/>
    <m/>
    <m/>
    <n v="100000"/>
    <n v="-100000"/>
    <m/>
  </r>
  <r>
    <x v="1111"/>
    <x v="97"/>
    <x v="44"/>
    <m/>
    <m/>
    <n v="350000"/>
    <n v="-350000"/>
    <m/>
  </r>
  <r>
    <x v="1112"/>
    <x v="107"/>
    <x v="1"/>
    <s v="991"/>
    <n v="23382"/>
    <m/>
    <n v="23382"/>
    <m/>
  </r>
  <r>
    <x v="1113"/>
    <x v="97"/>
    <x v="17"/>
    <m/>
    <m/>
    <n v="342000"/>
    <n v="-342000"/>
    <s v="Payment received from Al Madina Steel traders"/>
  </r>
  <r>
    <x v="1113"/>
    <x v="102"/>
    <x v="28"/>
    <s v="1577"/>
    <n v="94595"/>
    <m/>
    <n v="94595"/>
    <m/>
  </r>
  <r>
    <x v="1113"/>
    <x v="107"/>
    <x v="7"/>
    <m/>
    <n v="1177"/>
    <m/>
    <n v="1177"/>
    <m/>
  </r>
  <r>
    <x v="1114"/>
    <x v="97"/>
    <x v="44"/>
    <s v="64"/>
    <n v="72442"/>
    <m/>
    <n v="72442"/>
    <m/>
  </r>
  <r>
    <x v="1114"/>
    <x v="93"/>
    <x v="44"/>
    <s v="65"/>
    <n v="10332"/>
    <m/>
    <n v="10332"/>
    <m/>
  </r>
  <r>
    <x v="1114"/>
    <x v="107"/>
    <x v="5"/>
    <s v="1342"/>
    <n v="82924"/>
    <m/>
    <n v="82924"/>
    <m/>
  </r>
  <r>
    <x v="1115"/>
    <x v="102"/>
    <x v="28"/>
    <s v="1583"/>
    <n v="118790"/>
    <m/>
    <n v="118790"/>
    <m/>
  </r>
  <r>
    <x v="1116"/>
    <x v="107"/>
    <x v="3"/>
    <s v="5733"/>
    <n v="3287"/>
    <m/>
    <n v="3287"/>
    <m/>
  </r>
  <r>
    <x v="1116"/>
    <x v="100"/>
    <x v="0"/>
    <m/>
    <m/>
    <n v="670000"/>
    <n v="-670000"/>
    <s v="Chq given from Total (meezan advance) chq amount is 875,000"/>
  </r>
  <r>
    <x v="1116"/>
    <x v="105"/>
    <x v="0"/>
    <m/>
    <m/>
    <n v="49080"/>
    <n v="-49080"/>
    <m/>
  </r>
  <r>
    <x v="1116"/>
    <x v="109"/>
    <x v="0"/>
    <m/>
    <m/>
    <n v="151960"/>
    <n v="-151960"/>
    <m/>
  </r>
  <r>
    <x v="1116"/>
    <x v="110"/>
    <x v="0"/>
    <m/>
    <m/>
    <n v="3960"/>
    <n v="-3960"/>
    <m/>
  </r>
  <r>
    <x v="1116"/>
    <x v="108"/>
    <x v="1"/>
    <s v="1021"/>
    <n v="95762"/>
    <m/>
    <n v="95762"/>
    <m/>
  </r>
  <r>
    <x v="1116"/>
    <x v="108"/>
    <x v="3"/>
    <s v="5744"/>
    <n v="5855"/>
    <m/>
    <n v="5855"/>
    <m/>
  </r>
  <r>
    <x v="1116"/>
    <x v="102"/>
    <x v="44"/>
    <s v="66"/>
    <n v="194536"/>
    <m/>
    <n v="194536"/>
    <m/>
  </r>
  <r>
    <x v="1117"/>
    <x v="97"/>
    <x v="44"/>
    <s v="67"/>
    <n v="23532"/>
    <m/>
    <n v="23532"/>
    <m/>
  </r>
  <r>
    <x v="1117"/>
    <x v="107"/>
    <x v="3"/>
    <s v="5758"/>
    <n v="1786"/>
    <m/>
    <n v="1786"/>
    <m/>
  </r>
  <r>
    <x v="1117"/>
    <x v="106"/>
    <x v="49"/>
    <s v="1365"/>
    <m/>
    <m/>
    <n v="0"/>
    <m/>
  </r>
  <r>
    <x v="1117"/>
    <x v="108"/>
    <x v="5"/>
    <s v="1366"/>
    <n v="399840"/>
    <m/>
    <n v="399840"/>
    <m/>
  </r>
  <r>
    <x v="1117"/>
    <x v="108"/>
    <x v="1"/>
    <s v="1028"/>
    <n v="5187"/>
    <m/>
    <n v="5187"/>
    <m/>
  </r>
  <r>
    <x v="1117"/>
    <x v="107"/>
    <x v="1"/>
    <s v="1029"/>
    <n v="23382"/>
    <m/>
    <n v="23382"/>
    <m/>
  </r>
  <r>
    <x v="1117"/>
    <x v="102"/>
    <x v="1"/>
    <s v="1030"/>
    <n v="616374"/>
    <m/>
    <n v="616374"/>
    <m/>
  </r>
  <r>
    <x v="1117"/>
    <x v="106"/>
    <x v="49"/>
    <s v="1365"/>
    <n v="1523704"/>
    <m/>
    <n v="1523704"/>
    <m/>
  </r>
  <r>
    <x v="1117"/>
    <x v="102"/>
    <x v="1"/>
    <m/>
    <m/>
    <n v="55562"/>
    <n v="-55562"/>
    <s v="MCB chq 1949327577  Rs 181,798"/>
  </r>
  <r>
    <x v="1117"/>
    <x v="107"/>
    <x v="1"/>
    <m/>
    <m/>
    <n v="23382"/>
    <n v="-23382"/>
    <m/>
  </r>
  <r>
    <x v="1117"/>
    <x v="108"/>
    <x v="1"/>
    <m/>
    <m/>
    <n v="102854"/>
    <n v="-102854"/>
    <m/>
  </r>
  <r>
    <x v="1118"/>
    <x v="102"/>
    <x v="1"/>
    <m/>
    <m/>
    <n v="250000"/>
    <n v="-250000"/>
    <s v="Online transfer by BH"/>
  </r>
  <r>
    <x v="1118"/>
    <x v="102"/>
    <x v="1"/>
    <m/>
    <m/>
    <n v="250000"/>
    <n v="-250000"/>
    <s v="Online transfer by BH"/>
  </r>
  <r>
    <x v="1117"/>
    <x v="25"/>
    <x v="3"/>
    <m/>
    <m/>
    <n v="7264"/>
    <n v="-7264"/>
    <s v="Chq given from Al madina amount is 100,000"/>
  </r>
  <r>
    <x v="1117"/>
    <x v="82"/>
    <x v="3"/>
    <m/>
    <m/>
    <n v="1320"/>
    <n v="-1320"/>
    <m/>
  </r>
  <r>
    <x v="1117"/>
    <x v="98"/>
    <x v="3"/>
    <m/>
    <m/>
    <n v="2773"/>
    <n v="-2773"/>
    <m/>
  </r>
  <r>
    <x v="1117"/>
    <x v="102"/>
    <x v="3"/>
    <m/>
    <m/>
    <n v="12911"/>
    <n v="-12911"/>
    <m/>
  </r>
  <r>
    <x v="1117"/>
    <x v="101"/>
    <x v="3"/>
    <m/>
    <m/>
    <n v="3303"/>
    <n v="-3303"/>
    <m/>
  </r>
  <r>
    <x v="1117"/>
    <x v="103"/>
    <x v="3"/>
    <m/>
    <m/>
    <n v="64935"/>
    <n v="-64935"/>
    <m/>
  </r>
  <r>
    <x v="1117"/>
    <x v="107"/>
    <x v="3"/>
    <m/>
    <m/>
    <n v="5073"/>
    <n v="-5073"/>
    <m/>
  </r>
  <r>
    <x v="1117"/>
    <x v="108"/>
    <x v="3"/>
    <m/>
    <m/>
    <n v="2239"/>
    <n v="-2239"/>
    <m/>
  </r>
  <r>
    <x v="1118"/>
    <x v="107"/>
    <x v="5"/>
    <s v="1374"/>
    <n v="48749"/>
    <m/>
    <n v="48749"/>
    <s v="FOAM PIPE"/>
  </r>
  <r>
    <x v="1118"/>
    <x v="105"/>
    <x v="4"/>
    <s v="20063"/>
    <n v="22000"/>
    <m/>
    <n v="22000"/>
    <s v="flexible duct"/>
  </r>
  <r>
    <x v="1119"/>
    <x v="98"/>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4"/>
    <x v="44"/>
    <m/>
    <m/>
    <n v="500000"/>
    <n v="-500000"/>
    <s v="Given cash through Al madina steel"/>
  </r>
  <r>
    <x v="1119"/>
    <x v="105"/>
    <x v="44"/>
    <m/>
    <m/>
    <n v="500000"/>
    <n v="-500000"/>
    <m/>
  </r>
  <r>
    <x v="1120"/>
    <x v="97"/>
    <x v="17"/>
    <m/>
    <m/>
    <n v="200000"/>
    <n v="-200000"/>
    <s v="Payment given through Al madina steel"/>
  </r>
  <r>
    <x v="1120"/>
    <x v="98"/>
    <x v="5"/>
    <s v="1405"/>
    <n v="13500"/>
    <m/>
    <n v="13500"/>
    <s v="SPRINKLER"/>
  </r>
  <r>
    <x v="1121"/>
    <x v="109"/>
    <x v="0"/>
    <s v="444"/>
    <n v="151960"/>
    <m/>
    <n v="151960"/>
    <s v="Proteck pipe"/>
  </r>
  <r>
    <x v="1121"/>
    <x v="107"/>
    <x v="7"/>
    <m/>
    <m/>
    <n v="65000"/>
    <n v="-65000"/>
    <s v="Online transfer by BH"/>
  </r>
  <r>
    <x v="1122"/>
    <x v="99"/>
    <x v="27"/>
    <m/>
    <m/>
    <n v="169188"/>
    <n v="-169188"/>
    <s v="Cheque received from Al Madina Steel traders amount 300,000"/>
  </r>
  <r>
    <x v="1122"/>
    <x v="100"/>
    <x v="27"/>
    <m/>
    <m/>
    <n v="116894"/>
    <n v="-116894"/>
    <m/>
  </r>
  <r>
    <x v="1122"/>
    <x v="49"/>
    <x v="27"/>
    <m/>
    <m/>
    <n v="13918"/>
    <n v="-13918"/>
    <m/>
  </r>
  <r>
    <x v="1123"/>
    <x v="93"/>
    <x v="44"/>
    <s v="68"/>
    <n v="461789"/>
    <m/>
    <n v="461789"/>
    <m/>
  </r>
  <r>
    <x v="1119"/>
    <x v="93"/>
    <x v="28"/>
    <s v="1591"/>
    <n v="149260"/>
    <m/>
    <n v="149260"/>
    <s v="12 xlpe 2 rolls  48 nos tapes 2&quot;"/>
  </r>
  <r>
    <x v="1124"/>
    <x v="98"/>
    <x v="44"/>
    <s v="69"/>
    <n v="243048"/>
    <m/>
    <n v="243048"/>
    <m/>
  </r>
  <r>
    <x v="1124"/>
    <x v="105"/>
    <x v="44"/>
    <s v="70"/>
    <n v="113981"/>
    <m/>
    <n v="113981"/>
    <m/>
  </r>
  <r>
    <x v="1125"/>
    <x v="111"/>
    <x v="4"/>
    <s v="20090"/>
    <n v="13260"/>
    <m/>
    <n v="13260"/>
    <s v="super loan"/>
  </r>
  <r>
    <x v="1126"/>
    <x v="97"/>
    <x v="44"/>
    <m/>
    <m/>
    <n v="100000"/>
    <n v="-100000"/>
    <s v="Cheque received from Total in Meezan bank adv chqw amount 1,050,000"/>
  </r>
  <r>
    <x v="1126"/>
    <x v="98"/>
    <x v="44"/>
    <m/>
    <m/>
    <n v="200000"/>
    <n v="-200000"/>
    <m/>
  </r>
  <r>
    <x v="1126"/>
    <x v="102"/>
    <x v="44"/>
    <m/>
    <m/>
    <n v="270000"/>
    <n v="-270000"/>
    <m/>
  </r>
  <r>
    <x v="1126"/>
    <x v="104"/>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8"/>
    <x v="44"/>
    <s v="72"/>
    <n v="86737"/>
    <m/>
    <n v="86737"/>
    <m/>
  </r>
  <r>
    <x v="1129"/>
    <x v="109"/>
    <x v="44"/>
    <s v="73"/>
    <n v="164549"/>
    <m/>
    <n v="164549"/>
    <m/>
  </r>
  <r>
    <x v="1129"/>
    <x v="93"/>
    <x v="28"/>
    <s v="1598"/>
    <n v="35200"/>
    <m/>
    <n v="35200"/>
    <s v="32 nos 3&quot; tapes"/>
  </r>
  <r>
    <x v="1129"/>
    <x v="102"/>
    <x v="1"/>
    <s v="24"/>
    <n v="7580"/>
    <m/>
    <n v="7580"/>
    <m/>
  </r>
  <r>
    <x v="1130"/>
    <x v="111"/>
    <x v="4"/>
    <s v="20102"/>
    <n v="130000"/>
    <m/>
    <n v="130000"/>
    <s v="super loan"/>
  </r>
  <r>
    <x v="1130"/>
    <x v="98"/>
    <x v="4"/>
    <m/>
    <n v="115000"/>
    <m/>
    <n v="115000"/>
    <s v="afico 8 rolls"/>
  </r>
  <r>
    <x v="1131"/>
    <x v="105"/>
    <x v="44"/>
    <s v="74"/>
    <n v="407933"/>
    <m/>
    <n v="407933"/>
    <m/>
  </r>
  <r>
    <x v="1131"/>
    <x v="98"/>
    <x v="44"/>
    <s v="75"/>
    <n v="94569"/>
    <m/>
    <n v="94569"/>
    <m/>
  </r>
  <r>
    <x v="1132"/>
    <x v="107"/>
    <x v="7"/>
    <s v="194"/>
    <n v="7782"/>
    <m/>
    <n v="7782"/>
    <m/>
  </r>
  <r>
    <x v="1132"/>
    <x v="110"/>
    <x v="50"/>
    <m/>
    <n v="4226000"/>
    <m/>
    <n v="4226000"/>
    <m/>
  </r>
  <r>
    <x v="1132"/>
    <x v="110"/>
    <x v="50"/>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2"/>
    <x v="44"/>
    <s v="78"/>
    <n v="140886"/>
    <m/>
    <n v="140886"/>
    <m/>
  </r>
  <r>
    <x v="1133"/>
    <x v="104"/>
    <x v="4"/>
    <m/>
    <m/>
    <n v="64100"/>
    <n v="-64100"/>
    <s v="Rec fron NEC in acc of Trifit chq amount is 450,000"/>
  </r>
  <r>
    <x v="1133"/>
    <x v="105"/>
    <x v="4"/>
    <m/>
    <m/>
    <n v="66000"/>
    <n v="-66000"/>
    <m/>
  </r>
  <r>
    <x v="1133"/>
    <x v="107"/>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1"/>
    <x v="5"/>
    <s v="1489"/>
    <n v="9820"/>
    <m/>
    <n v="9820"/>
    <s v="ball vavle"/>
  </r>
  <r>
    <x v="1134"/>
    <x v="111"/>
    <x v="5"/>
    <s v="1490"/>
    <n v="91053"/>
    <m/>
    <n v="91053"/>
    <s v="armaflex"/>
  </r>
  <r>
    <x v="1134"/>
    <x v="113"/>
    <x v="5"/>
    <s v="1491"/>
    <n v="92000"/>
    <m/>
    <n v="92000"/>
    <s v="gate valve stainer"/>
  </r>
  <r>
    <x v="1134"/>
    <x v="98"/>
    <x v="4"/>
    <m/>
    <m/>
    <n v="115000"/>
    <n v="-115000"/>
    <s v="cash paid for super loan and afico roll (Total amount is 245,000)"/>
  </r>
  <r>
    <x v="1134"/>
    <x v="111"/>
    <x v="4"/>
    <m/>
    <m/>
    <n v="130000"/>
    <n v="-130000"/>
    <m/>
  </r>
  <r>
    <x v="1135"/>
    <x v="113"/>
    <x v="0"/>
    <s v="455"/>
    <n v="18720"/>
    <m/>
    <n v="18720"/>
    <m/>
  </r>
  <r>
    <x v="1136"/>
    <x v="98"/>
    <x v="44"/>
    <s v="79"/>
    <n v="30441"/>
    <m/>
    <n v="30441"/>
    <m/>
  </r>
  <r>
    <x v="1136"/>
    <x v="93"/>
    <x v="44"/>
    <s v="80"/>
    <n v="70032"/>
    <m/>
    <n v="70032"/>
    <m/>
  </r>
  <r>
    <x v="1136"/>
    <x v="105"/>
    <x v="44"/>
    <s v="81"/>
    <n v="145910"/>
    <m/>
    <n v="145910"/>
    <m/>
  </r>
  <r>
    <x v="1136"/>
    <x v="102"/>
    <x v="44"/>
    <s v="82"/>
    <n v="78349"/>
    <m/>
    <n v="78349"/>
    <m/>
  </r>
  <r>
    <x v="1136"/>
    <x v="97"/>
    <x v="44"/>
    <m/>
    <m/>
    <n v="12087"/>
    <n v="-12087"/>
    <s v="Rec from Al madina steel amount 1000,000"/>
  </r>
  <r>
    <x v="1136"/>
    <x v="98"/>
    <x v="44"/>
    <m/>
    <m/>
    <n v="182717"/>
    <n v="-182717"/>
    <m/>
  </r>
  <r>
    <x v="1136"/>
    <x v="102"/>
    <x v="44"/>
    <m/>
    <m/>
    <n v="190000"/>
    <n v="-190000"/>
    <m/>
  </r>
  <r>
    <x v="1136"/>
    <x v="104"/>
    <x v="44"/>
    <m/>
    <m/>
    <n v="45196"/>
    <n v="-45196"/>
    <m/>
  </r>
  <r>
    <x v="1136"/>
    <x v="105"/>
    <x v="44"/>
    <m/>
    <m/>
    <n v="190000"/>
    <n v="-190000"/>
    <m/>
  </r>
  <r>
    <x v="1136"/>
    <x v="93"/>
    <x v="44"/>
    <m/>
    <m/>
    <n v="190000"/>
    <n v="-190000"/>
    <m/>
  </r>
  <r>
    <x v="1136"/>
    <x v="109"/>
    <x v="44"/>
    <m/>
    <m/>
    <n v="190000"/>
    <n v="-190000"/>
    <m/>
  </r>
  <r>
    <x v="1136"/>
    <x v="114"/>
    <x v="0"/>
    <s v="456"/>
    <n v="120960"/>
    <m/>
    <n v="120960"/>
    <m/>
  </r>
  <r>
    <x v="1137"/>
    <x v="111"/>
    <x v="4"/>
    <s v="4565"/>
    <n v="27640"/>
    <m/>
    <n v="27640"/>
    <s v="Flexble"/>
  </r>
  <r>
    <x v="1137"/>
    <x v="98"/>
    <x v="4"/>
    <s v="4564"/>
    <n v="22500"/>
    <m/>
    <n v="22500"/>
    <s v="Flexble"/>
  </r>
  <r>
    <x v="1138"/>
    <x v="109"/>
    <x v="5"/>
    <s v="1516"/>
    <n v="188000"/>
    <m/>
    <n v="188000"/>
    <m/>
  </r>
  <r>
    <x v="1139"/>
    <x v="102"/>
    <x v="1"/>
    <s v="201"/>
    <n v="76250"/>
    <m/>
    <n v="76250"/>
    <m/>
  </r>
  <r>
    <x v="1139"/>
    <x v="99"/>
    <x v="28"/>
    <m/>
    <m/>
    <n v="385000"/>
    <n v="-385000"/>
    <s v="Rec from Al madina steel "/>
  </r>
  <r>
    <x v="1140"/>
    <x v="107"/>
    <x v="7"/>
    <s v="390"/>
    <n v="54431"/>
    <m/>
    <n v="54431"/>
    <m/>
  </r>
  <r>
    <x v="1140"/>
    <x v="111"/>
    <x v="5"/>
    <s v="1523"/>
    <n v="24000"/>
    <m/>
    <n v="24000"/>
    <m/>
  </r>
  <r>
    <x v="1140"/>
    <x v="109"/>
    <x v="5"/>
    <s v="1524"/>
    <m/>
    <m/>
    <n v="0"/>
    <m/>
  </r>
  <r>
    <x v="1140"/>
    <x v="95"/>
    <x v="5"/>
    <s v="1529"/>
    <n v="83200"/>
    <m/>
    <n v="83200"/>
    <m/>
  </r>
  <r>
    <x v="1141"/>
    <x v="102"/>
    <x v="28"/>
    <s v="1619"/>
    <n v="136390"/>
    <m/>
    <n v="136390"/>
    <m/>
  </r>
  <r>
    <x v="1141"/>
    <x v="108"/>
    <x v="28"/>
    <s v="1616"/>
    <n v="10125"/>
    <m/>
    <n v="10125"/>
    <m/>
  </r>
  <r>
    <x v="1141"/>
    <x v="101"/>
    <x v="44"/>
    <s v="83"/>
    <n v="28019"/>
    <m/>
    <n v="28019"/>
    <m/>
  </r>
  <r>
    <x v="1141"/>
    <x v="102"/>
    <x v="44"/>
    <s v="84"/>
    <n v="92172"/>
    <m/>
    <n v="92172"/>
    <m/>
  </r>
  <r>
    <x v="1142"/>
    <x v="110"/>
    <x v="44"/>
    <s v="85"/>
    <n v="149586"/>
    <m/>
    <n v="149586"/>
    <m/>
  </r>
  <r>
    <x v="1143"/>
    <x v="113"/>
    <x v="4"/>
    <s v="4580"/>
    <n v="13755"/>
    <m/>
    <n v="13755"/>
    <m/>
  </r>
  <r>
    <x v="1143"/>
    <x v="106"/>
    <x v="49"/>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2"/>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2"/>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99"/>
    <x v="28"/>
    <m/>
    <m/>
    <n v="201658"/>
    <n v="-201658"/>
    <m/>
  </r>
  <r>
    <x v="1153"/>
    <x v="104"/>
    <x v="28"/>
    <m/>
    <m/>
    <n v="482460"/>
    <n v="-482460"/>
    <m/>
  </r>
  <r>
    <x v="1153"/>
    <x v="97"/>
    <x v="17"/>
    <m/>
    <m/>
    <n v="200000"/>
    <n v="-200000"/>
    <s v="MCB chq 1949327604 "/>
  </r>
  <r>
    <x v="1154"/>
    <x v="98"/>
    <x v="44"/>
    <m/>
    <m/>
    <n v="72078"/>
    <n v="-72078"/>
    <s v="Chq given from Al madina steel = 1000,000"/>
  </r>
  <r>
    <x v="1154"/>
    <x v="102"/>
    <x v="44"/>
    <m/>
    <m/>
    <n v="150000"/>
    <n v="-150000"/>
    <m/>
  </r>
  <r>
    <x v="1154"/>
    <x v="105"/>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107"/>
    <x v="3"/>
    <s v="680"/>
    <n v="1260"/>
    <m/>
    <n v="1260"/>
    <m/>
  </r>
  <r>
    <x v="1155"/>
    <x v="93"/>
    <x v="4"/>
    <s v="4604"/>
    <n v="20300"/>
    <m/>
    <n v="20300"/>
    <s v="Combined bill"/>
  </r>
  <r>
    <x v="1155"/>
    <x v="113"/>
    <x v="4"/>
    <m/>
    <n v="45000"/>
    <m/>
    <n v="45000"/>
    <m/>
  </r>
  <r>
    <x v="1155"/>
    <x v="97"/>
    <x v="4"/>
    <m/>
    <m/>
    <n v="64845"/>
    <n v="-64845"/>
    <s v="Chq receivd from NEC in tri fit = 200000"/>
  </r>
  <r>
    <x v="1155"/>
    <x v="98"/>
    <x v="4"/>
    <m/>
    <m/>
    <n v="22500"/>
    <n v="-22500"/>
    <m/>
  </r>
  <r>
    <x v="1155"/>
    <x v="93"/>
    <x v="4"/>
    <m/>
    <m/>
    <n v="19260"/>
    <n v="-19260"/>
    <m/>
  </r>
  <r>
    <x v="1155"/>
    <x v="111"/>
    <x v="4"/>
    <m/>
    <m/>
    <n v="34640"/>
    <n v="-34640"/>
    <m/>
  </r>
  <r>
    <x v="1155"/>
    <x v="113"/>
    <x v="4"/>
    <m/>
    <m/>
    <n v="58755"/>
    <n v="-58755"/>
    <m/>
  </r>
  <r>
    <x v="1155"/>
    <x v="107"/>
    <x v="5"/>
    <s v="1636"/>
    <n v="16864"/>
    <m/>
    <n v="16864"/>
    <m/>
  </r>
  <r>
    <x v="1155"/>
    <x v="115"/>
    <x v="5"/>
    <s v="1637"/>
    <n v="10980"/>
    <m/>
    <n v="10980"/>
    <m/>
  </r>
  <r>
    <x v="1156"/>
    <x v="100"/>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1"/>
    <x v="44"/>
    <m/>
    <m/>
    <n v="28019"/>
    <n v="-28019"/>
    <s v="Chq given from Al madina steel = 1000,000"/>
  </r>
  <r>
    <x v="1159"/>
    <x v="109"/>
    <x v="44"/>
    <m/>
    <m/>
    <n v="112135"/>
    <n v="-112135"/>
    <m/>
  </r>
  <r>
    <x v="1159"/>
    <x v="102"/>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2"/>
    <x v="35"/>
    <s v="13106"/>
    <n v="105000"/>
    <m/>
    <n v="105000"/>
    <s v="Through bolt"/>
  </r>
  <r>
    <x v="1162"/>
    <x v="102"/>
    <x v="1"/>
    <m/>
    <m/>
    <n v="200204"/>
    <n v="-200204"/>
    <s v="2 MCB chqs_x000a_1949327617 = 150,000_x000a_1949327618 = 248,000_x000a_grand total is 398,000"/>
  </r>
  <r>
    <x v="1162"/>
    <x v="107"/>
    <x v="1"/>
    <m/>
    <m/>
    <n v="23382"/>
    <n v="-23382"/>
    <m/>
  </r>
  <r>
    <x v="1162"/>
    <x v="108"/>
    <x v="1"/>
    <m/>
    <m/>
    <n v="37222"/>
    <n v="-37222"/>
    <m/>
  </r>
  <r>
    <x v="1162"/>
    <x v="109"/>
    <x v="1"/>
    <m/>
    <m/>
    <n v="129892"/>
    <n v="-129892"/>
    <m/>
  </r>
  <r>
    <x v="1162"/>
    <x v="114"/>
    <x v="1"/>
    <m/>
    <m/>
    <n v="7300"/>
    <n v="-7300"/>
    <m/>
  </r>
  <r>
    <x v="1162"/>
    <x v="114"/>
    <x v="1"/>
    <m/>
    <m/>
    <n v="280"/>
    <n v="-280"/>
    <s v="adjusted"/>
  </r>
  <r>
    <x v="1162"/>
    <x v="107"/>
    <x v="7"/>
    <m/>
    <m/>
    <n v="73080"/>
    <n v="-73080"/>
    <s v="Online by BH = 153,000"/>
  </r>
  <r>
    <x v="1162"/>
    <x v="109"/>
    <x v="7"/>
    <m/>
    <m/>
    <n v="4870"/>
    <n v="-4870"/>
    <m/>
  </r>
  <r>
    <x v="1162"/>
    <x v="112"/>
    <x v="7"/>
    <m/>
    <m/>
    <n v="75050"/>
    <n v="-75050"/>
    <m/>
  </r>
  <r>
    <x v="1162"/>
    <x v="114"/>
    <x v="1"/>
    <s v="812"/>
    <n v="178080"/>
    <m/>
    <n v="178080"/>
    <m/>
  </r>
  <r>
    <x v="1162"/>
    <x v="102"/>
    <x v="1"/>
    <s v="813"/>
    <n v="73333"/>
    <m/>
    <n v="73333"/>
    <m/>
  </r>
  <r>
    <x v="1163"/>
    <x v="113"/>
    <x v="44"/>
    <s v="99"/>
    <n v="37567"/>
    <m/>
    <n v="37567"/>
    <m/>
  </r>
  <r>
    <x v="1163"/>
    <x v="102"/>
    <x v="44"/>
    <s v="100"/>
    <n v="29368"/>
    <m/>
    <n v="29368"/>
    <m/>
  </r>
  <r>
    <x v="1163"/>
    <x v="110"/>
    <x v="44"/>
    <s v="101"/>
    <n v="275805"/>
    <m/>
    <n v="275805"/>
    <m/>
  </r>
  <r>
    <x v="1163"/>
    <x v="116"/>
    <x v="44"/>
    <s v="102"/>
    <n v="1759647"/>
    <m/>
    <n v="1759647"/>
    <m/>
  </r>
  <r>
    <x v="1163"/>
    <x v="100"/>
    <x v="51"/>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2"/>
    <x v="28"/>
    <s v="1666"/>
    <n v="119294"/>
    <m/>
    <n v="119294"/>
    <m/>
  </r>
  <r>
    <x v="1166"/>
    <x v="116"/>
    <x v="44"/>
    <m/>
    <m/>
    <n v="657900"/>
    <n v="-657900"/>
    <s v="sheet purchased from Al madina"/>
  </r>
  <r>
    <x v="1166"/>
    <x v="111"/>
    <x v="4"/>
    <s v="4631"/>
    <n v="25300"/>
    <m/>
    <n v="25300"/>
    <m/>
  </r>
  <r>
    <x v="1166"/>
    <x v="111"/>
    <x v="3"/>
    <s v="2324"/>
    <n v="8079"/>
    <m/>
    <n v="8079"/>
    <m/>
  </r>
  <r>
    <x v="1167"/>
    <x v="102"/>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2"/>
    <x v="1"/>
    <s v="927"/>
    <n v="439558"/>
    <m/>
    <n v="439558"/>
    <m/>
  </r>
  <r>
    <x v="1167"/>
    <x v="116"/>
    <x v="52"/>
    <m/>
    <m/>
    <n v="500000"/>
    <n v="-500000"/>
    <s v="MCB chq 1958702588 - against NOVEC 1230 system"/>
  </r>
  <r>
    <x v="1167"/>
    <x v="116"/>
    <x v="52"/>
    <m/>
    <m/>
    <n v="500000"/>
    <n v="-500000"/>
    <s v="MCB chq 1958702589 - against NOVEC 1230 system"/>
  </r>
  <r>
    <x v="1169"/>
    <x v="102"/>
    <x v="1"/>
    <s v="928"/>
    <n v="13278"/>
    <m/>
    <n v="13278"/>
    <m/>
  </r>
  <r>
    <x v="1169"/>
    <x v="108"/>
    <x v="1"/>
    <s v="948"/>
    <n v="189003"/>
    <m/>
    <n v="189003"/>
    <m/>
  </r>
  <r>
    <x v="1169"/>
    <x v="113"/>
    <x v="4"/>
    <s v="4640"/>
    <n v="35715"/>
    <m/>
    <n v="35715"/>
    <m/>
  </r>
  <r>
    <x v="1169"/>
    <x v="102"/>
    <x v="1"/>
    <m/>
    <m/>
    <n v="36500"/>
    <n v="-36500"/>
    <s v="Cash by vender after SS sheet material returned in VISA Site"/>
  </r>
  <r>
    <x v="1169"/>
    <x v="110"/>
    <x v="44"/>
    <s v="103"/>
    <n v="107536"/>
    <m/>
    <n v="107536"/>
    <m/>
  </r>
  <r>
    <x v="1169"/>
    <x v="113"/>
    <x v="14"/>
    <s v="7160"/>
    <n v="50828"/>
    <m/>
    <n v="50828"/>
    <m/>
  </r>
  <r>
    <x v="1169"/>
    <x v="112"/>
    <x v="53"/>
    <m/>
    <m/>
    <n v="938219"/>
    <n v="-938219"/>
    <s v="CHQ rec from NEC in tri fit account"/>
  </r>
  <r>
    <x v="1169"/>
    <x v="112"/>
    <x v="53"/>
    <s v="22488"/>
    <n v="808745"/>
    <m/>
    <n v="808745"/>
    <m/>
  </r>
  <r>
    <x v="1170"/>
    <x v="102"/>
    <x v="28"/>
    <s v="1677"/>
    <n v="222592"/>
    <m/>
    <n v="222592"/>
    <m/>
  </r>
  <r>
    <x v="1170"/>
    <x v="116"/>
    <x v="44"/>
    <m/>
    <m/>
    <n v="1000000"/>
    <n v="-1000000"/>
    <s v="From AL madina"/>
  </r>
  <r>
    <x v="1170"/>
    <x v="108"/>
    <x v="3"/>
    <s v="1117"/>
    <n v="6010"/>
    <m/>
    <n v="6010"/>
    <m/>
  </r>
  <r>
    <x v="1170"/>
    <x v="116"/>
    <x v="28"/>
    <s v="1681"/>
    <n v="804137"/>
    <m/>
    <n v="804137"/>
    <m/>
  </r>
  <r>
    <x v="1171"/>
    <x v="102"/>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0"/>
    <x v="51"/>
    <m/>
    <m/>
    <n v="17000"/>
    <n v="-17000"/>
    <s v="cash paid "/>
  </r>
  <r>
    <x v="1173"/>
    <x v="100"/>
    <x v="51"/>
    <m/>
    <m/>
    <n v="1000"/>
    <n v="-1000"/>
    <s v="discount"/>
  </r>
  <r>
    <x v="1173"/>
    <x v="116"/>
    <x v="5"/>
    <s v="1764"/>
    <n v="1600"/>
    <m/>
    <n v="1600"/>
    <m/>
  </r>
  <r>
    <x v="1173"/>
    <x v="116"/>
    <x v="5"/>
    <s v="1765"/>
    <n v="15000"/>
    <m/>
    <n v="15000"/>
    <m/>
  </r>
  <r>
    <x v="1174"/>
    <x v="102"/>
    <x v="3"/>
    <s v="2324"/>
    <n v="20807"/>
    <m/>
    <n v="20807"/>
    <m/>
  </r>
  <r>
    <x v="1175"/>
    <x v="102"/>
    <x v="28"/>
    <s v="1695"/>
    <n v="103296"/>
    <m/>
    <n v="103296"/>
    <m/>
  </r>
  <r>
    <x v="1175"/>
    <x v="116"/>
    <x v="28"/>
    <s v="1697"/>
    <n v="804137"/>
    <m/>
    <n v="804137"/>
    <m/>
  </r>
  <r>
    <x v="1176"/>
    <x v="110"/>
    <x v="44"/>
    <s v="104"/>
    <n v="772607"/>
    <m/>
    <n v="772607"/>
    <m/>
  </r>
  <r>
    <x v="1176"/>
    <x v="102"/>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2"/>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2"/>
    <x v="28"/>
    <s v="1703"/>
    <n v="113296"/>
    <m/>
    <n v="113296"/>
    <m/>
  </r>
  <r>
    <x v="1178"/>
    <x v="106"/>
    <x v="49"/>
    <s v="1800"/>
    <n v="1554800"/>
    <m/>
    <n v="1554800"/>
    <m/>
  </r>
  <r>
    <x v="1178"/>
    <x v="49"/>
    <x v="27"/>
    <m/>
    <n v="13918"/>
    <m/>
    <n v="13918"/>
    <s v="adjustements)"/>
  </r>
  <r>
    <x v="1179"/>
    <x v="102"/>
    <x v="28"/>
    <s v="1704"/>
    <n v="16000"/>
    <m/>
    <n v="16000"/>
    <m/>
  </r>
  <r>
    <x v="1179"/>
    <x v="110"/>
    <x v="28"/>
    <s v="1705"/>
    <n v="684336"/>
    <m/>
    <n v="684336"/>
    <m/>
  </r>
  <r>
    <x v="1179"/>
    <x v="93"/>
    <x v="28"/>
    <s v="1706"/>
    <n v="43900"/>
    <m/>
    <n v="43900"/>
    <m/>
  </r>
  <r>
    <x v="1179"/>
    <x v="102"/>
    <x v="28"/>
    <s v="1707"/>
    <n v="67648"/>
    <m/>
    <n v="67648"/>
    <m/>
  </r>
  <r>
    <x v="1179"/>
    <x v="116"/>
    <x v="28"/>
    <s v="1708"/>
    <n v="804137"/>
    <m/>
    <n v="804137"/>
    <m/>
  </r>
  <r>
    <x v="1180"/>
    <x v="110"/>
    <x v="3"/>
    <s v="1364"/>
    <n v="5649"/>
    <m/>
    <n v="5649"/>
    <m/>
  </r>
  <r>
    <x v="1180"/>
    <x v="106"/>
    <x v="49"/>
    <s v="1812"/>
    <n v="90200"/>
    <m/>
    <n v="90200"/>
    <m/>
  </r>
  <r>
    <x v="1181"/>
    <x v="119"/>
    <x v="27"/>
    <s v="38"/>
    <n v="173680"/>
    <m/>
    <n v="173680"/>
    <m/>
  </r>
  <r>
    <x v="1181"/>
    <x v="114"/>
    <x v="27"/>
    <s v="39"/>
    <n v="719270"/>
    <m/>
    <n v="719270"/>
    <m/>
  </r>
  <r>
    <x v="1181"/>
    <x v="117"/>
    <x v="4"/>
    <s v="4689"/>
    <n v="11750"/>
    <m/>
    <n v="11750"/>
    <m/>
  </r>
  <r>
    <x v="1182"/>
    <x v="110"/>
    <x v="3"/>
    <s v="1430"/>
    <n v="12678"/>
    <m/>
    <n v="12678"/>
    <m/>
  </r>
  <r>
    <x v="1183"/>
    <x v="100"/>
    <x v="3"/>
    <m/>
    <m/>
    <n v="4370"/>
    <n v="-4370"/>
    <s v="Online transfer by Al madina = 133,000"/>
  </r>
  <r>
    <x v="1183"/>
    <x v="107"/>
    <x v="3"/>
    <m/>
    <m/>
    <n v="1260"/>
    <n v="-1260"/>
    <m/>
  </r>
  <r>
    <x v="1183"/>
    <x v="108"/>
    <x v="3"/>
    <m/>
    <m/>
    <n v="9626"/>
    <n v="-9626"/>
    <m/>
  </r>
  <r>
    <x v="1183"/>
    <x v="93"/>
    <x v="3"/>
    <m/>
    <m/>
    <n v="6023"/>
    <n v="-6023"/>
    <m/>
  </r>
  <r>
    <x v="1183"/>
    <x v="109"/>
    <x v="3"/>
    <m/>
    <m/>
    <n v="6055"/>
    <n v="-6055"/>
    <m/>
  </r>
  <r>
    <x v="1183"/>
    <x v="111"/>
    <x v="3"/>
    <m/>
    <m/>
    <n v="60002"/>
    <n v="-60002"/>
    <m/>
  </r>
  <r>
    <x v="1183"/>
    <x v="110"/>
    <x v="3"/>
    <m/>
    <m/>
    <n v="9551"/>
    <n v="-9551"/>
    <m/>
  </r>
  <r>
    <x v="1183"/>
    <x v="102"/>
    <x v="3"/>
    <m/>
    <m/>
    <n v="20807"/>
    <n v="-20807"/>
    <m/>
  </r>
  <r>
    <x v="1183"/>
    <x v="113"/>
    <x v="3"/>
    <m/>
    <m/>
    <n v="14924"/>
    <n v="-14924"/>
    <m/>
  </r>
  <r>
    <x v="1183"/>
    <x v="70"/>
    <x v="14"/>
    <m/>
    <m/>
    <n v="28855"/>
    <n v="-28855"/>
    <s v="Online transfer by Al madina steel = 105,000"/>
  </r>
  <r>
    <x v="1183"/>
    <x v="100"/>
    <x v="14"/>
    <m/>
    <m/>
    <n v="4250"/>
    <n v="-4250"/>
    <m/>
  </r>
  <r>
    <x v="1183"/>
    <x v="111"/>
    <x v="14"/>
    <m/>
    <m/>
    <n v="2880"/>
    <n v="-2880"/>
    <m/>
  </r>
  <r>
    <x v="1183"/>
    <x v="113"/>
    <x v="14"/>
    <m/>
    <m/>
    <n v="69164"/>
    <n v="-69164"/>
    <m/>
  </r>
  <r>
    <x v="1183"/>
    <x v="102"/>
    <x v="1"/>
    <s v="1142"/>
    <n v="44544"/>
    <m/>
    <n v="44544"/>
    <m/>
  </r>
  <r>
    <x v="1179"/>
    <x v="116"/>
    <x v="0"/>
    <m/>
    <m/>
    <n v="1000000"/>
    <n v="-1000000"/>
    <s v="cash given from Al madina steel"/>
  </r>
  <r>
    <x v="1178"/>
    <x v="108"/>
    <x v="1"/>
    <m/>
    <m/>
    <n v="100000"/>
    <n v="-100000"/>
    <s v="Online transfer by al madina = 500,000"/>
  </r>
  <r>
    <x v="1178"/>
    <x v="114"/>
    <x v="1"/>
    <m/>
    <m/>
    <n v="100000"/>
    <n v="-100000"/>
    <m/>
  </r>
  <r>
    <x v="1178"/>
    <x v="102"/>
    <x v="1"/>
    <m/>
    <m/>
    <n v="300000"/>
    <n v="-300000"/>
    <m/>
  </r>
  <r>
    <x v="1178"/>
    <x v="110"/>
    <x v="44"/>
    <m/>
    <m/>
    <n v="500000"/>
    <n v="-500000"/>
    <s v="Chq rec from Al madina steel"/>
  </r>
  <r>
    <x v="1180"/>
    <x v="102"/>
    <x v="28"/>
    <s v="1709"/>
    <n v="16000"/>
    <m/>
    <n v="16000"/>
    <m/>
  </r>
  <r>
    <x v="1181"/>
    <x v="110"/>
    <x v="0"/>
    <s v="499"/>
    <n v="18060"/>
    <m/>
    <n v="18060"/>
    <m/>
  </r>
  <r>
    <x v="1181"/>
    <x v="107"/>
    <x v="1"/>
    <s v="1204"/>
    <n v="15350"/>
    <m/>
    <n v="15350"/>
    <m/>
  </r>
  <r>
    <x v="1181"/>
    <x v="112"/>
    <x v="27"/>
    <s v="37"/>
    <n v="292565"/>
    <m/>
    <n v="292565"/>
    <m/>
  </r>
  <r>
    <x v="1181"/>
    <x v="110"/>
    <x v="50"/>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2"/>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4"/>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2"/>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8"/>
    <x v="5"/>
    <m/>
    <m/>
    <n v="227720"/>
    <n v="-227720"/>
    <m/>
  </r>
  <r>
    <x v="1188"/>
    <x v="101"/>
    <x v="5"/>
    <m/>
    <m/>
    <n v="9820"/>
    <n v="-9820"/>
    <m/>
  </r>
  <r>
    <x v="1188"/>
    <x v="109"/>
    <x v="5"/>
    <m/>
    <m/>
    <n v="179260"/>
    <n v="-179260"/>
    <m/>
  </r>
  <r>
    <x v="1188"/>
    <x v="102"/>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3"/>
    <x v="110"/>
    <x v="5"/>
    <s v="1874"/>
    <n v="44000"/>
    <m/>
    <n v="44000"/>
    <m/>
  </r>
  <r>
    <x v="1193"/>
    <x v="112"/>
    <x v="5"/>
    <s v="1875"/>
    <n v="53000"/>
    <m/>
    <n v="53000"/>
    <m/>
  </r>
  <r>
    <x v="1193"/>
    <x v="118"/>
    <x v="44"/>
    <s v="117"/>
    <n v="57660"/>
    <m/>
    <n v="57660"/>
    <m/>
  </r>
  <r>
    <x v="1193"/>
    <x v="112"/>
    <x v="44"/>
    <s v="118"/>
    <n v="352873"/>
    <m/>
    <n v="352873"/>
    <m/>
  </r>
  <r>
    <x v="1194"/>
    <x v="110"/>
    <x v="50"/>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4"/>
    <m/>
    <n v="140000"/>
    <m/>
    <n v="140000"/>
    <s v="Remaining amount of fire and Fire suppression deal"/>
  </r>
  <r>
    <x v="1196"/>
    <x v="105"/>
    <x v="55"/>
    <m/>
    <n v="300000"/>
    <m/>
    <n v="300000"/>
    <s v="Remaining bal"/>
  </r>
  <r>
    <x v="1196"/>
    <x v="105"/>
    <x v="55"/>
    <m/>
    <m/>
    <n v="100000"/>
    <n v="-100000"/>
    <s v="adjusted"/>
  </r>
  <r>
    <x v="1196"/>
    <x v="115"/>
    <x v="56"/>
    <m/>
    <n v="1061510"/>
    <m/>
    <n v="1061510"/>
    <s v="Remaining bal"/>
  </r>
  <r>
    <x v="1196"/>
    <x v="116"/>
    <x v="57"/>
    <m/>
    <n v="885000"/>
    <m/>
    <n v="885000"/>
    <s v="Remaining bal"/>
  </r>
  <r>
    <x v="1196"/>
    <x v="116"/>
    <x v="40"/>
    <m/>
    <n v="4000000"/>
    <m/>
    <n v="4000000"/>
    <s v="Remaining bal"/>
  </r>
  <r>
    <x v="1196"/>
    <x v="111"/>
    <x v="19"/>
    <m/>
    <n v="9170"/>
    <m/>
    <n v="9170"/>
    <s v="Remaining bal"/>
  </r>
  <r>
    <x v="1196"/>
    <x v="112"/>
    <x v="44"/>
    <s v="119"/>
    <n v="131554"/>
    <m/>
    <n v="131554"/>
    <m/>
  </r>
  <r>
    <x v="1197"/>
    <x v="116"/>
    <x v="44"/>
    <s v="120"/>
    <n v="64949"/>
    <m/>
    <n v="64949"/>
    <m/>
  </r>
  <r>
    <x v="1197"/>
    <x v="120"/>
    <x v="4"/>
    <s v="4729"/>
    <n v="43750"/>
    <m/>
    <n v="43750"/>
    <m/>
  </r>
  <r>
    <x v="1198"/>
    <x v="110"/>
    <x v="58"/>
    <s v="7285"/>
    <n v="40800"/>
    <m/>
    <n v="40800"/>
    <m/>
  </r>
  <r>
    <x v="1198"/>
    <x v="115"/>
    <x v="56"/>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5"/>
    <x v="17"/>
    <s v="42"/>
    <n v="57000"/>
    <m/>
    <n v="57000"/>
    <m/>
  </r>
  <r>
    <x v="1198"/>
    <x v="113"/>
    <x v="17"/>
    <s v="43"/>
    <n v="390000"/>
    <m/>
    <n v="390000"/>
    <m/>
  </r>
  <r>
    <x v="1198"/>
    <x v="114"/>
    <x v="17"/>
    <s v="44"/>
    <n v="93900"/>
    <m/>
    <n v="93900"/>
    <m/>
  </r>
  <r>
    <x v="1198"/>
    <x v="98"/>
    <x v="17"/>
    <s v="45"/>
    <n v="15600"/>
    <m/>
    <n v="15600"/>
    <m/>
  </r>
  <r>
    <x v="1198"/>
    <x v="102"/>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2"/>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5"/>
    <x v="55"/>
    <m/>
    <m/>
    <n v="200000"/>
    <n v="-200000"/>
    <s v="MCB 1958702608"/>
  </r>
  <r>
    <x v="1201"/>
    <x v="110"/>
    <x v="28"/>
    <s v="1732"/>
    <n v="374168"/>
    <m/>
    <n v="374168"/>
    <m/>
  </r>
  <r>
    <x v="1201"/>
    <x v="116"/>
    <x v="28"/>
    <s v="1733"/>
    <n v="374168"/>
    <m/>
    <n v="374168"/>
    <m/>
  </r>
  <r>
    <x v="1201"/>
    <x v="107"/>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3"/>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5"/>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2"/>
    <x v="28"/>
    <m/>
    <m/>
    <n v="350000"/>
    <n v="-350000"/>
    <s v="MCB 1958702623"/>
  </r>
  <r>
    <x v="1211"/>
    <x v="102"/>
    <x v="28"/>
    <m/>
    <m/>
    <n v="350000"/>
    <n v="-350000"/>
    <s v="MCB 1958702624"/>
  </r>
  <r>
    <x v="1211"/>
    <x v="116"/>
    <x v="28"/>
    <s v="1749"/>
    <n v="168867"/>
    <m/>
    <n v="168867"/>
    <m/>
  </r>
  <r>
    <x v="1211"/>
    <x v="107"/>
    <x v="3"/>
    <s v="2058"/>
    <n v="3140"/>
    <m/>
    <n v="3140"/>
    <m/>
  </r>
  <r>
    <x v="1212"/>
    <x v="118"/>
    <x v="44"/>
    <s v="133"/>
    <n v="75122"/>
    <m/>
    <n v="75122"/>
    <m/>
  </r>
  <r>
    <x v="1213"/>
    <x v="102"/>
    <x v="28"/>
    <m/>
    <m/>
    <n v="350000"/>
    <n v="-350000"/>
    <s v="MCB 1968625796"/>
  </r>
  <r>
    <x v="1213"/>
    <x v="102"/>
    <x v="28"/>
    <m/>
    <m/>
    <n v="176319"/>
    <n v="-176319"/>
    <s v="MCB 1968625797 * 350,000"/>
  </r>
  <r>
    <x v="1213"/>
    <x v="118"/>
    <x v="28"/>
    <m/>
    <m/>
    <n v="173681"/>
    <n v="-173681"/>
    <m/>
  </r>
  <r>
    <x v="1213"/>
    <x v="116"/>
    <x v="57"/>
    <m/>
    <m/>
    <n v="400000"/>
    <n v="-400000"/>
    <s v="MCB 1968625802"/>
  </r>
  <r>
    <x v="1213"/>
    <x v="116"/>
    <x v="57"/>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1"/>
    <x v="3"/>
    <s v="2150"/>
    <n v="1420"/>
    <m/>
    <n v="1420"/>
    <m/>
  </r>
  <r>
    <x v="1217"/>
    <x v="110"/>
    <x v="3"/>
    <s v="2182"/>
    <n v="6739"/>
    <m/>
    <n v="6739"/>
    <m/>
  </r>
  <r>
    <x v="1218"/>
    <x v="121"/>
    <x v="44"/>
    <s v="138"/>
    <n v="13416"/>
    <m/>
    <n v="13416"/>
    <m/>
  </r>
  <r>
    <x v="1218"/>
    <x v="108"/>
    <x v="3"/>
    <s v="2192"/>
    <n v="168"/>
    <m/>
    <n v="168"/>
    <m/>
  </r>
  <r>
    <x v="1218"/>
    <x v="120"/>
    <x v="4"/>
    <s v="4798"/>
    <n v="20875"/>
    <m/>
    <n v="20875"/>
    <m/>
  </r>
  <r>
    <x v="1219"/>
    <x v="106"/>
    <x v="49"/>
    <s v="2008"/>
    <n v="98400"/>
    <m/>
    <n v="98400"/>
    <m/>
  </r>
  <r>
    <x v="1219"/>
    <x v="109"/>
    <x v="28"/>
    <s v="1760"/>
    <n v="43900"/>
    <m/>
    <n v="43900"/>
    <m/>
  </r>
  <r>
    <x v="1219"/>
    <x v="116"/>
    <x v="5"/>
    <s v="2007"/>
    <n v="386760"/>
    <m/>
    <n v="386760"/>
    <m/>
  </r>
  <r>
    <x v="1219"/>
    <x v="116"/>
    <x v="0"/>
    <s v="509"/>
    <n v="62400"/>
    <m/>
    <n v="62400"/>
    <m/>
  </r>
  <r>
    <x v="1220"/>
    <x v="116"/>
    <x v="44"/>
    <s v="139"/>
    <n v="61469"/>
    <m/>
    <n v="61469"/>
    <m/>
  </r>
  <r>
    <x v="1220"/>
    <x v="120"/>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2"/>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2"/>
    <x v="44"/>
    <s v="141"/>
    <n v="49822"/>
    <m/>
    <n v="49822"/>
    <m/>
  </r>
  <r>
    <x v="1224"/>
    <x v="123"/>
    <x v="44"/>
    <s v="1422"/>
    <n v="106322"/>
    <m/>
    <n v="106322"/>
    <m/>
  </r>
  <r>
    <x v="1225"/>
    <x v="110"/>
    <x v="50"/>
    <m/>
    <m/>
    <n v="495000"/>
    <n v="-495000"/>
    <s v="Paid chq received from Universal traders"/>
  </r>
  <r>
    <x v="1225"/>
    <x v="110"/>
    <x v="50"/>
    <m/>
    <m/>
    <n v="490000"/>
    <n v="-490000"/>
    <s v="Paid chq received from Universal traders"/>
  </r>
  <r>
    <x v="1225"/>
    <x v="116"/>
    <x v="5"/>
    <s v="2036"/>
    <n v="78000"/>
    <m/>
    <n v="78000"/>
    <m/>
  </r>
  <r>
    <x v="1225"/>
    <x v="106"/>
    <x v="49"/>
    <m/>
    <m/>
    <n v="500000"/>
    <n v="-500000"/>
    <s v="Paid chq received from Universal traders"/>
  </r>
  <r>
    <x v="1225"/>
    <x v="106"/>
    <x v="49"/>
    <m/>
    <m/>
    <n v="500000"/>
    <n v="-500000"/>
    <s v="Paid chq received from Universal traders"/>
  </r>
  <r>
    <x v="1225"/>
    <x v="106"/>
    <x v="49"/>
    <m/>
    <m/>
    <n v="500000"/>
    <n v="-500000"/>
    <s v="Paid chq received from Universal traders"/>
  </r>
  <r>
    <x v="1225"/>
    <x v="106"/>
    <x v="49"/>
    <m/>
    <m/>
    <n v="500000"/>
    <n v="-500000"/>
    <s v="Paid chq received from Universal traders"/>
  </r>
  <r>
    <x v="1225"/>
    <x v="106"/>
    <x v="49"/>
    <m/>
    <m/>
    <n v="400000"/>
    <n v="-400000"/>
    <s v="Paid chq received from Universal traders"/>
  </r>
  <r>
    <x v="1225"/>
    <x v="106"/>
    <x v="49"/>
    <m/>
    <m/>
    <n v="300000"/>
    <n v="-300000"/>
    <s v="Paid chq received from Universal traders"/>
  </r>
  <r>
    <x v="1225"/>
    <x v="106"/>
    <x v="49"/>
    <m/>
    <m/>
    <n v="300000"/>
    <n v="-300000"/>
    <s v="Paid chq received from Universal traders"/>
  </r>
  <r>
    <x v="1226"/>
    <x v="110"/>
    <x v="28"/>
    <s v="1768"/>
    <n v="221300"/>
    <m/>
    <n v="221300"/>
    <m/>
  </r>
  <r>
    <x v="1226"/>
    <x v="102"/>
    <x v="1"/>
    <m/>
    <m/>
    <n v="234213"/>
    <n v="-234213"/>
    <s v="cash paid total amt = 500,000"/>
  </r>
  <r>
    <x v="1226"/>
    <x v="114"/>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2"/>
    <x v="0"/>
    <m/>
    <m/>
    <n v="145320"/>
    <n v="-145320"/>
    <s v="cash paid from Al madina steel total amt = 500,000"/>
  </r>
  <r>
    <x v="1227"/>
    <x v="112"/>
    <x v="44"/>
    <s v="143"/>
    <n v="49712"/>
    <m/>
    <n v="49712"/>
    <m/>
  </r>
  <r>
    <x v="1227"/>
    <x v="120"/>
    <x v="44"/>
    <s v="144"/>
    <n v="40419"/>
    <m/>
    <n v="40419"/>
    <m/>
  </r>
  <r>
    <x v="1227"/>
    <x v="124"/>
    <x v="44"/>
    <s v="145"/>
    <n v="73043"/>
    <m/>
    <n v="73043"/>
    <m/>
  </r>
  <r>
    <x v="1227"/>
    <x v="116"/>
    <x v="28"/>
    <s v="1770"/>
    <n v="59900"/>
    <m/>
    <n v="59900"/>
    <m/>
  </r>
  <r>
    <x v="1227"/>
    <x v="106"/>
    <x v="49"/>
    <s v="2042"/>
    <n v="1554800"/>
    <m/>
    <n v="1554800"/>
    <m/>
  </r>
  <r>
    <x v="1228"/>
    <x v="110"/>
    <x v="44"/>
    <m/>
    <m/>
    <n v="1000000"/>
    <n v="-1000000"/>
    <s v="sheet from al madina steel"/>
  </r>
  <r>
    <x v="1228"/>
    <x v="116"/>
    <x v="28"/>
    <m/>
    <m/>
    <n v="850000"/>
    <n v="-850000"/>
    <s v="CHQ rec from NEC in acc of Engro rec on 24 Nov 23"/>
  </r>
  <r>
    <x v="1229"/>
    <x v="112"/>
    <x v="1"/>
    <s v="1495"/>
    <n v="4500"/>
    <m/>
    <n v="4500"/>
    <m/>
  </r>
  <r>
    <x v="1230"/>
    <x v="122"/>
    <x v="44"/>
    <s v="146"/>
    <n v="6351"/>
    <m/>
    <n v="6351"/>
    <m/>
  </r>
  <r>
    <x v="1230"/>
    <x v="110"/>
    <x v="44"/>
    <s v="147"/>
    <n v="10508"/>
    <m/>
    <n v="10508"/>
    <m/>
  </r>
  <r>
    <x v="1230"/>
    <x v="123"/>
    <x v="44"/>
    <s v="148"/>
    <n v="42998"/>
    <m/>
    <n v="42998"/>
    <m/>
  </r>
  <r>
    <x v="1231"/>
    <x v="112"/>
    <x v="0"/>
    <s v="519"/>
    <n v="124800"/>
    <m/>
    <n v="124800"/>
    <m/>
  </r>
  <r>
    <x v="1231"/>
    <x v="116"/>
    <x v="3"/>
    <s v="2495"/>
    <n v="5887"/>
    <m/>
    <n v="5887"/>
    <m/>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3"/>
    <x v="123"/>
    <x v="44"/>
    <s v="149"/>
    <n v="30958"/>
    <m/>
    <n v="30958"/>
    <m/>
  </r>
  <r>
    <x v="1233"/>
    <x v="112"/>
    <x v="53"/>
    <s v="22948"/>
    <n v="189553"/>
    <m/>
    <n v="189553"/>
    <m/>
  </r>
  <r>
    <x v="1234"/>
    <x v="116"/>
    <x v="28"/>
    <m/>
    <m/>
    <n v="1000000"/>
    <n v="-1000000"/>
    <s v="Cash from Al madina steel"/>
  </r>
  <r>
    <x v="1234"/>
    <x v="116"/>
    <x v="28"/>
    <m/>
    <m/>
    <n v="600000"/>
    <n v="-600000"/>
    <s v="Online transfer by al madina"/>
  </r>
  <r>
    <x v="1234"/>
    <x v="123"/>
    <x v="0"/>
    <s v="522"/>
    <n v="52800"/>
    <m/>
    <n v="52800"/>
    <m/>
  </r>
  <r>
    <x v="1235"/>
    <x v="116"/>
    <x v="52"/>
    <s v="2087"/>
    <n v="2952685"/>
    <m/>
    <n v="2952685"/>
    <m/>
  </r>
  <r>
    <x v="1235"/>
    <x v="112"/>
    <x v="5"/>
    <s v="2092"/>
    <n v="45000"/>
    <m/>
    <n v="45000"/>
    <m/>
  </r>
  <r>
    <x v="1236"/>
    <x v="110"/>
    <x v="28"/>
    <s v="1777"/>
    <n v="144334"/>
    <m/>
    <n v="144334"/>
    <m/>
  </r>
  <r>
    <x v="1237"/>
    <x v="110"/>
    <x v="44"/>
    <s v="150"/>
    <n v="40849"/>
    <m/>
    <n v="40849"/>
    <m/>
  </r>
  <r>
    <x v="1237"/>
    <x v="123"/>
    <x v="44"/>
    <s v="151"/>
    <n v="18196"/>
    <m/>
    <n v="18196"/>
    <m/>
  </r>
  <r>
    <x v="1238"/>
    <x v="123"/>
    <x v="3"/>
    <s v="2699"/>
    <n v="16400"/>
    <m/>
    <n v="16400"/>
    <m/>
  </r>
  <r>
    <x v="1238"/>
    <x v="112"/>
    <x v="5"/>
    <s v="2105"/>
    <n v="55000"/>
    <m/>
    <n v="55000"/>
    <m/>
  </r>
  <r>
    <x v="1238"/>
    <x v="123"/>
    <x v="4"/>
    <s v="4853"/>
    <n v="25430"/>
    <m/>
    <n v="25430"/>
    <m/>
  </r>
  <r>
    <x v="1239"/>
    <x v="107"/>
    <x v="3"/>
    <s v="2704"/>
    <n v="6047"/>
    <m/>
    <n v="6047"/>
    <m/>
  </r>
  <r>
    <x v="1240"/>
    <x v="115"/>
    <x v="56"/>
    <m/>
    <m/>
    <n v="340000"/>
    <n v="-340000"/>
    <s v="Cash from Al madina steel"/>
  </r>
  <r>
    <x v="1240"/>
    <x v="115"/>
    <x v="56"/>
    <m/>
    <m/>
    <n v="21510"/>
    <n v="-21510"/>
    <s v="adjusted"/>
  </r>
  <r>
    <x v="1241"/>
    <x v="123"/>
    <x v="44"/>
    <s v="152"/>
    <n v="32566"/>
    <m/>
    <n v="32566"/>
    <m/>
  </r>
  <r>
    <x v="1241"/>
    <x v="112"/>
    <x v="5"/>
    <s v="2129"/>
    <n v="55000"/>
    <m/>
    <n v="55000"/>
    <m/>
  </r>
  <r>
    <x v="1241"/>
    <x v="112"/>
    <x v="5"/>
    <s v="2130"/>
    <n v="45000"/>
    <m/>
    <n v="45000"/>
    <m/>
  </r>
  <r>
    <x v="1242"/>
    <x v="123"/>
    <x v="3"/>
    <s v="2842"/>
    <n v="5396"/>
    <m/>
    <n v="5396"/>
    <m/>
  </r>
  <r>
    <x v="1242"/>
    <x v="125"/>
    <x v="0"/>
    <m/>
    <m/>
    <n v="1500000"/>
    <n v="-1500000"/>
    <s v="Online By Total Construction in ac of BAH (rec on 15- Dec 23)"/>
  </r>
  <r>
    <x v="1242"/>
    <x v="110"/>
    <x v="44"/>
    <m/>
    <m/>
    <n v="250000"/>
    <n v="-250000"/>
    <s v="Online By Total Construction in ac of BAH (rec on 15- Dec 23)"/>
  </r>
  <r>
    <x v="1242"/>
    <x v="116"/>
    <x v="44"/>
    <m/>
    <m/>
    <n v="250000"/>
    <n v="-250000"/>
    <s v="Online By Total Construction in ac of BAH (rec on 15- Dec 23)"/>
  </r>
  <r>
    <x v="1242"/>
    <x v="112"/>
    <x v="44"/>
    <m/>
    <m/>
    <n v="250000"/>
    <n v="-250000"/>
    <s v="Online By Total Construction in ac of BAH (rec on 15- Dec 23)"/>
  </r>
  <r>
    <x v="1242"/>
    <x v="120"/>
    <x v="44"/>
    <m/>
    <m/>
    <n v="250000"/>
    <n v="-250000"/>
    <s v="Online By Total Construction in ac of BAH (rec on 15- Dec 23)"/>
  </r>
  <r>
    <x v="1242"/>
    <x v="110"/>
    <x v="28"/>
    <m/>
    <m/>
    <n v="1000000"/>
    <n v="-1000000"/>
    <s v="Online By Total Construction in ac of BAH (rec on 15- Dec 23)"/>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14">
        <item x="249"/>
        <item m="1" x="2211"/>
        <item m="1" x="2166"/>
        <item m="1" x="2165"/>
        <item m="1" x="2179"/>
        <item m="1" x="2169"/>
        <item m="1" x="2131"/>
        <item m="1" x="2150"/>
        <item m="1" x="2157"/>
        <item m="1" x="2177"/>
        <item m="1" x="2156"/>
        <item m="1" x="2185"/>
        <item m="1" x="2193"/>
        <item m="1" x="2154"/>
        <item m="1" x="2200"/>
        <item m="1" x="2147"/>
        <item m="1" x="2205"/>
        <item m="1" x="2160"/>
        <item m="1" x="2120"/>
        <item m="1" x="2209"/>
        <item m="1" x="2212"/>
        <item m="1" x="2127"/>
        <item m="1" x="2168"/>
        <item m="1" x="2122"/>
        <item m="1" x="2123"/>
        <item m="1" x="2125"/>
        <item m="1" x="2139"/>
        <item m="1" x="2140"/>
        <item m="1" x="2186"/>
        <item m="1" x="2174"/>
        <item m="1" x="2175"/>
        <item m="1" x="2180"/>
        <item m="1" x="2191"/>
        <item m="1" x="2170"/>
        <item m="1" x="2132"/>
        <item m="1" x="2137"/>
        <item m="1" x="2144"/>
        <item m="1" x="2194"/>
        <item x="0"/>
        <item m="1" x="2181"/>
        <item m="1" x="2187"/>
        <item m="1" x="2145"/>
        <item x="1"/>
        <item m="1" x="2188"/>
        <item m="1" x="2207"/>
        <item x="2"/>
        <item x="3"/>
        <item m="1" x="2151"/>
        <item m="1" x="2202"/>
        <item m="1" x="2148"/>
        <item m="1" x="2198"/>
        <item m="1" x="2206"/>
        <item m="1" x="2210"/>
        <item x="4"/>
        <item m="1" x="2121"/>
        <item x="5"/>
        <item x="6"/>
        <item m="1" x="216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3"/>
        <item x="157"/>
        <item x="158"/>
        <item x="159"/>
        <item x="160"/>
        <item x="161"/>
        <item x="162"/>
        <item x="163"/>
        <item x="164"/>
        <item x="165"/>
        <item x="166"/>
        <item x="167"/>
        <item x="168"/>
        <item x="169"/>
        <item m="1" x="21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1"/>
        <item x="276"/>
        <item x="277"/>
        <item x="278"/>
        <item x="275"/>
        <item m="1" x="2158"/>
        <item x="279"/>
        <item x="280"/>
        <item x="281"/>
        <item x="282"/>
        <item x="283"/>
        <item x="284"/>
        <item x="285"/>
        <item x="286"/>
        <item x="287"/>
        <item x="288"/>
        <item x="289"/>
        <item x="290"/>
        <item x="291"/>
        <item x="292"/>
        <item x="293"/>
        <item x="294"/>
        <item x="295"/>
        <item x="296"/>
        <item m="1" x="2162"/>
        <item x="297"/>
        <item x="298"/>
        <item x="299"/>
        <item m="1" x="2164"/>
        <item x="300"/>
        <item x="302"/>
        <item x="303"/>
        <item x="301"/>
        <item x="304"/>
        <item x="305"/>
        <item x="306"/>
        <item x="307"/>
        <item x="308"/>
        <item x="309"/>
        <item x="310"/>
        <item x="311"/>
        <item x="312"/>
        <item m="1" x="2128"/>
        <item x="313"/>
        <item m="1" x="2130"/>
        <item x="314"/>
        <item x="315"/>
        <item x="316"/>
        <item x="317"/>
        <item x="318"/>
        <item x="319"/>
        <item x="320"/>
        <item x="321"/>
        <item m="1" x="2176"/>
        <item x="323"/>
        <item x="324"/>
        <item x="325"/>
        <item x="326"/>
        <item x="322"/>
        <item x="327"/>
        <item x="328"/>
        <item x="329"/>
        <item x="330"/>
        <item x="331"/>
        <item m="1" x="2167"/>
        <item x="332"/>
        <item m="1" x="2129"/>
        <item x="333"/>
        <item x="334"/>
        <item x="335"/>
        <item x="336"/>
        <item x="337"/>
        <item x="338"/>
        <item x="344"/>
        <item m="1" x="21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6"/>
        <item x="375"/>
        <item x="376"/>
        <item x="373"/>
        <item x="377"/>
        <item x="378"/>
        <item x="379"/>
        <item x="380"/>
        <item m="1" x="2171"/>
        <item x="381"/>
        <item x="382"/>
        <item x="383"/>
        <item x="384"/>
        <item x="385"/>
        <item x="386"/>
        <item x="387"/>
        <item x="388"/>
        <item x="389"/>
        <item x="390"/>
        <item x="391"/>
        <item x="392"/>
        <item x="393"/>
        <item x="394"/>
        <item x="395"/>
        <item x="396"/>
        <item x="397"/>
        <item x="399"/>
        <item x="400"/>
        <item x="401"/>
        <item x="398"/>
        <item x="402"/>
        <item m="1" x="2172"/>
        <item x="403"/>
        <item x="404"/>
        <item x="405"/>
        <item x="406"/>
        <item x="407"/>
        <item x="408"/>
        <item x="409"/>
        <item m="1" x="2138"/>
        <item x="410"/>
        <item x="411"/>
        <item x="421"/>
        <item x="412"/>
        <item x="413"/>
        <item x="414"/>
        <item x="415"/>
        <item x="416"/>
        <item x="417"/>
        <item m="1" x="2192"/>
        <item x="418"/>
        <item x="419"/>
        <item x="420"/>
        <item x="423"/>
        <item x="443"/>
        <item x="424"/>
        <item x="422"/>
        <item x="425"/>
        <item x="426"/>
        <item x="427"/>
        <item x="428"/>
        <item x="429"/>
        <item x="430"/>
        <item x="431"/>
        <item x="432"/>
        <item m="1" x="2184"/>
        <item x="433"/>
        <item x="434"/>
        <item x="435"/>
        <item x="436"/>
        <item x="438"/>
        <item x="437"/>
        <item x="439"/>
        <item x="440"/>
        <item x="442"/>
        <item x="441"/>
        <item x="445"/>
        <item x="446"/>
        <item x="447"/>
        <item x="444"/>
        <item x="448"/>
        <item x="449"/>
        <item x="450"/>
        <item x="451"/>
        <item x="452"/>
        <item x="453"/>
        <item x="454"/>
        <item x="455"/>
        <item x="456"/>
        <item x="457"/>
        <item m="1" x="2146"/>
        <item x="458"/>
        <item x="459"/>
        <item m="1" x="2195"/>
        <item x="460"/>
        <item x="461"/>
        <item x="462"/>
        <item x="463"/>
        <item m="1" x="2204"/>
        <item x="464"/>
        <item x="465"/>
        <item x="466"/>
        <item x="467"/>
        <item x="468"/>
        <item x="469"/>
        <item x="470"/>
        <item m="1" x="2183"/>
        <item x="471"/>
        <item x="472"/>
        <item x="473"/>
        <item x="474"/>
        <item x="475"/>
        <item x="476"/>
        <item x="477"/>
        <item x="478"/>
        <item x="479"/>
        <item x="480"/>
        <item x="481"/>
        <item x="482"/>
        <item x="483"/>
        <item x="484"/>
        <item m="1" x="2159"/>
        <item x="490"/>
        <item x="485"/>
        <item x="486"/>
        <item x="487"/>
        <item x="488"/>
        <item x="489"/>
        <item x="491"/>
        <item x="492"/>
        <item m="1" x="2152"/>
        <item m="1" x="2196"/>
        <item x="503"/>
        <item m="1" x="2199"/>
        <item x="493"/>
        <item x="494"/>
        <item x="504"/>
        <item x="495"/>
        <item x="496"/>
        <item x="497"/>
        <item x="498"/>
        <item x="499"/>
        <item x="500"/>
        <item x="501"/>
        <item x="502"/>
        <item x="505"/>
        <item x="506"/>
        <item x="507"/>
        <item x="508"/>
        <item m="1" x="214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8"/>
        <item x="564"/>
        <item x="565"/>
        <item x="566"/>
        <item x="567"/>
        <item x="568"/>
        <item x="569"/>
        <item x="570"/>
        <item x="571"/>
        <item x="572"/>
        <item x="573"/>
        <item x="574"/>
        <item m="1" x="212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5"/>
        <item x="698"/>
        <item x="708"/>
        <item x="709"/>
        <item x="710"/>
        <item x="699"/>
        <item x="700"/>
        <item x="701"/>
        <item x="702"/>
        <item x="703"/>
        <item x="704"/>
        <item x="705"/>
        <item x="706"/>
        <item x="707"/>
        <item x="711"/>
        <item x="726"/>
        <item x="727"/>
        <item x="734"/>
        <item x="712"/>
        <item x="728"/>
        <item x="729"/>
        <item m="1" x="21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1"/>
        <item x="753"/>
        <item m="1" x="2143"/>
        <item x="740"/>
        <item x="754"/>
        <item x="741"/>
        <item x="742"/>
        <item x="743"/>
        <item x="744"/>
        <item x="745"/>
        <item x="746"/>
        <item x="747"/>
        <item x="755"/>
        <item x="748"/>
        <item x="757"/>
        <item x="758"/>
        <item x="769"/>
        <item x="759"/>
        <item m="1" x="2190"/>
        <item x="760"/>
        <item x="761"/>
        <item x="770"/>
        <item m="1" x="2197"/>
        <item x="762"/>
        <item x="771"/>
        <item x="763"/>
        <item x="764"/>
        <item x="765"/>
        <item x="766"/>
        <item x="772"/>
        <item x="773"/>
        <item x="767"/>
        <item x="768"/>
        <item x="774"/>
        <item x="775"/>
        <item x="790"/>
        <item x="776"/>
        <item x="791"/>
        <item x="777"/>
        <item x="778"/>
        <item x="792"/>
        <item x="779"/>
        <item x="780"/>
        <item x="781"/>
        <item x="782"/>
        <item x="793"/>
        <item x="783"/>
        <item x="794"/>
        <item x="795"/>
        <item x="211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8"/>
        <item x="944"/>
        <item m="1" x="214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9"/>
        <item x="1583"/>
        <item x="1577"/>
        <item x="1578"/>
        <item x="1576"/>
        <item x="1579"/>
        <item x="1580"/>
        <item x="1586"/>
        <item x="1587"/>
        <item x="1581"/>
        <item x="1582"/>
        <item x="1588"/>
        <item x="1589"/>
        <item x="1590"/>
        <item x="1602"/>
        <item x="1612"/>
        <item m="1" x="213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31">
        <item sd="0" x="60"/>
        <item sd="0" x="149"/>
        <item sd="0" m="1" x="872"/>
        <item sd="0" m="1" x="971"/>
        <item sd="0" m="1" x="834"/>
        <item sd="0" x="18"/>
        <item sd="0" x="288"/>
        <item sd="0" m="1" x="1012"/>
        <item sd="0" x="146"/>
        <item sd="0" x="179"/>
        <item sd="0" m="1" x="1009"/>
        <item sd="0" x="623"/>
        <item sd="0" x="100"/>
        <item sd="0" m="1" x="818"/>
        <item sd="0" m="1" x="975"/>
        <item sd="0" x="137"/>
        <item sd="0" m="1" x="957"/>
        <item sd="0" x="231"/>
        <item sd="0" m="1" x="789"/>
        <item sd="0" m="1" x="962"/>
        <item sd="0" x="363"/>
        <item sd="0" x="375"/>
        <item sd="0" m="1" x="848"/>
        <item sd="0" x="208"/>
        <item sd="0" x="159"/>
        <item sd="0" x="258"/>
        <item sd="0" x="282"/>
        <item sd="0" x="144"/>
        <item sd="0" x="191"/>
        <item sd="0" x="217"/>
        <item sd="0" x="322"/>
        <item sd="0" x="256"/>
        <item sd="0" x="189"/>
        <item sd="0" m="1" x="911"/>
        <item sd="0" x="325"/>
        <item sd="0" m="1" x="1013"/>
        <item sd="0" m="1" x="909"/>
        <item sd="0" x="630"/>
        <item sd="0" x="223"/>
        <item sd="0" m="1" x="801"/>
        <item sd="0" x="239"/>
        <item sd="0" x="135"/>
        <item sd="0" x="140"/>
        <item sd="0" m="1" x="986"/>
        <item sd="0" m="1" x="915"/>
        <item sd="0" x="219"/>
        <item sd="0" x="562"/>
        <item sd="0" x="93"/>
        <item sd="0" m="1" x="983"/>
        <item sd="0" x="222"/>
        <item sd="0" m="1" x="814"/>
        <item sd="0" x="337"/>
        <item sd="0" x="207"/>
        <item sd="0" x="184"/>
        <item sd="0" x="152"/>
        <item sd="0" m="1" x="996"/>
        <item sd="0" x="40"/>
        <item sd="0" x="281"/>
        <item sd="0" x="170"/>
        <item sd="0" x="317"/>
        <item sd="0" x="358"/>
        <item sd="0" x="214"/>
        <item sd="0" x="370"/>
        <item sd="0" x="279"/>
        <item sd="0" x="156"/>
        <item sd="0" x="701"/>
        <item sd="0" x="253"/>
        <item sd="0" m="1" x="972"/>
        <item sd="0" m="1" x="780"/>
        <item sd="0" x="365"/>
        <item sd="0" m="1" x="833"/>
        <item sd="0" m="1" x="797"/>
        <item sd="0" x="259"/>
        <item sd="0" x="252"/>
        <item sd="0" m="1" x="914"/>
        <item sd="0" x="12"/>
        <item sd="0" x="352"/>
        <item sd="0" x="218"/>
        <item sd="0" x="224"/>
        <item sd="0" x="63"/>
        <item sd="0" x="8"/>
        <item sd="0" x="102"/>
        <item sd="0" m="1" x="819"/>
        <item sd="0" m="1" x="1015"/>
        <item sd="0" x="319"/>
        <item sd="0" m="1" x="825"/>
        <item sd="0" m="1" x="1026"/>
        <item sd="0" x="386"/>
        <item sd="0" x="31"/>
        <item sd="0" x="55"/>
        <item sd="0" x="227"/>
        <item sd="0" x="356"/>
        <item sd="0" x="161"/>
        <item sd="0" x="153"/>
        <item sd="0" m="1" x="899"/>
        <item sd="0" x="133"/>
        <item sd="0" m="1" x="805"/>
        <item sd="0" m="1" x="798"/>
        <item sd="0" m="1" x="1001"/>
        <item sd="0" x="46"/>
        <item sd="0" x="374"/>
        <item sd="0" m="1" x="807"/>
        <item sd="0" x="270"/>
        <item sd="0" m="1" x="889"/>
        <item sd="0" m="1" x="854"/>
        <item sd="0" m="1" x="890"/>
        <item sd="0" m="1" x="870"/>
        <item sd="0" m="1" x="982"/>
        <item sd="0" m="1" x="925"/>
        <item sd="0" m="1" x="886"/>
        <item sd="0" x="366"/>
        <item sd="0" x="318"/>
        <item sd="0" m="1" x="847"/>
        <item sd="0" x="273"/>
        <item sd="0" m="1" x="947"/>
        <item sd="0" x="201"/>
        <item sd="0" m="1" x="874"/>
        <item sd="0" x="160"/>
        <item sd="0" m="1" x="979"/>
        <item sd="0" m="1" x="939"/>
        <item sd="0" m="1" x="832"/>
        <item sd="0" x="277"/>
        <item sd="0" m="1" x="933"/>
        <item sd="0" x="225"/>
        <item sd="0" m="1" x="803"/>
        <item sd="0" m="1" x="806"/>
        <item sd="0" m="1" x="817"/>
        <item sd="0" x="292"/>
        <item sd="0" x="15"/>
        <item sd="0" m="1" x="845"/>
        <item sd="0" m="1" x="860"/>
        <item sd="0" x="0"/>
        <item sd="0" x="232"/>
        <item sd="0" x="213"/>
        <item sd="0" m="1" x="981"/>
        <item sd="0" x="316"/>
        <item sd="0" m="1" x="788"/>
        <item sd="0" x="291"/>
        <item sd="0" x="333"/>
        <item sd="0" x="339"/>
        <item sd="0" x="275"/>
        <item sd="0" m="1" x="820"/>
        <item sd="0" x="174"/>
        <item sd="0" x="171"/>
        <item sd="0" x="233"/>
        <item sd="0" x="78"/>
        <item sd="0" m="1" x="880"/>
        <item sd="0" x="236"/>
        <item sd="0" x="58"/>
        <item sd="0" x="240"/>
        <item sd="0" m="1" x="813"/>
        <item sd="0" x="182"/>
        <item sd="0" x="307"/>
        <item sd="0" m="1" x="823"/>
        <item sd="0" x="290"/>
        <item sd="0" m="1" x="906"/>
        <item sd="0" m="1" x="968"/>
        <item sd="0" x="132"/>
        <item sd="0" x="56"/>
        <item sd="0" x="126"/>
        <item sd="0" x="22"/>
        <item sd="0" x="187"/>
        <item sd="0" m="1" x="794"/>
        <item sd="0" m="1" x="999"/>
        <item sd="0" m="1" x="800"/>
        <item sd="0" x="11"/>
        <item sd="0" x="353"/>
        <item sd="0" m="1" x="885"/>
        <item sd="0" x="124"/>
        <item sd="0" m="1" x="1029"/>
        <item sd="0" x="77"/>
        <item sd="0" m="1" x="910"/>
        <item sd="0" x="92"/>
        <item sd="0" x="35"/>
        <item sd="0" x="196"/>
        <item sd="0" m="1" x="1008"/>
        <item sd="0" x="1"/>
        <item sd="0" x="180"/>
        <item sd="0" x="285"/>
        <item sd="0" m="1" x="928"/>
        <item sd="0" x="42"/>
        <item sd="0" m="1" x="949"/>
        <item sd="0" m="1" x="918"/>
        <item sd="0" m="1" x="936"/>
        <item sd="0" m="1" x="868"/>
        <item sd="0" x="84"/>
        <item sd="0" x="106"/>
        <item sd="0" m="1" x="779"/>
        <item sd="0" x="336"/>
        <item sd="0" m="1" x="942"/>
        <item sd="0" m="1" x="781"/>
        <item sd="0" m="1" x="776"/>
        <item sd="0" m="1" x="929"/>
        <item sd="0" m="1" x="809"/>
        <item sd="0" m="1" x="959"/>
        <item sd="0" m="1" x="810"/>
        <item sd="0" x="16"/>
        <item sd="0" m="1" x="938"/>
        <item sd="0" m="1" x="850"/>
        <item sd="0" x="280"/>
        <item sd="0" x="104"/>
        <item sd="0" x="332"/>
        <item sd="0" m="1" x="873"/>
        <item sd="0" x="348"/>
        <item sd="0" x="23"/>
        <item sd="0" x="362"/>
        <item sd="0" x="237"/>
        <item sd="0" x="91"/>
        <item sd="0" x="13"/>
        <item sd="0" x="175"/>
        <item sd="0" x="343"/>
        <item sd="0" m="1" x="1019"/>
        <item sd="0" m="1" x="994"/>
        <item sd="0" x="87"/>
        <item sd="0" x="691"/>
        <item sd="0" x="33"/>
        <item sd="0" x="19"/>
        <item sd="0" m="1" x="783"/>
        <item sd="0" x="20"/>
        <item sd="0" m="1" x="795"/>
        <item sd="0" x="96"/>
        <item sd="0" m="1" x="1011"/>
        <item sd="0" m="1" x="988"/>
        <item sd="0" m="1" x="861"/>
        <item sd="0" x="120"/>
        <item sd="0" x="131"/>
        <item sd="0" x="119"/>
        <item sd="0" m="1" x="940"/>
        <item sd="0" m="1" x="931"/>
        <item sd="0" m="1" x="793"/>
        <item sd="0" m="1" x="916"/>
        <item sd="0" x="228"/>
        <item sd="0" x="39"/>
        <item sd="0" x="108"/>
        <item sd="0" x="24"/>
        <item sd="0" x="139"/>
        <item sd="0" m="1" x="998"/>
        <item sd="0" x="17"/>
        <item sd="0" x="248"/>
        <item sd="0" x="48"/>
        <item sd="0" m="1" x="912"/>
        <item sd="0" m="1" x="973"/>
        <item sd="0" x="134"/>
        <item sd="0" x="596"/>
        <item sd="0" m="1" x="882"/>
        <item sd="0" x="69"/>
        <item sd="0" x="34"/>
        <item sd="0" x="206"/>
        <item sd="0" m="1" x="1014"/>
        <item sd="0" m="1" x="888"/>
        <item sd="0" m="1" x="907"/>
        <item sd="0" m="1" x="849"/>
        <item sd="0" x="268"/>
        <item sd="0" x="376"/>
        <item sd="0" x="331"/>
        <item sd="0" m="1" x="841"/>
        <item sd="0" x="360"/>
        <item sd="0" m="1" x="989"/>
        <item sd="0" x="89"/>
        <item sd="0" x="355"/>
        <item sd="0" m="1" x="887"/>
        <item sd="0" x="168"/>
        <item sd="0" m="1" x="784"/>
        <item sd="0" m="1" x="777"/>
        <item sd="0" x="272"/>
        <item sd="0" x="51"/>
        <item sd="0" x="190"/>
        <item sd="0" x="50"/>
        <item sd="0" x="79"/>
        <item sd="0" x="32"/>
        <item sd="0" m="1" x="976"/>
        <item sd="0" x="188"/>
        <item sd="0" x="110"/>
        <item sd="0" m="1" x="995"/>
        <item sd="0" m="1" x="992"/>
        <item sd="0" m="1" x="897"/>
        <item sd="0" m="1" x="843"/>
        <item sd="0" m="1" x="892"/>
        <item sd="0" m="1" x="864"/>
        <item sd="0" x="226"/>
        <item sd="0" x="57"/>
        <item sd="0" m="1" x="895"/>
        <item sd="0" x="340"/>
        <item sd="0" x="265"/>
        <item sd="0" x="294"/>
        <item sd="0" m="1" x="922"/>
        <item sd="0" x="62"/>
        <item sd="0" x="295"/>
        <item sd="0" x="3"/>
        <item sd="0" x="151"/>
        <item sd="0" x="210"/>
        <item sd="0" x="54"/>
        <item sd="0" m="1" x="954"/>
        <item sd="0" m="1" x="937"/>
        <item sd="0" x="323"/>
        <item sd="0" m="1" x="830"/>
        <item sd="0" x="75"/>
        <item sd="0" m="1" x="859"/>
        <item sd="0" x="186"/>
        <item sd="0" x="361"/>
        <item sd="0" x="368"/>
        <item sd="0" x="327"/>
        <item sd="0" x="195"/>
        <item sd="0" m="1" x="927"/>
        <item sd="0" m="1" x="967"/>
        <item sd="0" x="123"/>
        <item sd="0" m="1" x="856"/>
        <item sd="0" x="194"/>
        <item sd="0" x="121"/>
        <item sd="0" x="53"/>
        <item sd="0" m="1" x="984"/>
        <item sd="0" x="278"/>
        <item sd="0" x="212"/>
        <item sd="0" m="1" x="969"/>
        <item sd="0" m="1" x="960"/>
        <item sd="0" m="1" x="1027"/>
        <item sd="0" m="1" x="811"/>
        <item sd="0" m="1" x="1021"/>
        <item sd="0" x="117"/>
        <item sd="0" x="111"/>
        <item sd="0" x="81"/>
        <item sd="0" x="7"/>
        <item sd="0" x="235"/>
        <item sd="0" x="287"/>
        <item sd="0" m="1" x="958"/>
        <item sd="0" m="1" x="1005"/>
        <item sd="0" x="2"/>
        <item sd="0" m="1" x="1020"/>
        <item sd="0" m="1" x="878"/>
        <item sd="0" x="163"/>
        <item sd="0" m="1" x="952"/>
        <item sd="0" m="1" x="824"/>
        <item sd="0" m="1" x="1028"/>
        <item sd="0" m="1" x="790"/>
        <item sd="0" m="1" x="787"/>
        <item sd="0" x="130"/>
        <item sd="0" x="88"/>
        <item sd="0" m="1" x="1023"/>
        <item sd="0" x="204"/>
        <item sd="0" x="72"/>
        <item sd="0" x="73"/>
        <item sd="0" x="28"/>
        <item sd="0" x="47"/>
        <item sd="0" x="181"/>
        <item sd="0" x="26"/>
        <item sd="0" x="86"/>
        <item sd="0" x="230"/>
        <item sd="0" m="1" x="894"/>
        <item sd="0" m="1" x="877"/>
        <item sd="0" m="1" x="913"/>
        <item sd="0" x="94"/>
        <item sd="0" x="107"/>
        <item sd="0" x="309"/>
        <item sd="0" x="38"/>
        <item sd="0" x="145"/>
        <item sd="0" x="101"/>
        <item sd="0" x="369"/>
        <item sd="0" x="10"/>
        <item sd="0" x="74"/>
        <item sd="0" x="264"/>
        <item sd="0" m="1" x="863"/>
        <item sd="0" x="178"/>
        <item sd="0" x="266"/>
        <item sd="0" x="364"/>
        <item sd="0" x="98"/>
        <item sd="0" x="165"/>
        <item sd="0" x="66"/>
        <item sd="0" x="5"/>
        <item sd="0" m="1" x="837"/>
        <item sd="0" x="359"/>
        <item sd="0" m="1" x="1018"/>
        <item sd="0" x="269"/>
        <item sd="0" x="215"/>
        <item sd="0" x="349"/>
        <item sd="0" x="283"/>
        <item sd="0" x="185"/>
        <item sd="0" x="220"/>
        <item sd="0" m="1" x="1006"/>
        <item sd="0" m="1" x="782"/>
        <item sd="0" x="4"/>
        <item sd="0" x="377"/>
        <item sd="0" x="262"/>
        <item sd="0" x="326"/>
        <item sd="0" x="173"/>
        <item sd="0" x="200"/>
        <item sd="0" m="1" x="821"/>
        <item sd="0" x="345"/>
        <item sd="0" x="30"/>
        <item sd="0" m="1" x="955"/>
        <item sd="0" x="242"/>
        <item sd="0" m="1" x="884"/>
        <item sd="0" m="1" x="791"/>
        <item sd="0" x="243"/>
        <item sd="0" m="1" x="1000"/>
        <item sd="0" m="1" x="1003"/>
        <item sd="0" x="303"/>
        <item sd="0" x="37"/>
        <item sd="0" x="357"/>
        <item sd="0" m="1" x="896"/>
        <item sd="0" m="1" x="948"/>
        <item sd="0" x="115"/>
        <item sd="0" m="1" x="997"/>
        <item sd="0" m="1" x="802"/>
        <item sd="0" m="1" x="866"/>
        <item sd="0" x="128"/>
        <item sd="0" m="1" x="1004"/>
        <item sd="0" m="1" x="980"/>
        <item sd="0" x="255"/>
        <item sd="0" x="199"/>
        <item sd="0" x="329"/>
        <item sd="0" x="297"/>
        <item sd="0" x="310"/>
        <item sd="0" x="83"/>
        <item sd="0" m="1" x="903"/>
        <item sd="0" m="1" x="785"/>
        <item sd="0" x="80"/>
        <item sd="0" m="1" x="855"/>
        <item sd="0" m="1" x="993"/>
        <item sd="0" x="97"/>
        <item sd="0" x="289"/>
        <item sd="0" m="1" x="943"/>
        <item sd="0" x="116"/>
        <item sd="0" x="209"/>
        <item sd="0" x="198"/>
        <item sd="0" x="150"/>
        <item sd="0" x="136"/>
        <item sd="0" m="1" x="883"/>
        <item sd="0" x="109"/>
        <item sd="0" x="524"/>
        <item sd="0" m="1" x="862"/>
        <item sd="0" m="1" x="964"/>
        <item sd="0" x="284"/>
        <item sd="0" x="296"/>
        <item sd="0" x="211"/>
        <item sd="0" x="45"/>
        <item sd="0" m="1" x="944"/>
        <item sd="0" m="1" x="935"/>
        <item sd="0" x="155"/>
        <item sd="0" m="1" x="965"/>
        <item sd="0" x="61"/>
        <item sd="0" x="129"/>
        <item sd="0" x="105"/>
        <item sd="0" m="1" x="808"/>
        <item sd="0" x="157"/>
        <item sd="0" x="14"/>
        <item sd="0" x="43"/>
        <item sd="0" x="250"/>
        <item sd="0" x="238"/>
        <item sd="0" x="103"/>
        <item sd="0" x="70"/>
        <item sd="0" x="299"/>
        <item sd="0" x="127"/>
        <item sd="0" m="1" x="778"/>
        <item sd="0" x="193"/>
        <item sd="0" x="147"/>
        <item sd="0" m="1" x="898"/>
        <item sd="0" x="99"/>
        <item sd="0" x="344"/>
        <item sd="0" x="221"/>
        <item sd="0" m="1" x="1017"/>
        <item sd="0" m="1" x="1022"/>
        <item sd="0" x="271"/>
        <item sd="0" x="166"/>
        <item sd="0" x="286"/>
        <item sd="0" x="304"/>
        <item sd="0" m="1" x="891"/>
        <item sd="0" x="138"/>
        <item sd="0" x="41"/>
        <item sd="0" x="229"/>
        <item sd="0" m="1" x="951"/>
        <item sd="0" x="71"/>
        <item sd="0" x="64"/>
        <item sd="0" m="1" x="875"/>
        <item sd="0" m="1" x="869"/>
        <item sd="0" x="540"/>
        <item sd="0" x="44"/>
        <item sd="0" x="114"/>
        <item sd="0" x="52"/>
        <item sd="0" x="142"/>
        <item sd="0" x="82"/>
        <item sd="0" x="245"/>
        <item sd="0" x="314"/>
        <item sd="0" m="1" x="990"/>
        <item sd="0" m="1" x="961"/>
        <item sd="0" x="308"/>
        <item sd="0" m="1" x="920"/>
        <item sd="0" m="1" x="987"/>
        <item sd="0" x="122"/>
        <item sd="0" x="118"/>
        <item sd="0" m="1" x="941"/>
        <item sd="0" x="169"/>
        <item sd="0" x="197"/>
        <item sd="0" x="125"/>
        <item sd="0" x="203"/>
        <item sd="0" x="267"/>
        <item sd="0" x="301"/>
        <item sd="0" x="85"/>
        <item sd="0" x="25"/>
        <item sd="0" x="244"/>
        <item sd="0" x="112"/>
        <item sd="0" x="192"/>
        <item sd="0" x="302"/>
        <item sd="0" x="260"/>
        <item sd="0" x="261"/>
        <item sd="0" m="1" x="926"/>
        <item sd="0" x="328"/>
        <item sd="0" x="350"/>
        <item sd="0" x="254"/>
        <item sd="0" x="320"/>
        <item sd="0" x="241"/>
        <item sd="0" x="158"/>
        <item sd="0" m="1" x="917"/>
        <item sd="0" m="1" x="881"/>
        <item sd="0" m="1" x="974"/>
        <item sd="0" m="1" x="786"/>
        <item sd="0" m="1" x="839"/>
        <item sd="0" x="143"/>
        <item sd="0" m="1" x="978"/>
        <item sd="0" x="276"/>
        <item sd="0" x="298"/>
        <item sd="0" x="424"/>
        <item sd="0" x="346"/>
        <item sd="0" x="306"/>
        <item sd="0" m="1" x="1002"/>
        <item sd="0" x="321"/>
        <item sd="0" x="313"/>
        <item sd="0" x="49"/>
        <item sd="0" x="315"/>
        <item sd="0" x="59"/>
        <item sd="0" x="183"/>
        <item sd="0" x="330"/>
        <item sd="0" x="274"/>
        <item sd="0" x="311"/>
        <item sd="0" x="249"/>
        <item sd="0" m="1" x="816"/>
        <item sd="0" m="1" x="921"/>
        <item sd="0" m="1" x="1024"/>
        <item sd="0" m="1" x="876"/>
        <item sd="0" m="1" x="858"/>
        <item sd="0" m="1" x="857"/>
        <item sd="0" x="90"/>
        <item sd="0" x="202"/>
        <item sd="0" x="67"/>
        <item sd="0" m="1" x="953"/>
        <item sd="0" x="65"/>
        <item sd="0" x="247"/>
        <item sd="0" m="1" x="828"/>
        <item sd="0" x="216"/>
        <item sd="0" m="1" x="840"/>
        <item sd="0" x="141"/>
        <item sd="0" x="177"/>
        <item sd="0" x="305"/>
        <item sd="0" m="1" x="836"/>
        <item sd="0" x="347"/>
        <item sd="0" m="1" x="1016"/>
        <item sd="0" m="1" x="901"/>
        <item sd="0" x="293"/>
        <item sd="0" x="148"/>
        <item sd="0" x="354"/>
        <item sd="0" m="1" x="956"/>
        <item sd="0" x="27"/>
        <item sd="0" m="1" x="966"/>
        <item sd="0" x="68"/>
        <item sd="0" x="6"/>
        <item sd="0" x="263"/>
        <item sd="0" x="154"/>
        <item sd="0" x="164"/>
        <item sd="0" x="172"/>
        <item sd="0" x="205"/>
        <item sd="0" x="351"/>
        <item sd="0" m="1" x="842"/>
        <item sd="0" x="29"/>
        <item sd="0" m="1" x="1010"/>
        <item sd="0" x="9"/>
        <item sd="0" x="335"/>
        <item sd="0" m="1" x="905"/>
        <item sd="0" m="1" x="932"/>
        <item sd="0" m="1" x="871"/>
        <item sd="0" x="234"/>
        <item sd="0" x="162"/>
        <item sd="0" m="1" x="844"/>
        <item sd="0" m="1" x="977"/>
        <item sd="0" m="1" x="1007"/>
        <item sd="0" m="1" x="991"/>
        <item sd="0" x="300"/>
        <item sd="0" x="167"/>
        <item sd="0" x="76"/>
        <item sd="0" m="1" x="970"/>
        <item sd="0" x="342"/>
        <item sd="0" x="341"/>
        <item sd="0" m="1" x="804"/>
        <item sd="0" m="1" x="867"/>
        <item sd="0" m="1" x="945"/>
        <item sd="0" m="1" x="924"/>
        <item sd="0" x="113"/>
        <item sd="0" x="251"/>
        <item sd="0" x="176"/>
        <item sd="0" x="372"/>
        <item sd="0" x="246"/>
        <item sd="0" m="1" x="792"/>
        <item sd="0" x="257"/>
        <item sd="0" x="95"/>
        <item sd="0" x="338"/>
        <item sd="0" x="36"/>
        <item sd="0" m="1" x="846"/>
        <item sd="0" x="21"/>
        <item sd="0" x="378"/>
        <item sd="0" x="381"/>
        <item sd="0" x="382"/>
        <item sd="0" x="379"/>
        <item sd="0" x="383"/>
        <item sd="0" x="380"/>
        <item sd="0" x="384"/>
        <item sd="0" x="385"/>
        <item sd="0" x="387"/>
        <item sd="0" m="1" x="826"/>
        <item sd="0" m="1" x="865"/>
        <item sd="0" x="388"/>
        <item sd="0" m="1" x="796"/>
        <item sd="0" x="389"/>
        <item sd="0" x="390"/>
        <item sd="0" x="391"/>
        <item sd="0" x="392"/>
        <item sd="0" x="393"/>
        <item sd="0" x="394"/>
        <item sd="0" x="396"/>
        <item sd="0" x="397"/>
        <item sd="0" x="398"/>
        <item sd="0" x="395"/>
        <item sd="0" x="373"/>
        <item sd="0" x="399"/>
        <item sd="0" m="1" x="812"/>
        <item sd="0" x="401"/>
        <item sd="0" x="400"/>
        <item sd="0" m="1" x="831"/>
        <item sd="0" x="402"/>
        <item sd="0" x="403"/>
        <item sd="0" x="404"/>
        <item sd="0" x="405"/>
        <item sd="0" x="406"/>
        <item sd="0" x="411"/>
        <item sd="0" m="1" x="89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4"/>
        <item sd="0" x="465"/>
        <item sd="0" x="469"/>
        <item sd="0" x="466"/>
        <item sd="0" x="467"/>
        <item sd="0" m="1" x="822"/>
        <item sd="0" x="470"/>
        <item sd="0" m="1" x="799"/>
        <item sd="0" x="472"/>
        <item sd="0" x="475"/>
        <item sd="0" x="476"/>
        <item sd="0" x="371"/>
        <item sd="0" m="1" x="904"/>
        <item sd="0" x="477"/>
        <item sd="0" x="478"/>
        <item sd="0" x="479"/>
        <item sd="0" x="473"/>
        <item sd="0" x="474"/>
        <item sd="0" x="480"/>
        <item sd="0" x="481"/>
        <item sd="0" x="482"/>
        <item sd="0" x="483"/>
        <item sd="0" x="484"/>
        <item sd="0" x="485"/>
        <item sd="0" x="486"/>
        <item sd="0" m="1" x="963"/>
        <item sd="0" x="488"/>
        <item sd="0" x="489"/>
        <item sd="0" x="487"/>
        <item sd="0" x="492"/>
        <item sd="0" x="491"/>
        <item sd="0" x="312"/>
        <item sd="0" m="1" x="946"/>
        <item sd="0" x="490"/>
        <item sd="0" x="493"/>
        <item sd="0" x="471"/>
        <item sd="0" x="494"/>
        <item sd="0" x="495"/>
        <item sd="0" m="1" x="930"/>
        <item sd="0" x="497"/>
        <item sd="0" x="499"/>
        <item sd="0" x="500"/>
        <item sd="0" x="503"/>
        <item sd="0" m="1" x="902"/>
        <item sd="0" m="1" x="83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29"/>
        <item sd="0" x="547"/>
        <item sd="0" x="548"/>
        <item sd="0" x="549"/>
        <item sd="0" x="543"/>
        <item sd="0" x="544"/>
        <item sd="0" x="546"/>
        <item sd="0" x="550"/>
        <item sd="0" x="551"/>
        <item sd="0" x="545"/>
        <item sd="0" x="556"/>
        <item sd="0" x="557"/>
        <item sd="0" x="558"/>
        <item sd="0" x="559"/>
        <item sd="0" x="552"/>
        <item sd="0" x="553"/>
        <item sd="0" x="554"/>
        <item sd="0" m="1" x="879"/>
        <item sd="0" x="431"/>
        <item sd="0" x="555"/>
        <item sd="0" x="560"/>
        <item sd="0" x="561"/>
        <item sd="0" x="563"/>
        <item sd="0" x="564"/>
        <item sd="0" x="565"/>
        <item sd="0" m="1" x="985"/>
        <item sd="0" x="566"/>
        <item sd="0" x="567"/>
        <item sd="0" x="571"/>
        <item sd="0" x="572"/>
        <item sd="0" x="573"/>
        <item sd="0" x="574"/>
        <item sd="0" x="568"/>
        <item sd="0" x="569"/>
        <item sd="0" x="575"/>
        <item sd="0" x="570"/>
        <item sd="0" m="1" x="900"/>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5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19"/>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7"/>
        <item x="699"/>
        <item x="700"/>
        <item x="698"/>
        <item x="702"/>
        <item x="703"/>
        <item m="1" x="950"/>
        <item x="707"/>
        <item x="704"/>
        <item x="705"/>
        <item x="706"/>
        <item x="708"/>
        <item x="709"/>
        <item x="722"/>
        <item x="710"/>
        <item x="711"/>
        <item x="712"/>
        <item x="713"/>
        <item x="714"/>
        <item x="715"/>
        <item x="716"/>
        <item x="717"/>
        <item x="718"/>
        <item x="719"/>
        <item x="720"/>
        <item x="721"/>
        <item x="723"/>
        <item x="724"/>
        <item x="725"/>
        <item x="726"/>
        <item x="727"/>
        <item m="1" x="852"/>
        <item x="728"/>
        <item x="729"/>
        <item x="732"/>
        <item m="1" x="1025"/>
        <item m="1" x="815"/>
        <item x="733"/>
        <item x="730"/>
        <item x="334"/>
        <item x="731"/>
        <item x="734"/>
        <item x="735"/>
        <item x="736"/>
        <item x="737"/>
        <item x="738"/>
        <item x="739"/>
        <item x="740"/>
        <item m="1" x="923"/>
        <item x="741"/>
        <item x="742"/>
        <item x="743"/>
        <item x="744"/>
        <item x="745"/>
        <item x="746"/>
        <item x="747"/>
        <item x="748"/>
        <item x="749"/>
        <item x="750"/>
        <item x="751"/>
        <item m="1" x="835"/>
        <item x="752"/>
        <item x="759"/>
        <item x="753"/>
        <item x="754"/>
        <item m="1" x="908"/>
        <item x="755"/>
        <item x="756"/>
        <item x="757"/>
        <item x="758"/>
        <item x="760"/>
        <item x="594"/>
        <item x="761"/>
        <item x="762"/>
        <item x="763"/>
        <item x="764"/>
        <item x="765"/>
        <item x="766"/>
        <item x="767"/>
        <item x="768"/>
        <item x="769"/>
        <item x="770"/>
        <item x="771"/>
        <item x="772"/>
        <item x="773"/>
        <item x="774"/>
        <item x="775"/>
        <item t="default" sd="0"/>
      </items>
    </pivotField>
    <pivotField axis="axisPage" showAll="0">
      <items count="926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53"/>
        <item x="9254"/>
        <item x="9256"/>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46"/>
        <item x="9247"/>
        <item x="9248"/>
        <item x="9055"/>
        <item x="9183"/>
        <item x="9185"/>
        <item x="9194"/>
        <item x="9205"/>
        <item x="9206"/>
        <item x="9207"/>
        <item x="9208"/>
        <item x="9209"/>
        <item x="9210"/>
        <item x="9211"/>
        <item x="9212"/>
        <item x="9213"/>
        <item x="9214"/>
        <item x="9218"/>
        <item x="9216"/>
        <item x="9217"/>
        <item x="9219"/>
        <item x="9220"/>
        <item x="9221"/>
        <item x="9257"/>
        <item x="9249"/>
        <item x="9258"/>
        <item x="9259"/>
        <item x="9222"/>
        <item x="9223"/>
        <item x="9224"/>
        <item x="9225"/>
        <item x="9226"/>
        <item x="9227"/>
        <item x="9229"/>
        <item x="9250"/>
        <item x="9251"/>
        <item x="9252"/>
        <item x="9260"/>
        <item x="9261"/>
        <item x="9262"/>
        <item x="9263"/>
        <item x="9264"/>
        <item x="9228"/>
        <item x="9230"/>
        <item x="9231"/>
        <item x="9232"/>
        <item x="9233"/>
        <item x="9234"/>
        <item x="9235"/>
        <item x="9236"/>
        <item x="9237"/>
        <item x="9238"/>
        <item x="9239"/>
        <item x="9240"/>
        <item x="9241"/>
        <item x="9242"/>
        <item x="9243"/>
        <item x="9244"/>
        <item x="9245"/>
        <item x="9255"/>
        <item x="9215"/>
        <item x="9265"/>
        <item x="9266"/>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2370">
      <pivotArea type="all" dataOnly="0" outline="0" fieldPosition="0"/>
    </format>
    <format dxfId="2369">
      <pivotArea outline="0" collapsedLevelsAreSubtotals="1" fieldPosition="0"/>
    </format>
    <format dxfId="2368">
      <pivotArea dataOnly="0" labelOnly="1" outline="0" fieldPosition="0">
        <references count="1">
          <reference field="4294967294" count="3">
            <x v="0"/>
            <x v="1"/>
            <x v="2"/>
          </reference>
        </references>
      </pivotArea>
    </format>
    <format dxfId="2367">
      <pivotArea type="all" dataOnly="0" outline="0" fieldPosition="0"/>
    </format>
    <format dxfId="2366">
      <pivotArea outline="0" collapsedLevelsAreSubtotals="1" fieldPosition="0"/>
    </format>
    <format dxfId="2365">
      <pivotArea field="1" type="button" dataOnly="0" labelOnly="1" outline="0" axis="axisRow" fieldPosition="0"/>
    </format>
    <format dxfId="2364">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2363">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2362">
      <pivotArea dataOnly="0" labelOnly="1" grandRow="1" outline="0" fieldPosition="0"/>
    </format>
    <format dxfId="2361">
      <pivotArea dataOnly="0" labelOnly="1" outline="0" fieldPosition="0">
        <references count="1">
          <reference field="4294967294" count="3">
            <x v="0"/>
            <x v="1"/>
            <x v="2"/>
          </reference>
        </references>
      </pivotArea>
    </format>
    <format dxfId="2360">
      <pivotArea type="all" dataOnly="0" outline="0" fieldPosition="0"/>
    </format>
    <format dxfId="2359">
      <pivotArea outline="0" collapsedLevelsAreSubtotals="1" fieldPosition="0"/>
    </format>
    <format dxfId="2358">
      <pivotArea field="1" type="button" dataOnly="0" labelOnly="1" outline="0" axis="axisRow" fieldPosition="0"/>
    </format>
    <format dxfId="2357">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2356">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2355">
      <pivotArea dataOnly="0" labelOnly="1" grandRow="1" outline="0" fieldPosition="0"/>
    </format>
    <format dxfId="2354">
      <pivotArea dataOnly="0" labelOnly="1" outline="0" fieldPosition="0">
        <references count="1">
          <reference field="4294967294" count="3">
            <x v="0"/>
            <x v="1"/>
            <x v="2"/>
          </reference>
        </references>
      </pivotArea>
    </format>
    <format dxfId="2353">
      <pivotArea type="all" dataOnly="0" outline="0" fieldPosition="0"/>
    </format>
    <format dxfId="2352">
      <pivotArea field="1" type="button" dataOnly="0" labelOnly="1" outline="0" axis="axisRow" fieldPosition="0"/>
    </format>
    <format dxfId="2351">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2350">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2349">
      <pivotArea dataOnly="0" labelOnly="1" outline="0" fieldPosition="0">
        <references count="1">
          <reference field="4294967294" count="3">
            <x v="0"/>
            <x v="1"/>
            <x v="2"/>
          </reference>
        </references>
      </pivotArea>
    </format>
    <format dxfId="2348">
      <pivotArea dataOnly="0" labelOnly="1" outline="0" fieldPosition="0">
        <references count="1">
          <reference field="4294967294" count="1">
            <x v="2"/>
          </reference>
        </references>
      </pivotArea>
    </format>
    <format dxfId="2347">
      <pivotArea dataOnly="0" labelOnly="1" outline="0" fieldPosition="0">
        <references count="1">
          <reference field="4294967294" count="1">
            <x v="2"/>
          </reference>
        </references>
      </pivotArea>
    </format>
    <format dxfId="2346">
      <pivotArea dataOnly="0" labelOnly="1" outline="0" fieldPosition="0">
        <references count="1">
          <reference field="4294967294" count="2">
            <x v="0"/>
            <x v="1"/>
          </reference>
        </references>
      </pivotArea>
    </format>
    <format dxfId="2345">
      <pivotArea dataOnly="0" labelOnly="1" outline="0" fieldPosition="0">
        <references count="1">
          <reference field="4294967294" count="2">
            <x v="0"/>
            <x v="1"/>
          </reference>
        </references>
      </pivotArea>
    </format>
    <format dxfId="2344">
      <pivotArea dataOnly="0" labelOnly="1" outline="0" fieldPosition="0">
        <references count="1">
          <reference field="4294967294" count="2">
            <x v="0"/>
            <x v="1"/>
          </reference>
        </references>
      </pivotArea>
    </format>
    <format dxfId="2343">
      <pivotArea dataOnly="0" labelOnly="1" outline="0" fieldPosition="0">
        <references count="1">
          <reference field="4294967294" count="2">
            <x v="0"/>
            <x v="1"/>
          </reference>
        </references>
      </pivotArea>
    </format>
    <format dxfId="2342">
      <pivotArea field="1" type="button" dataOnly="0" labelOnly="1" outline="0" axis="axisRow" fieldPosition="0"/>
    </format>
    <format dxfId="2341">
      <pivotArea field="1" type="button" dataOnly="0" labelOnly="1" outline="0" axis="axisRow" fieldPosition="0"/>
    </format>
    <format dxfId="2340">
      <pivotArea field="1" type="button" dataOnly="0" labelOnly="1" outline="0" axis="axisRow" fieldPosition="0"/>
    </format>
    <format dxfId="2339">
      <pivotArea dataOnly="0" labelOnly="1" outline="0" fieldPosition="0">
        <references count="1">
          <reference field="4294967294" count="3">
            <x v="0"/>
            <x v="1"/>
            <x v="2"/>
          </reference>
        </references>
      </pivotArea>
    </format>
    <format dxfId="2338">
      <pivotArea field="1" type="button" dataOnly="0" labelOnly="1" outline="0" axis="axisRow" fieldPosition="0"/>
    </format>
    <format dxfId="2337">
      <pivotArea dataOnly="0" labelOnly="1" outline="0" fieldPosition="0">
        <references count="1">
          <reference field="4294967294" count="3">
            <x v="0"/>
            <x v="1"/>
            <x v="2"/>
          </reference>
        </references>
      </pivotArea>
    </format>
    <format dxfId="2336">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2335">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2334">
      <pivotArea collapsedLevelsAreSubtotals="1" fieldPosition="0">
        <references count="1">
          <reference field="1" count="1">
            <x v="96"/>
          </reference>
        </references>
      </pivotArea>
    </format>
    <format dxfId="2333">
      <pivotArea collapsedLevelsAreSubtotals="1" fieldPosition="0">
        <references count="1">
          <reference field="1" count="1">
            <x v="97"/>
          </reference>
        </references>
      </pivotArea>
    </format>
    <format dxfId="2332">
      <pivotArea collapsedLevelsAreSubtotals="1" fieldPosition="0">
        <references count="1">
          <reference field="1" count="1">
            <x v="98"/>
          </reference>
        </references>
      </pivotArea>
    </format>
    <format dxfId="2331">
      <pivotArea collapsedLevelsAreSubtotals="1" fieldPosition="0">
        <references count="1">
          <reference field="1" count="1">
            <x v="99"/>
          </reference>
        </references>
      </pivotArea>
    </format>
    <format dxfId="2330">
      <pivotArea collapsedLevelsAreSubtotals="1" fieldPosition="0">
        <references count="1">
          <reference field="1" count="1">
            <x v="100"/>
          </reference>
        </references>
      </pivotArea>
    </format>
    <format dxfId="2329">
      <pivotArea collapsedLevelsAreSubtotals="1" fieldPosition="0">
        <references count="1">
          <reference field="1" count="1">
            <x v="101"/>
          </reference>
        </references>
      </pivotArea>
    </format>
    <format dxfId="2328">
      <pivotArea collapsedLevelsAreSubtotals="1" fieldPosition="0">
        <references count="1">
          <reference field="1" count="1">
            <x v="102"/>
          </reference>
        </references>
      </pivotArea>
    </format>
    <format dxfId="2327">
      <pivotArea collapsedLevelsAreSubtotals="1" fieldPosition="0">
        <references count="1">
          <reference field="1" count="1">
            <x v="103"/>
          </reference>
        </references>
      </pivotArea>
    </format>
    <format dxfId="2326">
      <pivotArea collapsedLevelsAreSubtotals="1" fieldPosition="0">
        <references count="1">
          <reference field="1" count="1">
            <x v="104"/>
          </reference>
        </references>
      </pivotArea>
    </format>
    <format dxfId="2325">
      <pivotArea collapsedLevelsAreSubtotals="1" fieldPosition="0">
        <references count="1">
          <reference field="1" count="1">
            <x v="105"/>
          </reference>
        </references>
      </pivotArea>
    </format>
    <format dxfId="2324">
      <pivotArea collapsedLevelsAreSubtotals="1" fieldPosition="0">
        <references count="1">
          <reference field="1" count="1">
            <x v="106"/>
          </reference>
        </references>
      </pivotArea>
    </format>
    <format dxfId="2323">
      <pivotArea collapsedLevelsAreSubtotals="1" fieldPosition="0">
        <references count="1">
          <reference field="1" count="1">
            <x v="107"/>
          </reference>
        </references>
      </pivotArea>
    </format>
    <format dxfId="2322">
      <pivotArea collapsedLevelsAreSubtotals="1" fieldPosition="0">
        <references count="1">
          <reference field="1" count="1">
            <x v="108"/>
          </reference>
        </references>
      </pivotArea>
    </format>
    <format dxfId="2321">
      <pivotArea collapsedLevelsAreSubtotals="1" fieldPosition="0">
        <references count="1">
          <reference field="1" count="1">
            <x v="109"/>
          </reference>
        </references>
      </pivotArea>
    </format>
    <format dxfId="2320">
      <pivotArea collapsedLevelsAreSubtotals="1" fieldPosition="0">
        <references count="1">
          <reference field="1" count="1">
            <x v="110"/>
          </reference>
        </references>
      </pivotArea>
    </format>
    <format dxfId="2319">
      <pivotArea collapsedLevelsAreSubtotals="1" fieldPosition="0">
        <references count="1">
          <reference field="1" count="1">
            <x v="111"/>
          </reference>
        </references>
      </pivotArea>
    </format>
    <format dxfId="2318">
      <pivotArea collapsedLevelsAreSubtotals="1" fieldPosition="0">
        <references count="1">
          <reference field="1" count="1">
            <x v="112"/>
          </reference>
        </references>
      </pivotArea>
    </format>
    <format dxfId="2317">
      <pivotArea collapsedLevelsAreSubtotals="1" fieldPosition="0">
        <references count="1">
          <reference field="1" count="1">
            <x v="113"/>
          </reference>
        </references>
      </pivotArea>
    </format>
    <format dxfId="2316">
      <pivotArea collapsedLevelsAreSubtotals="1" fieldPosition="0">
        <references count="1">
          <reference field="1" count="1">
            <x v="114"/>
          </reference>
        </references>
      </pivotArea>
    </format>
    <format dxfId="2315">
      <pivotArea collapsedLevelsAreSubtotals="1" fieldPosition="0">
        <references count="1">
          <reference field="1" count="1">
            <x v="115"/>
          </reference>
        </references>
      </pivotArea>
    </format>
    <format dxfId="2314">
      <pivotArea collapsedLevelsAreSubtotals="1" fieldPosition="0">
        <references count="1">
          <reference field="1" count="1">
            <x v="116"/>
          </reference>
        </references>
      </pivotArea>
    </format>
    <format dxfId="2313">
      <pivotArea collapsedLevelsAreSubtotals="1" fieldPosition="0">
        <references count="1">
          <reference field="1" count="1">
            <x v="117"/>
          </reference>
        </references>
      </pivotArea>
    </format>
    <format dxfId="2312">
      <pivotArea collapsedLevelsAreSubtotals="1" fieldPosition="0">
        <references count="1">
          <reference field="1" count="1">
            <x v="118"/>
          </reference>
        </references>
      </pivotArea>
    </format>
    <format dxfId="2311">
      <pivotArea collapsedLevelsAreSubtotals="1" fieldPosition="0">
        <references count="1">
          <reference field="1" count="1">
            <x v="119"/>
          </reference>
        </references>
      </pivotArea>
    </format>
    <format dxfId="2310">
      <pivotArea collapsedLevelsAreSubtotals="1" fieldPosition="0">
        <references count="1">
          <reference field="1" count="1">
            <x v="120"/>
          </reference>
        </references>
      </pivotArea>
    </format>
    <format dxfId="2309">
      <pivotArea collapsedLevelsAreSubtotals="1" fieldPosition="0">
        <references count="1">
          <reference field="1" count="1">
            <x v="121"/>
          </reference>
        </references>
      </pivotArea>
    </format>
    <format dxfId="2308">
      <pivotArea collapsedLevelsAreSubtotals="1" fieldPosition="0">
        <references count="1">
          <reference field="1" count="1">
            <x v="122"/>
          </reference>
        </references>
      </pivotArea>
    </format>
    <format dxfId="2307">
      <pivotArea collapsedLevelsAreSubtotals="1" fieldPosition="0">
        <references count="1">
          <reference field="1" count="1">
            <x v="123"/>
          </reference>
        </references>
      </pivotArea>
    </format>
    <format dxfId="2306">
      <pivotArea collapsedLevelsAreSubtotals="1" fieldPosition="0">
        <references count="1">
          <reference field="1" count="1">
            <x v="124"/>
          </reference>
        </references>
      </pivotArea>
    </format>
    <format dxfId="2305">
      <pivotArea collapsedLevelsAreSubtotals="1" fieldPosition="0">
        <references count="1">
          <reference field="1" count="1">
            <x v="125"/>
          </reference>
        </references>
      </pivotArea>
    </format>
    <format dxfId="2304">
      <pivotArea collapsedLevelsAreSubtotals="1" fieldPosition="0">
        <references count="1">
          <reference field="1" count="1">
            <x v="126"/>
          </reference>
        </references>
      </pivotArea>
    </format>
    <format dxfId="2303">
      <pivotArea collapsedLevelsAreSubtotals="1" fieldPosition="0">
        <references count="1">
          <reference field="1" count="1">
            <x v="127"/>
          </reference>
        </references>
      </pivotArea>
    </format>
    <format dxfId="2302">
      <pivotArea collapsedLevelsAreSubtotals="1" fieldPosition="0">
        <references count="1">
          <reference field="1" count="1">
            <x v="128"/>
          </reference>
        </references>
      </pivotArea>
    </format>
    <format dxfId="2301">
      <pivotArea collapsedLevelsAreSubtotals="1" fieldPosition="0">
        <references count="1">
          <reference field="1" count="1">
            <x v="129"/>
          </reference>
        </references>
      </pivotArea>
    </format>
    <format dxfId="2300">
      <pivotArea collapsedLevelsAreSubtotals="1" fieldPosition="0">
        <references count="1">
          <reference field="1" count="1">
            <x v="130"/>
          </reference>
        </references>
      </pivotArea>
    </format>
    <format dxfId="2299">
      <pivotArea collapsedLevelsAreSubtotals="1" fieldPosition="0">
        <references count="1">
          <reference field="1" count="1">
            <x v="131"/>
          </reference>
        </references>
      </pivotArea>
    </format>
    <format dxfId="2298">
      <pivotArea collapsedLevelsAreSubtotals="1" fieldPosition="0">
        <references count="1">
          <reference field="1" count="1">
            <x v="41"/>
          </reference>
        </references>
      </pivotArea>
    </format>
    <format dxfId="2297">
      <pivotArea collapsedLevelsAreSubtotals="1" fieldPosition="0">
        <references count="1">
          <reference field="1" count="1">
            <x v="132"/>
          </reference>
        </references>
      </pivotArea>
    </format>
    <format dxfId="2296">
      <pivotArea collapsedLevelsAreSubtotals="1" fieldPosition="0">
        <references count="1">
          <reference field="1" count="1">
            <x v="133"/>
          </reference>
        </references>
      </pivotArea>
    </format>
    <format dxfId="2295">
      <pivotArea collapsedLevelsAreSubtotals="1" fieldPosition="0">
        <references count="1">
          <reference field="1" count="1">
            <x v="134"/>
          </reference>
        </references>
      </pivotArea>
    </format>
    <format dxfId="2294">
      <pivotArea collapsedLevelsAreSubtotals="1" fieldPosition="0">
        <references count="1">
          <reference field="1" count="1">
            <x v="135"/>
          </reference>
        </references>
      </pivotArea>
    </format>
    <format dxfId="2293">
      <pivotArea collapsedLevelsAreSubtotals="1" fieldPosition="0">
        <references count="1">
          <reference field="1" count="1">
            <x v="136"/>
          </reference>
        </references>
      </pivotArea>
    </format>
    <format dxfId="2292">
      <pivotArea collapsedLevelsAreSubtotals="1" fieldPosition="0">
        <references count="1">
          <reference field="1" count="1">
            <x v="137"/>
          </reference>
        </references>
      </pivotArea>
    </format>
    <format dxfId="2291">
      <pivotArea collapsedLevelsAreSubtotals="1" fieldPosition="0">
        <references count="1">
          <reference field="1" count="1">
            <x v="138"/>
          </reference>
        </references>
      </pivotArea>
    </format>
    <format dxfId="2290">
      <pivotArea collapsedLevelsAreSubtotals="1" fieldPosition="0">
        <references count="1">
          <reference field="1" count="1">
            <x v="139"/>
          </reference>
        </references>
      </pivotArea>
    </format>
    <format dxfId="2289">
      <pivotArea collapsedLevelsAreSubtotals="1" fieldPosition="0">
        <references count="1">
          <reference field="1" count="1">
            <x v="140"/>
          </reference>
        </references>
      </pivotArea>
    </format>
    <format dxfId="2288">
      <pivotArea collapsedLevelsAreSubtotals="1" fieldPosition="0">
        <references count="1">
          <reference field="1" count="1">
            <x v="141"/>
          </reference>
        </references>
      </pivotArea>
    </format>
    <format dxfId="2287">
      <pivotArea collapsedLevelsAreSubtotals="1" fieldPosition="0">
        <references count="1">
          <reference field="1" count="1">
            <x v="142"/>
          </reference>
        </references>
      </pivotArea>
    </format>
    <format dxfId="2286">
      <pivotArea collapsedLevelsAreSubtotals="1" fieldPosition="0">
        <references count="1">
          <reference field="1" count="1">
            <x v="143"/>
          </reference>
        </references>
      </pivotArea>
    </format>
    <format dxfId="2285">
      <pivotArea collapsedLevelsAreSubtotals="1" fieldPosition="0">
        <references count="1">
          <reference field="1" count="1">
            <x v="144"/>
          </reference>
        </references>
      </pivotArea>
    </format>
    <format dxfId="2284">
      <pivotArea collapsedLevelsAreSubtotals="1" fieldPosition="0">
        <references count="1">
          <reference field="1" count="1">
            <x v="145"/>
          </reference>
        </references>
      </pivotArea>
    </format>
    <format dxfId="2283">
      <pivotArea collapsedLevelsAreSubtotals="1" fieldPosition="0">
        <references count="1">
          <reference field="1" count="1">
            <x v="146"/>
          </reference>
        </references>
      </pivotArea>
    </format>
    <format dxfId="2282">
      <pivotArea collapsedLevelsAreSubtotals="1" fieldPosition="0">
        <references count="1">
          <reference field="1" count="1">
            <x v="147"/>
          </reference>
        </references>
      </pivotArea>
    </format>
    <format dxfId="2281">
      <pivotArea collapsedLevelsAreSubtotals="1" fieldPosition="0">
        <references count="1">
          <reference field="1" count="1">
            <x v="148"/>
          </reference>
        </references>
      </pivotArea>
    </format>
    <format dxfId="2280">
      <pivotArea collapsedLevelsAreSubtotals="1" fieldPosition="0">
        <references count="1">
          <reference field="1" count="1">
            <x v="149"/>
          </reference>
        </references>
      </pivotArea>
    </format>
    <format dxfId="2279">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2278">
      <pivotArea dataOnly="0" labelOnly="1" fieldPosition="0">
        <references count="1">
          <reference field="1" count="5">
            <x v="145"/>
            <x v="146"/>
            <x v="147"/>
            <x v="148"/>
            <x v="149"/>
          </reference>
        </references>
      </pivotArea>
    </format>
    <format dxfId="2277">
      <pivotArea dataOnly="0" labelOnly="1" outline="0" fieldPosition="0">
        <references count="1">
          <reference field="4294967294" count="1">
            <x v="2"/>
          </reference>
        </references>
      </pivotArea>
    </format>
    <format dxfId="2276">
      <pivotArea dataOnly="0" labelOnly="1" fieldPosition="0">
        <references count="1">
          <reference field="1" count="7">
            <x v="150"/>
            <x v="151"/>
            <x v="152"/>
            <x v="153"/>
            <x v="154"/>
            <x v="155"/>
            <x v="157"/>
          </reference>
        </references>
      </pivotArea>
    </format>
    <format dxfId="2275">
      <pivotArea dataOnly="0" labelOnly="1" fieldPosition="0">
        <references count="1">
          <reference field="1" count="7">
            <x v="150"/>
            <x v="151"/>
            <x v="152"/>
            <x v="153"/>
            <x v="154"/>
            <x v="155"/>
            <x v="157"/>
          </reference>
        </references>
      </pivotArea>
    </format>
    <format dxfId="2274">
      <pivotArea collapsedLevelsAreSubtotals="1" fieldPosition="0">
        <references count="1">
          <reference field="1" count="1">
            <x v="150"/>
          </reference>
        </references>
      </pivotArea>
    </format>
    <format dxfId="2273">
      <pivotArea collapsedLevelsAreSubtotals="1" fieldPosition="0">
        <references count="1">
          <reference field="1" count="1">
            <x v="151"/>
          </reference>
        </references>
      </pivotArea>
    </format>
    <format dxfId="2272">
      <pivotArea collapsedLevelsAreSubtotals="1" fieldPosition="0">
        <references count="1">
          <reference field="1" count="1">
            <x v="152"/>
          </reference>
        </references>
      </pivotArea>
    </format>
    <format dxfId="2271">
      <pivotArea collapsedLevelsAreSubtotals="1" fieldPosition="0">
        <references count="1">
          <reference field="1" count="1">
            <x v="153"/>
          </reference>
        </references>
      </pivotArea>
    </format>
    <format dxfId="2270">
      <pivotArea collapsedLevelsAreSubtotals="1" fieldPosition="0">
        <references count="1">
          <reference field="1" count="1">
            <x v="154"/>
          </reference>
        </references>
      </pivotArea>
    </format>
    <format dxfId="2269">
      <pivotArea collapsedLevelsAreSubtotals="1" fieldPosition="0">
        <references count="1">
          <reference field="1" count="1">
            <x v="155"/>
          </reference>
        </references>
      </pivotArea>
    </format>
    <format dxfId="2268">
      <pivotArea collapsedLevelsAreSubtotals="1" fieldPosition="0">
        <references count="1">
          <reference field="1" count="1">
            <x v="157"/>
          </reference>
        </references>
      </pivotArea>
    </format>
    <format dxfId="2267">
      <pivotArea dataOnly="0" labelOnly="1" fieldPosition="0">
        <references count="1">
          <reference field="1" count="4">
            <x v="51"/>
            <x v="52"/>
            <x v="187"/>
            <x v="189"/>
          </reference>
        </references>
      </pivotArea>
    </format>
    <format dxfId="2266">
      <pivotArea dataOnly="0" labelOnly="1" fieldPosition="0">
        <references count="1">
          <reference field="1" count="3">
            <x v="48"/>
            <x v="49"/>
            <x v="63"/>
          </reference>
        </references>
      </pivotArea>
    </format>
    <format dxfId="2265">
      <pivotArea collapsedLevelsAreSubtotals="1" fieldPosition="0">
        <references count="1">
          <reference field="1" count="1">
            <x v="185"/>
          </reference>
        </references>
      </pivotArea>
    </format>
    <format dxfId="2264">
      <pivotArea collapsedLevelsAreSubtotals="1" fieldPosition="0">
        <references count="1">
          <reference field="1" count="1">
            <x v="184"/>
          </reference>
        </references>
      </pivotArea>
    </format>
    <format dxfId="2263">
      <pivotArea collapsedLevelsAreSubtotals="1" fieldPosition="0">
        <references count="1">
          <reference field="1" count="1">
            <x v="68"/>
          </reference>
        </references>
      </pivotArea>
    </format>
    <format dxfId="2262">
      <pivotArea collapsedLevelsAreSubtotals="1" fieldPosition="0">
        <references count="1">
          <reference field="1" count="1">
            <x v="69"/>
          </reference>
        </references>
      </pivotArea>
    </format>
    <format dxfId="2261">
      <pivotArea collapsedLevelsAreSubtotals="1" fieldPosition="0">
        <references count="1">
          <reference field="1" count="1">
            <x v="70"/>
          </reference>
        </references>
      </pivotArea>
    </format>
    <format dxfId="2260">
      <pivotArea collapsedLevelsAreSubtotals="1" fieldPosition="0">
        <references count="1">
          <reference field="1" count="1">
            <x v="71"/>
          </reference>
        </references>
      </pivotArea>
    </format>
    <format dxfId="2259">
      <pivotArea collapsedLevelsAreSubtotals="1" fieldPosition="0">
        <references count="1">
          <reference field="1" count="1">
            <x v="72"/>
          </reference>
        </references>
      </pivotArea>
    </format>
    <format dxfId="2258">
      <pivotArea collapsedLevelsAreSubtotals="1" fieldPosition="0">
        <references count="1">
          <reference field="1" count="1">
            <x v="73"/>
          </reference>
        </references>
      </pivotArea>
    </format>
    <format dxfId="2257">
      <pivotArea collapsedLevelsAreSubtotals="1" fieldPosition="0">
        <references count="1">
          <reference field="1" count="1">
            <x v="74"/>
          </reference>
        </references>
      </pivotArea>
    </format>
    <format dxfId="2256">
      <pivotArea collapsedLevelsAreSubtotals="1" fieldPosition="0">
        <references count="1">
          <reference field="1" count="1">
            <x v="75"/>
          </reference>
        </references>
      </pivotArea>
    </format>
    <format dxfId="2255">
      <pivotArea collapsedLevelsAreSubtotals="1" fieldPosition="0">
        <references count="1">
          <reference field="1" count="1">
            <x v="76"/>
          </reference>
        </references>
      </pivotArea>
    </format>
    <format dxfId="2254">
      <pivotArea collapsedLevelsAreSubtotals="1" fieldPosition="0">
        <references count="1">
          <reference field="1" count="1">
            <x v="77"/>
          </reference>
        </references>
      </pivotArea>
    </format>
    <format dxfId="2253">
      <pivotArea collapsedLevelsAreSubtotals="1" fieldPosition="0">
        <references count="1">
          <reference field="1" count="1">
            <x v="78"/>
          </reference>
        </references>
      </pivotArea>
    </format>
    <format dxfId="2252">
      <pivotArea collapsedLevelsAreSubtotals="1" fieldPosition="0">
        <references count="1">
          <reference field="1" count="1">
            <x v="79"/>
          </reference>
        </references>
      </pivotArea>
    </format>
    <format dxfId="2251">
      <pivotArea collapsedLevelsAreSubtotals="1" fieldPosition="0">
        <references count="1">
          <reference field="1" count="1">
            <x v="80"/>
          </reference>
        </references>
      </pivotArea>
    </format>
    <format dxfId="2250">
      <pivotArea collapsedLevelsAreSubtotals="1" fieldPosition="0">
        <references count="1">
          <reference field="1" count="1">
            <x v="81"/>
          </reference>
        </references>
      </pivotArea>
    </format>
    <format dxfId="2249">
      <pivotArea collapsedLevelsAreSubtotals="1" fieldPosition="0">
        <references count="1">
          <reference field="1" count="1">
            <x v="82"/>
          </reference>
        </references>
      </pivotArea>
    </format>
    <format dxfId="2248">
      <pivotArea collapsedLevelsAreSubtotals="1" fieldPosition="0">
        <references count="1">
          <reference field="1" count="1">
            <x v="83"/>
          </reference>
        </references>
      </pivotArea>
    </format>
    <format dxfId="2247">
      <pivotArea collapsedLevelsAreSubtotals="1" fieldPosition="0">
        <references count="1">
          <reference field="1" count="1">
            <x v="84"/>
          </reference>
        </references>
      </pivotArea>
    </format>
    <format dxfId="2246">
      <pivotArea collapsedLevelsAreSubtotals="1" fieldPosition="0">
        <references count="1">
          <reference field="1" count="1">
            <x v="85"/>
          </reference>
        </references>
      </pivotArea>
    </format>
    <format dxfId="2245">
      <pivotArea collapsedLevelsAreSubtotals="1" fieldPosition="0">
        <references count="1">
          <reference field="1" count="1">
            <x v="86"/>
          </reference>
        </references>
      </pivotArea>
    </format>
    <format dxfId="2244">
      <pivotArea collapsedLevelsAreSubtotals="1" fieldPosition="0">
        <references count="1">
          <reference field="1" count="1">
            <x v="87"/>
          </reference>
        </references>
      </pivotArea>
    </format>
    <format dxfId="2243">
      <pivotArea collapsedLevelsAreSubtotals="1" fieldPosition="0">
        <references count="1">
          <reference field="1" count="1">
            <x v="88"/>
          </reference>
        </references>
      </pivotArea>
    </format>
    <format dxfId="2242">
      <pivotArea collapsedLevelsAreSubtotals="1" fieldPosition="0">
        <references count="1">
          <reference field="1" count="1">
            <x v="89"/>
          </reference>
        </references>
      </pivotArea>
    </format>
    <format dxfId="2241">
      <pivotArea collapsedLevelsAreSubtotals="1" fieldPosition="0">
        <references count="1">
          <reference field="1" count="1">
            <x v="90"/>
          </reference>
        </references>
      </pivotArea>
    </format>
    <format dxfId="2240">
      <pivotArea collapsedLevelsAreSubtotals="1" fieldPosition="0">
        <references count="1">
          <reference field="1" count="1">
            <x v="91"/>
          </reference>
        </references>
      </pivotArea>
    </format>
    <format dxfId="2239">
      <pivotArea collapsedLevelsAreSubtotals="1" fieldPosition="0">
        <references count="1">
          <reference field="1" count="1">
            <x v="92"/>
          </reference>
        </references>
      </pivotArea>
    </format>
    <format dxfId="2238">
      <pivotArea collapsedLevelsAreSubtotals="1" fieldPosition="0">
        <references count="1">
          <reference field="1" count="1">
            <x v="93"/>
          </reference>
        </references>
      </pivotArea>
    </format>
    <format dxfId="2237">
      <pivotArea collapsedLevelsAreSubtotals="1" fieldPosition="0">
        <references count="1">
          <reference field="1" count="1">
            <x v="94"/>
          </reference>
        </references>
      </pivotArea>
    </format>
    <format dxfId="2236">
      <pivotArea collapsedLevelsAreSubtotals="1" fieldPosition="0">
        <references count="1">
          <reference field="1" count="1">
            <x v="95"/>
          </reference>
        </references>
      </pivotArea>
    </format>
    <format dxfId="2235">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2234">
      <pivotArea collapsedLevelsAreSubtotals="1" fieldPosition="0">
        <references count="2">
          <reference field="4294967294" count="2" selected="0">
            <x v="0"/>
            <x v="1"/>
          </reference>
          <reference field="1" count="1">
            <x v="158"/>
          </reference>
        </references>
      </pivotArea>
    </format>
    <format dxfId="2233">
      <pivotArea collapsedLevelsAreSubtotals="1" fieldPosition="0">
        <references count="2">
          <reference field="4294967294" count="2" selected="0">
            <x v="0"/>
            <x v="1"/>
          </reference>
          <reference field="1" count="1">
            <x v="159"/>
          </reference>
        </references>
      </pivotArea>
    </format>
    <format dxfId="2232">
      <pivotArea collapsedLevelsAreSubtotals="1" fieldPosition="0">
        <references count="2">
          <reference field="4294967294" count="2" selected="0">
            <x v="0"/>
            <x v="1"/>
          </reference>
          <reference field="1" count="1">
            <x v="162"/>
          </reference>
        </references>
      </pivotArea>
    </format>
    <format dxfId="2231">
      <pivotArea collapsedLevelsAreSubtotals="1" fieldPosition="0">
        <references count="2">
          <reference field="4294967294" count="2" selected="0">
            <x v="0"/>
            <x v="1"/>
          </reference>
          <reference field="1" count="1">
            <x v="163"/>
          </reference>
        </references>
      </pivotArea>
    </format>
    <format dxfId="2230">
      <pivotArea collapsedLevelsAreSubtotals="1" fieldPosition="0">
        <references count="2">
          <reference field="4294967294" count="2" selected="0">
            <x v="0"/>
            <x v="1"/>
          </reference>
          <reference field="1" count="1">
            <x v="164"/>
          </reference>
        </references>
      </pivotArea>
    </format>
    <format dxfId="2229">
      <pivotArea collapsedLevelsAreSubtotals="1" fieldPosition="0">
        <references count="2">
          <reference field="4294967294" count="2" selected="0">
            <x v="0"/>
            <x v="1"/>
          </reference>
          <reference field="1" count="1">
            <x v="165"/>
          </reference>
        </references>
      </pivotArea>
    </format>
    <format dxfId="2228">
      <pivotArea collapsedLevelsAreSubtotals="1" fieldPosition="0">
        <references count="2">
          <reference field="4294967294" count="2" selected="0">
            <x v="0"/>
            <x v="1"/>
          </reference>
          <reference field="1" count="1">
            <x v="166"/>
          </reference>
        </references>
      </pivotArea>
    </format>
    <format dxfId="2227">
      <pivotArea collapsedLevelsAreSubtotals="1" fieldPosition="0">
        <references count="2">
          <reference field="4294967294" count="2" selected="0">
            <x v="0"/>
            <x v="1"/>
          </reference>
          <reference field="1" count="1">
            <x v="169"/>
          </reference>
        </references>
      </pivotArea>
    </format>
    <format dxfId="2226">
      <pivotArea dataOnly="0" labelOnly="1" fieldPosition="0">
        <references count="1">
          <reference field="1" count="8">
            <x v="158"/>
            <x v="159"/>
            <x v="162"/>
            <x v="163"/>
            <x v="164"/>
            <x v="165"/>
            <x v="166"/>
            <x v="169"/>
          </reference>
        </references>
      </pivotArea>
    </format>
    <format dxfId="2225">
      <pivotArea collapsedLevelsAreSubtotals="1" fieldPosition="0">
        <references count="2">
          <reference field="4294967294" count="1" selected="0">
            <x v="2"/>
          </reference>
          <reference field="1" count="1">
            <x v="158"/>
          </reference>
        </references>
      </pivotArea>
    </format>
    <format dxfId="2224">
      <pivotArea collapsedLevelsAreSubtotals="1" fieldPosition="0">
        <references count="2">
          <reference field="4294967294" count="1" selected="0">
            <x v="2"/>
          </reference>
          <reference field="1" count="1">
            <x v="159"/>
          </reference>
        </references>
      </pivotArea>
    </format>
    <format dxfId="2223">
      <pivotArea collapsedLevelsAreSubtotals="1" fieldPosition="0">
        <references count="2">
          <reference field="4294967294" count="1" selected="0">
            <x v="2"/>
          </reference>
          <reference field="1" count="1">
            <x v="162"/>
          </reference>
        </references>
      </pivotArea>
    </format>
    <format dxfId="2222">
      <pivotArea collapsedLevelsAreSubtotals="1" fieldPosition="0">
        <references count="2">
          <reference field="4294967294" count="1" selected="0">
            <x v="2"/>
          </reference>
          <reference field="1" count="1">
            <x v="163"/>
          </reference>
        </references>
      </pivotArea>
    </format>
    <format dxfId="2221">
      <pivotArea collapsedLevelsAreSubtotals="1" fieldPosition="0">
        <references count="2">
          <reference field="4294967294" count="1" selected="0">
            <x v="2"/>
          </reference>
          <reference field="1" count="1">
            <x v="164"/>
          </reference>
        </references>
      </pivotArea>
    </format>
    <format dxfId="2220">
      <pivotArea collapsedLevelsAreSubtotals="1" fieldPosition="0">
        <references count="2">
          <reference field="4294967294" count="1" selected="0">
            <x v="2"/>
          </reference>
          <reference field="1" count="1">
            <x v="165"/>
          </reference>
        </references>
      </pivotArea>
    </format>
    <format dxfId="2219">
      <pivotArea collapsedLevelsAreSubtotals="1" fieldPosition="0">
        <references count="2">
          <reference field="4294967294" count="1" selected="0">
            <x v="2"/>
          </reference>
          <reference field="1" count="1">
            <x v="166"/>
          </reference>
        </references>
      </pivotArea>
    </format>
    <format dxfId="2218">
      <pivotArea collapsedLevelsAreSubtotals="1" fieldPosition="0">
        <references count="2">
          <reference field="4294967294" count="1" selected="0">
            <x v="2"/>
          </reference>
          <reference field="1" count="1">
            <x v="169"/>
          </reference>
        </references>
      </pivotArea>
    </format>
    <format dxfId="2217">
      <pivotArea dataOnly="0" labelOnly="1" fieldPosition="0">
        <references count="1">
          <reference field="1" count="3">
            <x v="51"/>
            <x v="52"/>
            <x v="63"/>
          </reference>
        </references>
      </pivotArea>
    </format>
    <format dxfId="2216">
      <pivotArea dataOnly="0" labelOnly="1" fieldPosition="0">
        <references count="1">
          <reference field="1" count="8">
            <x v="158"/>
            <x v="159"/>
            <x v="162"/>
            <x v="163"/>
            <x v="164"/>
            <x v="165"/>
            <x v="166"/>
            <x v="169"/>
          </reference>
        </references>
      </pivotArea>
    </format>
    <format dxfId="2215">
      <pivotArea collapsedLevelsAreSubtotals="1" fieldPosition="0">
        <references count="1">
          <reference field="1" count="1">
            <x v="174"/>
          </reference>
        </references>
      </pivotArea>
    </format>
    <format dxfId="2214">
      <pivotArea dataOnly="0" labelOnly="1" fieldPosition="0">
        <references count="1">
          <reference field="1" count="1">
            <x v="174"/>
          </reference>
        </references>
      </pivotArea>
    </format>
    <format dxfId="2213">
      <pivotArea collapsedLevelsAreSubtotals="1" fieldPosition="0">
        <references count="1">
          <reference field="1" count="1">
            <x v="174"/>
          </reference>
        </references>
      </pivotArea>
    </format>
    <format dxfId="2212">
      <pivotArea collapsedLevelsAreSubtotals="1" fieldPosition="0">
        <references count="1">
          <reference field="1" count="1">
            <x v="175"/>
          </reference>
        </references>
      </pivotArea>
    </format>
    <format dxfId="2211">
      <pivotArea collapsedLevelsAreSubtotals="1" fieldPosition="0">
        <references count="1">
          <reference field="1" count="1">
            <x v="175"/>
          </reference>
        </references>
      </pivotArea>
    </format>
    <format dxfId="2210">
      <pivotArea collapsedLevelsAreSubtotals="1" fieldPosition="0">
        <references count="1">
          <reference field="1" count="1">
            <x v="175"/>
          </reference>
        </references>
      </pivotArea>
    </format>
    <format dxfId="2209">
      <pivotArea collapsedLevelsAreSubtotals="1" fieldPosition="0">
        <references count="1">
          <reference field="1" count="1">
            <x v="175"/>
          </reference>
        </references>
      </pivotArea>
    </format>
    <format dxfId="2208">
      <pivotArea collapsedLevelsAreSubtotals="1" fieldPosition="0">
        <references count="1">
          <reference field="1" count="1">
            <x v="175"/>
          </reference>
        </references>
      </pivotArea>
    </format>
    <format dxfId="2207">
      <pivotArea collapsedLevelsAreSubtotals="1" fieldPosition="0">
        <references count="1">
          <reference field="1" count="1">
            <x v="175"/>
          </reference>
        </references>
      </pivotArea>
    </format>
    <format dxfId="2206">
      <pivotArea collapsedLevelsAreSubtotals="1" fieldPosition="0">
        <references count="1">
          <reference field="1" count="1">
            <x v="190"/>
          </reference>
        </references>
      </pivotArea>
    </format>
    <format dxfId="2205">
      <pivotArea collapsedLevelsAreSubtotals="1" fieldPosition="0">
        <references count="1">
          <reference field="1" count="1">
            <x v="67"/>
          </reference>
        </references>
      </pivotArea>
    </format>
    <format dxfId="2204">
      <pivotArea collapsedLevelsAreSubtotals="1" fieldPosition="0">
        <references count="1">
          <reference field="1" count="1">
            <x v="188"/>
          </reference>
        </references>
      </pivotArea>
    </format>
    <format dxfId="2203">
      <pivotArea collapsedLevelsAreSubtotals="1" fieldPosition="0">
        <references count="1">
          <reference field="1" count="1">
            <x v="187"/>
          </reference>
        </references>
      </pivotArea>
    </format>
    <format dxfId="2202">
      <pivotArea collapsedLevelsAreSubtotals="1" fieldPosition="0">
        <references count="1">
          <reference field="1" count="1">
            <x v="189"/>
          </reference>
        </references>
      </pivotArea>
    </format>
    <format dxfId="2201">
      <pivotArea collapsedLevelsAreSubtotals="1" fieldPosition="0">
        <references count="1">
          <reference field="1" count="1">
            <x v="186"/>
          </reference>
        </references>
      </pivotArea>
    </format>
    <format dxfId="2200">
      <pivotArea collapsedLevelsAreSubtotals="1" fieldPosition="0">
        <references count="1">
          <reference field="1" count="1">
            <x v="191"/>
          </reference>
        </references>
      </pivotArea>
    </format>
    <format dxfId="2199">
      <pivotArea collapsedLevelsAreSubtotals="1" fieldPosition="0">
        <references count="1">
          <reference field="1" count="1">
            <x v="183"/>
          </reference>
        </references>
      </pivotArea>
    </format>
    <format dxfId="2198">
      <pivotArea dataOnly="0" labelOnly="1" fieldPosition="0">
        <references count="1">
          <reference field="1" count="8">
            <x v="67"/>
            <x v="183"/>
            <x v="186"/>
            <x v="187"/>
            <x v="188"/>
            <x v="189"/>
            <x v="190"/>
            <x v="191"/>
          </reference>
        </references>
      </pivotArea>
    </format>
    <format dxfId="2197">
      <pivotArea collapsedLevelsAreSubtotals="1" fieldPosition="0">
        <references count="1">
          <reference field="1" count="1">
            <x v="190"/>
          </reference>
        </references>
      </pivotArea>
    </format>
    <format dxfId="2196">
      <pivotArea collapsedLevelsAreSubtotals="1" fieldPosition="0">
        <references count="1">
          <reference field="1" count="1">
            <x v="67"/>
          </reference>
        </references>
      </pivotArea>
    </format>
    <format dxfId="2195">
      <pivotArea collapsedLevelsAreSubtotals="1" fieldPosition="0">
        <references count="1">
          <reference field="1" count="1">
            <x v="188"/>
          </reference>
        </references>
      </pivotArea>
    </format>
    <format dxfId="2194">
      <pivotArea collapsedLevelsAreSubtotals="1" fieldPosition="0">
        <references count="1">
          <reference field="1" count="1">
            <x v="187"/>
          </reference>
        </references>
      </pivotArea>
    </format>
    <format dxfId="2193">
      <pivotArea collapsedLevelsAreSubtotals="1" fieldPosition="0">
        <references count="1">
          <reference field="1" count="1">
            <x v="189"/>
          </reference>
        </references>
      </pivotArea>
    </format>
    <format dxfId="2192">
      <pivotArea collapsedLevelsAreSubtotals="1" fieldPosition="0">
        <references count="1">
          <reference field="1" count="1">
            <x v="186"/>
          </reference>
        </references>
      </pivotArea>
    </format>
    <format dxfId="2191">
      <pivotArea collapsedLevelsAreSubtotals="1" fieldPosition="0">
        <references count="1">
          <reference field="1" count="1">
            <x v="191"/>
          </reference>
        </references>
      </pivotArea>
    </format>
    <format dxfId="2190">
      <pivotArea collapsedLevelsAreSubtotals="1" fieldPosition="0">
        <references count="1">
          <reference field="1" count="1">
            <x v="183"/>
          </reference>
        </references>
      </pivotArea>
    </format>
    <format dxfId="2189">
      <pivotArea dataOnly="0" labelOnly="1" fieldPosition="0">
        <references count="1">
          <reference field="1" count="8">
            <x v="67"/>
            <x v="183"/>
            <x v="186"/>
            <x v="187"/>
            <x v="188"/>
            <x v="189"/>
            <x v="190"/>
            <x v="191"/>
          </reference>
        </references>
      </pivotArea>
    </format>
    <format dxfId="2188">
      <pivotArea collapsedLevelsAreSubtotals="1" fieldPosition="0">
        <references count="1">
          <reference field="1" count="1">
            <x v="190"/>
          </reference>
        </references>
      </pivotArea>
    </format>
    <format dxfId="2187">
      <pivotArea collapsedLevelsAreSubtotals="1" fieldPosition="0">
        <references count="1">
          <reference field="1" count="1">
            <x v="67"/>
          </reference>
        </references>
      </pivotArea>
    </format>
    <format dxfId="2186">
      <pivotArea collapsedLevelsAreSubtotals="1" fieldPosition="0">
        <references count="1">
          <reference field="1" count="1">
            <x v="188"/>
          </reference>
        </references>
      </pivotArea>
    </format>
    <format dxfId="2185">
      <pivotArea collapsedLevelsAreSubtotals="1" fieldPosition="0">
        <references count="1">
          <reference field="1" count="1">
            <x v="187"/>
          </reference>
        </references>
      </pivotArea>
    </format>
    <format dxfId="2184">
      <pivotArea collapsedLevelsAreSubtotals="1" fieldPosition="0">
        <references count="1">
          <reference field="1" count="1">
            <x v="189"/>
          </reference>
        </references>
      </pivotArea>
    </format>
    <format dxfId="2183">
      <pivotArea collapsedLevelsAreSubtotals="1" fieldPosition="0">
        <references count="1">
          <reference field="1" count="1">
            <x v="186"/>
          </reference>
        </references>
      </pivotArea>
    </format>
    <format dxfId="2182">
      <pivotArea collapsedLevelsAreSubtotals="1" fieldPosition="0">
        <references count="1">
          <reference field="1" count="1">
            <x v="191"/>
          </reference>
        </references>
      </pivotArea>
    </format>
    <format dxfId="2181">
      <pivotArea collapsedLevelsAreSubtotals="1" fieldPosition="0">
        <references count="1">
          <reference field="1" count="1">
            <x v="183"/>
          </reference>
        </references>
      </pivotArea>
    </format>
    <format dxfId="2180">
      <pivotArea dataOnly="0" labelOnly="1" fieldPosition="0">
        <references count="1">
          <reference field="1" count="8">
            <x v="67"/>
            <x v="183"/>
            <x v="186"/>
            <x v="187"/>
            <x v="188"/>
            <x v="189"/>
            <x v="190"/>
            <x v="191"/>
          </reference>
        </references>
      </pivotArea>
    </format>
    <format dxfId="2179">
      <pivotArea collapsedLevelsAreSubtotals="1" fieldPosition="0">
        <references count="1">
          <reference field="1" count="1">
            <x v="175"/>
          </reference>
        </references>
      </pivotArea>
    </format>
    <format dxfId="2178">
      <pivotArea collapsedLevelsAreSubtotals="1" fieldPosition="0">
        <references count="1">
          <reference field="1" count="1">
            <x v="176"/>
          </reference>
        </references>
      </pivotArea>
    </format>
    <format dxfId="2177">
      <pivotArea collapsedLevelsAreSubtotals="1" fieldPosition="0">
        <references count="1">
          <reference field="1" count="1">
            <x v="177"/>
          </reference>
        </references>
      </pivotArea>
    </format>
    <format dxfId="2176">
      <pivotArea collapsedLevelsAreSubtotals="1" fieldPosition="0">
        <references count="1">
          <reference field="1" count="1">
            <x v="175"/>
          </reference>
        </references>
      </pivotArea>
    </format>
    <format dxfId="2175">
      <pivotArea collapsedLevelsAreSubtotals="1" fieldPosition="0">
        <references count="1">
          <reference field="1" count="1">
            <x v="175"/>
          </reference>
        </references>
      </pivotArea>
    </format>
    <format dxfId="2174">
      <pivotArea collapsedLevelsAreSubtotals="1" fieldPosition="0">
        <references count="1">
          <reference field="1" count="1">
            <x v="175"/>
          </reference>
        </references>
      </pivotArea>
    </format>
    <format dxfId="2173">
      <pivotArea collapsedLevelsAreSubtotals="1" fieldPosition="0">
        <references count="1">
          <reference field="1" count="1">
            <x v="175"/>
          </reference>
        </references>
      </pivotArea>
    </format>
    <format dxfId="2172">
      <pivotArea collapsedLevelsAreSubtotals="1" fieldPosition="0">
        <references count="1">
          <reference field="1" count="1">
            <x v="176"/>
          </reference>
        </references>
      </pivotArea>
    </format>
    <format dxfId="2171">
      <pivotArea collapsedLevelsAreSubtotals="1" fieldPosition="0">
        <references count="1">
          <reference field="1" count="1">
            <x v="177"/>
          </reference>
        </references>
      </pivotArea>
    </format>
    <format dxfId="2170">
      <pivotArea collapsedLevelsAreSubtotals="1" fieldPosition="0">
        <references count="1">
          <reference field="1" count="1">
            <x v="178"/>
          </reference>
        </references>
      </pivotArea>
    </format>
    <format dxfId="2169">
      <pivotArea collapsedLevelsAreSubtotals="1" fieldPosition="0">
        <references count="1">
          <reference field="1" count="1">
            <x v="179"/>
          </reference>
        </references>
      </pivotArea>
    </format>
    <format dxfId="2168">
      <pivotArea dataOnly="0" labelOnly="1" fieldPosition="0">
        <references count="1">
          <reference field="1" count="17">
            <x v="39"/>
            <x v="40"/>
            <x v="45"/>
            <x v="46"/>
            <x v="47"/>
            <x v="48"/>
            <x v="49"/>
            <x v="50"/>
            <x v="51"/>
            <x v="52"/>
            <x v="53"/>
            <x v="54"/>
            <x v="55"/>
            <x v="56"/>
            <x v="57"/>
            <x v="59"/>
            <x v="61"/>
          </reference>
        </references>
      </pivotArea>
    </format>
    <format dxfId="2167">
      <pivotArea outline="0" collapsedLevelsAreSubtotals="1" fieldPosition="0"/>
    </format>
    <format dxfId="2166">
      <pivotArea dataOnly="0" labelOnly="1" fieldPosition="0">
        <references count="1">
          <reference field="1" count="21">
            <x v="33"/>
            <x v="35"/>
            <x v="36"/>
            <x v="42"/>
            <x v="44"/>
            <x v="48"/>
            <x v="49"/>
            <x v="51"/>
            <x v="52"/>
            <x v="53"/>
            <x v="54"/>
            <x v="55"/>
            <x v="56"/>
            <x v="57"/>
            <x v="59"/>
            <x v="62"/>
            <x v="68"/>
            <x v="110"/>
            <x v="124"/>
            <x v="126"/>
            <x v="133"/>
          </reference>
        </references>
      </pivotArea>
    </format>
    <format dxfId="2165">
      <pivotArea outline="0" collapsedLevelsAreSubtotals="1" fieldPosition="0"/>
    </format>
    <format dxfId="2164">
      <pivotArea type="all" dataOnly="0" outline="0" fieldPosition="0"/>
    </format>
    <format dxfId="2163">
      <pivotArea outline="0" collapsedLevelsAreSubtotals="1" fieldPosition="0"/>
    </format>
    <format dxfId="2162">
      <pivotArea field="1" type="button" dataOnly="0" labelOnly="1" outline="0" axis="axisRow" fieldPosition="0"/>
    </format>
    <format dxfId="2161">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2160">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2159">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2158">
      <pivotArea dataOnly="0" labelOnly="1" grandRow="1" outline="0" fieldPosition="0"/>
    </format>
    <format dxfId="2157">
      <pivotArea dataOnly="0" labelOnly="1" fieldPosition="0">
        <references count="2">
          <reference field="1" count="1" selected="0">
            <x v="34"/>
          </reference>
          <reference field="2" count="7">
            <x v="311"/>
            <x v="326"/>
            <x v="415"/>
            <x v="418"/>
            <x v="446"/>
            <x v="648"/>
            <x v="788"/>
          </reference>
        </references>
      </pivotArea>
    </format>
    <format dxfId="2156">
      <pivotArea dataOnly="0" labelOnly="1" outline="0" fieldPosition="0">
        <references count="1">
          <reference field="4294967294" count="3">
            <x v="0"/>
            <x v="1"/>
            <x v="2"/>
          </reference>
        </references>
      </pivotArea>
    </format>
    <format dxfId="2155">
      <pivotArea type="all" dataOnly="0" outline="0" fieldPosition="0"/>
    </format>
    <format dxfId="2154">
      <pivotArea outline="0" collapsedLevelsAreSubtotals="1" fieldPosition="0"/>
    </format>
    <format dxfId="2153">
      <pivotArea field="1" type="button" dataOnly="0" labelOnly="1" outline="0" axis="axisRow" fieldPosition="0"/>
    </format>
    <format dxfId="2152">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2151">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2150">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2149">
      <pivotArea dataOnly="0" labelOnly="1" grandRow="1" outline="0" fieldPosition="0"/>
    </format>
    <format dxfId="2148">
      <pivotArea dataOnly="0" labelOnly="1" fieldPosition="0">
        <references count="2">
          <reference field="1" count="1" selected="0">
            <x v="34"/>
          </reference>
          <reference field="2" count="7">
            <x v="311"/>
            <x v="326"/>
            <x v="415"/>
            <x v="418"/>
            <x v="446"/>
            <x v="648"/>
            <x v="788"/>
          </reference>
        </references>
      </pivotArea>
    </format>
    <format dxfId="2147">
      <pivotArea dataOnly="0" labelOnly="1" outline="0" fieldPosition="0">
        <references count="1">
          <reference field="4294967294" count="3">
            <x v="0"/>
            <x v="1"/>
            <x v="2"/>
          </reference>
        </references>
      </pivotArea>
    </format>
    <format dxfId="2146">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2145">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2144">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2143">
      <pivotArea outline="0" collapsedLevelsAreSubtotals="1" fieldPosition="0"/>
    </format>
    <format dxfId="2142">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2141">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2140">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2139">
      <pivotArea dataOnly="0" labelOnly="1" grandRow="1" outline="0" fieldPosition="0"/>
    </format>
    <format dxfId="2138">
      <pivotArea collapsedLevelsAreSubtotals="1" fieldPosition="0">
        <references count="1">
          <reference field="1" count="1">
            <x v="34"/>
          </reference>
        </references>
      </pivotArea>
    </format>
    <format dxfId="2137">
      <pivotArea collapsedLevelsAreSubtotals="1" fieldPosition="0">
        <references count="1">
          <reference field="1" count="1">
            <x v="35"/>
          </reference>
        </references>
      </pivotArea>
    </format>
    <format dxfId="2136">
      <pivotArea collapsedLevelsAreSubtotals="1" fieldPosition="0">
        <references count="1">
          <reference field="1" count="1">
            <x v="36"/>
          </reference>
        </references>
      </pivotArea>
    </format>
    <format dxfId="2135">
      <pivotArea dataOnly="0" labelOnly="1" fieldPosition="0">
        <references count="1">
          <reference field="1" count="3">
            <x v="34"/>
            <x v="35"/>
            <x v="36"/>
          </reference>
        </references>
      </pivotArea>
    </format>
    <format dxfId="2134">
      <pivotArea collapsedLevelsAreSubtotals="1" fieldPosition="0">
        <references count="1">
          <reference field="1" count="1">
            <x v="33"/>
          </reference>
        </references>
      </pivotArea>
    </format>
    <format dxfId="2133">
      <pivotArea dataOnly="0" labelOnly="1" fieldPosition="0">
        <references count="1">
          <reference field="1" count="1">
            <x v="33"/>
          </reference>
        </references>
      </pivotArea>
    </format>
    <format dxfId="2132">
      <pivotArea collapsedLevelsAreSubtotals="1" fieldPosition="0">
        <references count="1">
          <reference field="1" count="1">
            <x v="32"/>
          </reference>
        </references>
      </pivotArea>
    </format>
    <format dxfId="2131">
      <pivotArea dataOnly="0" labelOnly="1" fieldPosition="0">
        <references count="1">
          <reference field="1" count="1">
            <x v="32"/>
          </reference>
        </references>
      </pivotArea>
    </format>
    <format dxfId="2130">
      <pivotArea collapsedLevelsAreSubtotals="1" fieldPosition="0">
        <references count="1">
          <reference field="1" count="1">
            <x v="32"/>
          </reference>
        </references>
      </pivotArea>
    </format>
    <format dxfId="2129">
      <pivotArea dataOnly="0" labelOnly="1" fieldPosition="0">
        <references count="1">
          <reference field="1" count="1">
            <x v="32"/>
          </reference>
        </references>
      </pivotArea>
    </format>
    <format dxfId="2128">
      <pivotArea dataOnly="0" labelOnly="1" fieldPosition="0">
        <references count="1">
          <reference field="1" count="1">
            <x v="31"/>
          </reference>
        </references>
      </pivotArea>
    </format>
    <format dxfId="2127">
      <pivotArea dataOnly="0" labelOnly="1" fieldPosition="0">
        <references count="1">
          <reference field="1" count="1">
            <x v="30"/>
          </reference>
        </references>
      </pivotArea>
    </format>
    <format dxfId="2126">
      <pivotArea collapsedLevelsAreSubtotals="1" fieldPosition="0">
        <references count="1">
          <reference field="1" count="1">
            <x v="30"/>
          </reference>
        </references>
      </pivotArea>
    </format>
    <format dxfId="2125">
      <pivotArea collapsedLevelsAreSubtotals="1" fieldPosition="0">
        <references count="1">
          <reference field="1" count="1">
            <x v="31"/>
          </reference>
        </references>
      </pivotArea>
    </format>
    <format dxfId="2124">
      <pivotArea collapsedLevelsAreSubtotals="1" fieldPosition="0">
        <references count="1">
          <reference field="1" count="1">
            <x v="28"/>
          </reference>
        </references>
      </pivotArea>
    </format>
    <format dxfId="2123">
      <pivotArea collapsedLevelsAreSubtotals="1" fieldPosition="0">
        <references count="1">
          <reference field="1" count="1">
            <x v="29"/>
          </reference>
        </references>
      </pivotArea>
    </format>
    <format dxfId="2122">
      <pivotArea dataOnly="0" labelOnly="1" fieldPosition="0">
        <references count="1">
          <reference field="1" count="2">
            <x v="28"/>
            <x v="29"/>
          </reference>
        </references>
      </pivotArea>
    </format>
    <format dxfId="2121">
      <pivotArea dataOnly="0" labelOnly="1" fieldPosition="0">
        <references count="1">
          <reference field="1" count="2">
            <x v="193"/>
            <x v="194"/>
          </reference>
        </references>
      </pivotArea>
    </format>
    <format dxfId="2120">
      <pivotArea dataOnly="0" labelOnly="1" fieldPosition="0">
        <references count="1">
          <reference field="1" count="3">
            <x v="25"/>
            <x v="26"/>
            <x v="27"/>
          </reference>
        </references>
      </pivotArea>
    </format>
    <format dxfId="2119">
      <pivotArea collapsedLevelsAreSubtotals="1" fieldPosition="0">
        <references count="1">
          <reference field="1" count="1">
            <x v="25"/>
          </reference>
        </references>
      </pivotArea>
    </format>
    <format dxfId="2118">
      <pivotArea collapsedLevelsAreSubtotals="1" fieldPosition="0">
        <references count="1">
          <reference field="1" count="1">
            <x v="26"/>
          </reference>
        </references>
      </pivotArea>
    </format>
    <format dxfId="2117">
      <pivotArea collapsedLevelsAreSubtotals="1" fieldPosition="0">
        <references count="1">
          <reference field="1" count="1">
            <x v="27"/>
          </reference>
        </references>
      </pivotArea>
    </format>
    <format dxfId="2116">
      <pivotArea collapsedLevelsAreSubtotals="1" fieldPosition="0">
        <references count="1">
          <reference field="1" count="1">
            <x v="23"/>
          </reference>
        </references>
      </pivotArea>
    </format>
    <format dxfId="2115">
      <pivotArea collapsedLevelsAreSubtotals="1" fieldPosition="0">
        <references count="1">
          <reference field="1" count="1">
            <x v="24"/>
          </reference>
        </references>
      </pivotArea>
    </format>
    <format dxfId="2114">
      <pivotArea dataOnly="0" labelOnly="1" fieldPosition="0">
        <references count="1">
          <reference field="1" count="2">
            <x v="23"/>
            <x v="24"/>
          </reference>
        </references>
      </pivotArea>
    </format>
    <format dxfId="2113">
      <pivotArea collapsedLevelsAreSubtotals="1" fieldPosition="0">
        <references count="1">
          <reference field="1" count="1">
            <x v="21"/>
          </reference>
        </references>
      </pivotArea>
    </format>
    <format dxfId="2112">
      <pivotArea collapsedLevelsAreSubtotals="1" fieldPosition="0">
        <references count="1">
          <reference field="1" count="1">
            <x v="22"/>
          </reference>
        </references>
      </pivotArea>
    </format>
    <format dxfId="2111">
      <pivotArea dataOnly="0" labelOnly="1" fieldPosition="0">
        <references count="1">
          <reference field="1" count="2">
            <x v="21"/>
            <x v="22"/>
          </reference>
        </references>
      </pivotArea>
    </format>
    <format dxfId="2110">
      <pivotArea collapsedLevelsAreSubtotals="1" fieldPosition="0">
        <references count="1">
          <reference field="1" count="1">
            <x v="20"/>
          </reference>
        </references>
      </pivotArea>
    </format>
    <format dxfId="2109">
      <pivotArea dataOnly="0" labelOnly="1" fieldPosition="0">
        <references count="1">
          <reference field="1" count="1">
            <x v="20"/>
          </reference>
        </references>
      </pivotArea>
    </format>
    <format dxfId="2108">
      <pivotArea collapsedLevelsAreSubtotals="1" fieldPosition="0">
        <references count="1">
          <reference field="1" count="1">
            <x v="19"/>
          </reference>
        </references>
      </pivotArea>
    </format>
    <format dxfId="2107">
      <pivotArea dataOnly="0" labelOnly="1" fieldPosition="0">
        <references count="1">
          <reference field="1" count="1">
            <x v="19"/>
          </reference>
        </references>
      </pivotArea>
    </format>
    <format dxfId="2106">
      <pivotArea collapsedLevelsAreSubtotals="1" fieldPosition="0">
        <references count="1">
          <reference field="1" count="1">
            <x v="17"/>
          </reference>
        </references>
      </pivotArea>
    </format>
    <format dxfId="2105">
      <pivotArea collapsedLevelsAreSubtotals="1" fieldPosition="0">
        <references count="1">
          <reference field="1" count="1">
            <x v="18"/>
          </reference>
        </references>
      </pivotArea>
    </format>
    <format dxfId="2104">
      <pivotArea dataOnly="0" labelOnly="1" fieldPosition="0">
        <references count="1">
          <reference field="1" count="2">
            <x v="17"/>
            <x v="18"/>
          </reference>
        </references>
      </pivotArea>
    </format>
    <format dxfId="2103">
      <pivotArea collapsedLevelsAreSubtotals="1" fieldPosition="0">
        <references count="1">
          <reference field="1" count="1">
            <x v="16"/>
          </reference>
        </references>
      </pivotArea>
    </format>
    <format dxfId="2102">
      <pivotArea dataOnly="0" labelOnly="1" fieldPosition="0">
        <references count="1">
          <reference field="1" count="1">
            <x v="16"/>
          </reference>
        </references>
      </pivotArea>
    </format>
    <format dxfId="2101">
      <pivotArea collapsedLevelsAreSubtotals="1" fieldPosition="0">
        <references count="1">
          <reference field="1" count="1">
            <x v="15"/>
          </reference>
        </references>
      </pivotArea>
    </format>
    <format dxfId="2100">
      <pivotArea dataOnly="0" labelOnly="1" fieldPosition="0">
        <references count="1">
          <reference field="1" count="1">
            <x v="15"/>
          </reference>
        </references>
      </pivotArea>
    </format>
    <format dxfId="2099">
      <pivotArea collapsedLevelsAreSubtotals="1" fieldPosition="0">
        <references count="1">
          <reference field="1" count="1">
            <x v="13"/>
          </reference>
        </references>
      </pivotArea>
    </format>
    <format dxfId="2098">
      <pivotArea collapsedLevelsAreSubtotals="1" fieldPosition="0">
        <references count="1">
          <reference field="1" count="1">
            <x v="14"/>
          </reference>
        </references>
      </pivotArea>
    </format>
    <format dxfId="2097">
      <pivotArea dataOnly="0" labelOnly="1" fieldPosition="0">
        <references count="1">
          <reference field="1" count="2">
            <x v="13"/>
            <x v="14"/>
          </reference>
        </references>
      </pivotArea>
    </format>
    <format dxfId="2096">
      <pivotArea collapsedLevelsAreSubtotals="1" fieldPosition="0">
        <references count="1">
          <reference field="1" count="1">
            <x v="12"/>
          </reference>
        </references>
      </pivotArea>
    </format>
    <format dxfId="2095">
      <pivotArea dataOnly="0" labelOnly="1" fieldPosition="0">
        <references count="1">
          <reference field="1" count="1">
            <x v="12"/>
          </reference>
        </references>
      </pivotArea>
    </format>
    <format dxfId="2094">
      <pivotArea collapsedLevelsAreSubtotals="1" fieldPosition="0">
        <references count="1">
          <reference field="1" count="1">
            <x v="197"/>
          </reference>
        </references>
      </pivotArea>
    </format>
    <format dxfId="2093">
      <pivotArea collapsedLevelsAreSubtotals="1" fieldPosition="0">
        <references count="1">
          <reference field="1" count="1">
            <x v="9"/>
          </reference>
        </references>
      </pivotArea>
    </format>
    <format dxfId="2092">
      <pivotArea collapsedLevelsAreSubtotals="1" fieldPosition="0">
        <references count="1">
          <reference field="1" count="1">
            <x v="207"/>
          </reference>
        </references>
      </pivotArea>
    </format>
    <format dxfId="2091">
      <pivotArea dataOnly="0" labelOnly="1" fieldPosition="0">
        <references count="1">
          <reference field="1" count="3">
            <x v="9"/>
            <x v="197"/>
            <x v="207"/>
          </reference>
        </references>
      </pivotArea>
    </format>
    <format dxfId="2090">
      <pivotArea collapsedLevelsAreSubtotals="1" fieldPosition="0">
        <references count="1">
          <reference field="1" count="1">
            <x v="11"/>
          </reference>
        </references>
      </pivotArea>
    </format>
    <format dxfId="2089">
      <pivotArea dataOnly="0" labelOnly="1" fieldPosition="0">
        <references count="1">
          <reference field="1" count="1">
            <x v="11"/>
          </reference>
        </references>
      </pivotArea>
    </format>
    <format dxfId="2088">
      <pivotArea collapsedLevelsAreSubtotals="1" fieldPosition="0">
        <references count="1">
          <reference field="1" count="1">
            <x v="9"/>
          </reference>
        </references>
      </pivotArea>
    </format>
    <format dxfId="2087">
      <pivotArea collapsedLevelsAreSubtotals="1" fieldPosition="0">
        <references count="1">
          <reference field="1" count="1">
            <x v="10"/>
          </reference>
        </references>
      </pivotArea>
    </format>
    <format dxfId="2086">
      <pivotArea dataOnly="0" labelOnly="1" fieldPosition="0">
        <references count="1">
          <reference field="1" count="2">
            <x v="9"/>
            <x v="10"/>
          </reference>
        </references>
      </pivotArea>
    </format>
    <format dxfId="2085">
      <pivotArea dataOnly="0" labelOnly="1" fieldPosition="0">
        <references count="1">
          <reference field="1" count="1">
            <x v="10"/>
          </reference>
        </references>
      </pivotArea>
    </format>
    <format dxfId="2084">
      <pivotArea collapsedLevelsAreSubtotals="1" fieldPosition="0">
        <references count="1">
          <reference field="1" count="1">
            <x v="8"/>
          </reference>
        </references>
      </pivotArea>
    </format>
    <format dxfId="2083">
      <pivotArea dataOnly="0" labelOnly="1" fieldPosition="0">
        <references count="1">
          <reference field="1" count="1">
            <x v="8"/>
          </reference>
        </references>
      </pivotArea>
    </format>
    <format dxfId="2082">
      <pivotArea collapsedLevelsAreSubtotals="1" fieldPosition="0">
        <references count="1">
          <reference field="1" count="1">
            <x v="6"/>
          </reference>
        </references>
      </pivotArea>
    </format>
    <format dxfId="2081">
      <pivotArea dataOnly="0" labelOnly="1" fieldPosition="0">
        <references count="1">
          <reference field="1" count="1">
            <x v="6"/>
          </reference>
        </references>
      </pivotArea>
    </format>
    <format dxfId="2080">
      <pivotArea collapsedLevelsAreSubtotals="1" fieldPosition="0">
        <references count="1">
          <reference field="1" count="1">
            <x v="7"/>
          </reference>
        </references>
      </pivotArea>
    </format>
    <format dxfId="2079">
      <pivotArea dataOnly="0" labelOnly="1" fieldPosition="0">
        <references count="1">
          <reference field="1" count="1">
            <x v="7"/>
          </reference>
        </references>
      </pivotArea>
    </format>
    <format dxfId="2078">
      <pivotArea dataOnly="0" labelOnly="1" fieldPosition="0">
        <references count="1">
          <reference field="1" count="1">
            <x v="5"/>
          </reference>
        </references>
      </pivotArea>
    </format>
    <format dxfId="2077">
      <pivotArea collapsedLevelsAreSubtotals="1" fieldPosition="0">
        <references count="1">
          <reference field="1" count="1">
            <x v="5"/>
          </reference>
        </references>
      </pivotArea>
    </format>
    <format dxfId="2076">
      <pivotArea collapsedLevelsAreSubtotals="1" fieldPosition="0">
        <references count="1">
          <reference field="1" count="1">
            <x v="6"/>
          </reference>
        </references>
      </pivotArea>
    </format>
    <format dxfId="2075">
      <pivotArea dataOnly="0" labelOnly="1" fieldPosition="0">
        <references count="1">
          <reference field="1" count="2">
            <x v="5"/>
            <x v="6"/>
          </reference>
        </references>
      </pivotArea>
    </format>
    <format dxfId="2074">
      <pivotArea collapsedLevelsAreSubtotals="1" fieldPosition="0">
        <references count="1">
          <reference field="1" count="1">
            <x v="4"/>
          </reference>
        </references>
      </pivotArea>
    </format>
    <format dxfId="2073">
      <pivotArea dataOnly="0" labelOnly="1" fieldPosition="0">
        <references count="1">
          <reference field="1" count="1">
            <x v="4"/>
          </reference>
        </references>
      </pivotArea>
    </format>
    <format dxfId="2072">
      <pivotArea collapsedLevelsAreSubtotals="1" fieldPosition="0">
        <references count="1">
          <reference field="1" count="1">
            <x v="2"/>
          </reference>
        </references>
      </pivotArea>
    </format>
    <format dxfId="2071">
      <pivotArea collapsedLevelsAreSubtotals="1" fieldPosition="0">
        <references count="1">
          <reference field="1" count="1">
            <x v="3"/>
          </reference>
        </references>
      </pivotArea>
    </format>
    <format dxfId="2070">
      <pivotArea dataOnly="0" labelOnly="1" fieldPosition="0">
        <references count="1">
          <reference field="1" count="2">
            <x v="2"/>
            <x v="3"/>
          </reference>
        </references>
      </pivotArea>
    </format>
    <format dxfId="2069">
      <pivotArea collapsedLevelsAreSubtotals="1" fieldPosition="0">
        <references count="1">
          <reference field="1" count="1">
            <x v="1"/>
          </reference>
        </references>
      </pivotArea>
    </format>
    <format dxfId="2068">
      <pivotArea dataOnly="0" labelOnly="1" fieldPosition="0">
        <references count="1">
          <reference field="1" count="1">
            <x v="1"/>
          </reference>
        </references>
      </pivotArea>
    </format>
    <format dxfId="2067">
      <pivotArea collapsedLevelsAreSubtotals="1" fieldPosition="0">
        <references count="1">
          <reference field="1" count="1">
            <x v="0"/>
          </reference>
        </references>
      </pivotArea>
    </format>
    <format dxfId="20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8"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5" firstHeaderRow="0" firstDataRow="1" firstDataCol="1" rowPageCount="1" colPageCount="1"/>
  <pivotFields count="8">
    <pivotField axis="axisPage" showAll="0">
      <items count="128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3"/>
        <item m="1" x="1244"/>
        <item m="1" x="1268"/>
        <item x="247"/>
        <item x="235"/>
        <item x="233"/>
        <item x="234"/>
        <item x="236"/>
        <item x="237"/>
        <item x="214"/>
        <item x="238"/>
        <item x="239"/>
        <item x="240"/>
        <item x="241"/>
        <item x="242"/>
        <item x="248"/>
        <item x="249"/>
        <item x="250"/>
        <item x="251"/>
        <item x="263"/>
        <item x="252"/>
        <item x="253"/>
        <item x="254"/>
        <item x="255"/>
        <item x="256"/>
        <item m="1" x="1269"/>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4"/>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57"/>
        <item x="326"/>
        <item x="327"/>
        <item x="328"/>
        <item x="329"/>
        <item x="330"/>
        <item x="331"/>
        <item x="161"/>
        <item x="333"/>
        <item x="334"/>
        <item x="335"/>
        <item x="336"/>
        <item x="337"/>
        <item x="338"/>
        <item x="339"/>
        <item x="340"/>
        <item x="419"/>
        <item x="341"/>
        <item x="342"/>
        <item x="343"/>
        <item x="344"/>
        <item x="345"/>
        <item m="1" x="1262"/>
        <item x="347"/>
        <item x="346"/>
        <item x="348"/>
        <item m="1" x="1253"/>
        <item x="356"/>
        <item x="353"/>
        <item x="352"/>
        <item m="1" x="1275"/>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6"/>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3"/>
        <item m="1" x="1264"/>
        <item x="420"/>
        <item x="422"/>
        <item x="423"/>
        <item x="428"/>
        <item x="431"/>
        <item x="424"/>
        <item x="425"/>
        <item x="426"/>
        <item x="427"/>
        <item x="429"/>
        <item x="430"/>
        <item x="432"/>
        <item x="433"/>
        <item x="434"/>
        <item x="435"/>
        <item m="1" x="1270"/>
        <item m="1" x="1265"/>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77"/>
        <item x="472"/>
        <item m="1" x="1248"/>
        <item x="473"/>
        <item x="474"/>
        <item x="476"/>
        <item m="1" x="1271"/>
        <item x="475"/>
        <item x="477"/>
        <item x="478"/>
        <item x="479"/>
        <item x="480"/>
        <item x="481"/>
        <item x="482"/>
        <item x="483"/>
        <item x="484"/>
        <item x="485"/>
        <item x="486"/>
        <item x="487"/>
        <item x="488"/>
        <item x="489"/>
        <item x="490"/>
        <item x="491"/>
        <item x="492"/>
        <item x="493"/>
        <item x="494"/>
        <item x="495"/>
        <item x="496"/>
        <item x="497"/>
        <item x="498"/>
        <item x="499"/>
        <item m="1" x="1259"/>
        <item x="500"/>
        <item x="501"/>
        <item x="502"/>
        <item m="1" x="1258"/>
        <item x="503"/>
        <item m="1" x="1261"/>
        <item x="504"/>
        <item m="1" x="1273"/>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67"/>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0"/>
        <item x="769"/>
        <item x="768"/>
        <item x="770"/>
        <item x="771"/>
        <item x="772"/>
        <item x="773"/>
        <item x="774"/>
        <item x="775"/>
        <item x="776"/>
        <item x="777"/>
        <item x="778"/>
        <item x="779"/>
        <item x="780"/>
        <item x="781"/>
        <item x="782"/>
        <item x="783"/>
        <item x="784"/>
        <item m="1" x="1252"/>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6"/>
        <item m="1" x="1246"/>
        <item x="823"/>
        <item x="824"/>
        <item x="825"/>
        <item m="1" x="1255"/>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47"/>
        <item x="861"/>
        <item m="1" x="1245"/>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1"/>
        <item x="914"/>
        <item x="909"/>
        <item m="1" x="1249"/>
        <item x="922"/>
        <item m="1" x="1274"/>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2"/>
        <item x="939"/>
        <item m="1" x="1260"/>
        <item x="934"/>
        <item x="923"/>
        <item x="941"/>
        <item x="944"/>
        <item x="952"/>
        <item x="951"/>
        <item x="953"/>
        <item x="950"/>
        <item x="945"/>
        <item x="955"/>
        <item x="954"/>
        <item x="949"/>
        <item m="1" x="1276"/>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78"/>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t="default"/>
      </items>
    </pivotField>
    <pivotField axis="axisRow" showAll="0">
      <items count="140">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3"/>
        <item x="48"/>
        <item x="43"/>
        <item x="45"/>
        <item x="47"/>
        <item x="50"/>
        <item x="53"/>
        <item x="51"/>
        <item x="28"/>
        <item x="55"/>
        <item x="54"/>
        <item x="56"/>
        <item x="57"/>
        <item x="58"/>
        <item x="59"/>
        <item x="60"/>
        <item x="61"/>
        <item x="62"/>
        <item x="63"/>
        <item x="64"/>
        <item x="65"/>
        <item x="66"/>
        <item x="67"/>
        <item x="68"/>
        <item x="69"/>
        <item x="70"/>
        <item m="1" x="127"/>
        <item x="72"/>
        <item x="73"/>
        <item x="74"/>
        <item x="75"/>
        <item x="76"/>
        <item x="77"/>
        <item m="1" x="130"/>
        <item m="1" x="138"/>
        <item m="1" x="132"/>
        <item x="82"/>
        <item x="80"/>
        <item x="81"/>
        <item x="78"/>
        <item x="79"/>
        <item x="71"/>
        <item x="83"/>
        <item x="84"/>
        <item m="1" x="129"/>
        <item x="85"/>
        <item x="86"/>
        <item m="1" x="131"/>
        <item sd="0" x="87"/>
        <item sd="0" x="90"/>
        <item x="88"/>
        <item x="89"/>
        <item x="91"/>
        <item x="92"/>
        <item x="94"/>
        <item x="95"/>
        <item x="96"/>
        <item x="97"/>
        <item x="98"/>
        <item x="99"/>
        <item x="100"/>
        <item m="1" x="135"/>
        <item m="1" x="136"/>
        <item m="1" x="126"/>
        <item x="101"/>
        <item x="104"/>
        <item m="1" x="134"/>
        <item x="105"/>
        <item x="107"/>
        <item x="108"/>
        <item x="93"/>
        <item x="106"/>
        <item x="109"/>
        <item x="111"/>
        <item m="1" x="137"/>
        <item x="110"/>
        <item x="114"/>
        <item m="1" x="128"/>
        <item x="115"/>
        <item x="102"/>
        <item x="103"/>
        <item x="116"/>
        <item x="113"/>
        <item x="112"/>
        <item x="117"/>
        <item x="118"/>
        <item x="120"/>
        <item x="121"/>
        <item x="119"/>
        <item x="122"/>
        <item x="123"/>
        <item x="124"/>
        <item x="125"/>
        <item t="default"/>
      </items>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3"/>
        <item sd="0" x="26"/>
        <item sd="0" x="27"/>
        <item sd="0" m="1" x="64"/>
        <item sd="0" m="1" x="72"/>
        <item sd="0" x="28"/>
        <item sd="0" x="29"/>
        <item sd="0" m="1" x="62"/>
        <item sd="0" x="30"/>
        <item sd="0" x="33"/>
        <item sd="0" x="34"/>
        <item sd="0" x="37"/>
        <item sd="0" x="36"/>
        <item sd="0" m="1" x="66"/>
        <item sd="0" m="1" x="61"/>
        <item sd="0" m="1" x="68"/>
        <item sd="0" x="40"/>
        <item sd="0" x="38"/>
        <item sd="0" x="41"/>
        <item sd="0" m="1" x="60"/>
        <item sd="0" x="42"/>
        <item sd="0" x="43"/>
        <item sd="0" x="45"/>
        <item sd="0" x="46"/>
        <item sd="0" x="44"/>
        <item sd="0" x="39"/>
        <item sd="0" x="47"/>
        <item sd="0" m="1" x="70"/>
        <item sd="0" x="48"/>
        <item sd="0" m="1" x="67"/>
        <item sd="0" x="51"/>
        <item sd="0" x="50"/>
        <item sd="0" x="32"/>
        <item sd="0" x="54"/>
        <item sd="0" m="1" x="69"/>
        <item sd="0" x="55"/>
        <item sd="0" x="56"/>
        <item sd="0" x="57"/>
        <item m="1" x="59"/>
        <item sd="0" x="58"/>
        <item sd="0" m="1" x="71"/>
        <item sd="0" m="1" x="65"/>
        <item sd="0" x="49"/>
        <item sd="0" x="53"/>
        <item sd="0"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60">
    <i>
      <x v="33"/>
    </i>
    <i>
      <x v="9"/>
    </i>
    <i>
      <x v="44"/>
    </i>
    <i>
      <x v="45"/>
    </i>
    <i>
      <x v="52"/>
    </i>
    <i>
      <x v="22"/>
    </i>
    <i>
      <x v="30"/>
    </i>
    <i>
      <x v="4"/>
    </i>
    <i>
      <x v="71"/>
    </i>
    <i>
      <x v="11"/>
    </i>
    <i>
      <x v="14"/>
    </i>
    <i>
      <x v="59"/>
    </i>
    <i>
      <x v="5"/>
    </i>
    <i>
      <x v="7"/>
    </i>
    <i>
      <x v="13"/>
    </i>
    <i>
      <x v="61"/>
    </i>
    <i>
      <x v="18"/>
    </i>
    <i>
      <x v="6"/>
    </i>
    <i>
      <x v="67"/>
    </i>
    <i>
      <x v="8"/>
    </i>
    <i>
      <x v="53"/>
    </i>
    <i>
      <x v="23"/>
    </i>
    <i>
      <x v="37"/>
    </i>
    <i>
      <x v="46"/>
    </i>
    <i>
      <x v="56"/>
    </i>
    <i>
      <x v="51"/>
    </i>
    <i>
      <x v="25"/>
    </i>
    <i>
      <x v="15"/>
    </i>
    <i>
      <x v="26"/>
    </i>
    <i>
      <x v="49"/>
    </i>
    <i>
      <x v="27"/>
    </i>
    <i>
      <x v="21"/>
    </i>
    <i>
      <x v="29"/>
    </i>
    <i>
      <x v="20"/>
    </i>
    <i>
      <x/>
    </i>
    <i>
      <x v="16"/>
    </i>
    <i>
      <x v="65"/>
    </i>
    <i>
      <x v="48"/>
    </i>
    <i>
      <x v="1"/>
    </i>
    <i>
      <x v="50"/>
    </i>
    <i>
      <x v="2"/>
    </i>
    <i>
      <x v="17"/>
    </i>
    <i>
      <x v="58"/>
    </i>
    <i>
      <x v="54"/>
    </i>
    <i>
      <x v="12"/>
    </i>
    <i>
      <x v="24"/>
    </i>
    <i>
      <x v="63"/>
    </i>
    <i>
      <x v="19"/>
    </i>
    <i>
      <x v="38"/>
    </i>
    <i>
      <x v="64"/>
    </i>
    <i>
      <x v="39"/>
    </i>
    <i>
      <x v="40"/>
    </i>
    <i>
      <x v="3"/>
    </i>
    <i>
      <x v="34"/>
    </i>
    <i>
      <x v="36"/>
    </i>
    <i>
      <x v="72"/>
    </i>
    <i>
      <x v="60"/>
    </i>
    <i>
      <x v="10"/>
    </i>
    <i>
      <x v="7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1">
    <format dxfId="2065">
      <pivotArea collapsedLevelsAreSubtotals="1" fieldPosition="0">
        <references count="1">
          <reference field="2" count="1">
            <x v="9"/>
          </reference>
        </references>
      </pivotArea>
    </format>
    <format dxfId="2064">
      <pivotArea collapsedLevelsAreSubtotals="1" fieldPosition="0">
        <references count="1">
          <reference field="2" count="1">
            <x v="4"/>
          </reference>
        </references>
      </pivotArea>
    </format>
    <format dxfId="2063">
      <pivotArea grandRow="1" outline="0" collapsedLevelsAreSubtotals="1" fieldPosition="0"/>
    </format>
    <format dxfId="2062">
      <pivotArea dataOnly="0" labelOnly="1" grandRow="1" outline="0" fieldPosition="0"/>
    </format>
    <format dxfId="2061">
      <pivotArea grandRow="1" outline="0" collapsedLevelsAreSubtotals="1" fieldPosition="0"/>
    </format>
    <format dxfId="2060">
      <pivotArea dataOnly="0" labelOnly="1" grandRow="1" outline="0" fieldPosition="0"/>
    </format>
    <format dxfId="2059">
      <pivotArea grandRow="1" outline="0" collapsedLevelsAreSubtotals="1" fieldPosition="0"/>
    </format>
    <format dxfId="2058">
      <pivotArea dataOnly="0" labelOnly="1" grandRow="1" outline="0" fieldPosition="0"/>
    </format>
    <format dxfId="2057">
      <pivotArea outline="0" collapsedLevelsAreSubtotals="1" fieldPosition="0">
        <references count="1">
          <reference field="4294967294" count="1" selected="0">
            <x v="0"/>
          </reference>
        </references>
      </pivotArea>
    </format>
    <format dxfId="2056">
      <pivotArea dataOnly="0" labelOnly="1" outline="0" fieldPosition="0">
        <references count="1">
          <reference field="0" count="0"/>
        </references>
      </pivotArea>
    </format>
    <format dxfId="2055">
      <pivotArea dataOnly="0" labelOnly="1" outline="0" fieldPosition="0">
        <references count="1">
          <reference field="4294967294" count="1">
            <x v="0"/>
          </reference>
        </references>
      </pivotArea>
    </format>
    <format dxfId="2054">
      <pivotArea outline="0" collapsedLevelsAreSubtotals="1" fieldPosition="0">
        <references count="1">
          <reference field="4294967294" count="1" selected="0">
            <x v="1"/>
          </reference>
        </references>
      </pivotArea>
    </format>
    <format dxfId="2053">
      <pivotArea dataOnly="0" labelOnly="1" outline="0" fieldPosition="0">
        <references count="1">
          <reference field="4294967294" count="1">
            <x v="1"/>
          </reference>
        </references>
      </pivotArea>
    </format>
    <format dxfId="2052">
      <pivotArea outline="0" collapsedLevelsAreSubtotals="1" fieldPosition="0">
        <references count="1">
          <reference field="4294967294" count="1" selected="0">
            <x v="2"/>
          </reference>
        </references>
      </pivotArea>
    </format>
    <format dxfId="2051">
      <pivotArea dataOnly="0" labelOnly="1" outline="0" fieldPosition="0">
        <references count="1">
          <reference field="4294967294" count="1">
            <x v="2"/>
          </reference>
        </references>
      </pivotArea>
    </format>
    <format dxfId="2050">
      <pivotArea grandRow="1" outline="0" collapsedLevelsAreSubtotals="1" fieldPosition="0"/>
    </format>
    <format dxfId="2049">
      <pivotArea dataOnly="0" labelOnly="1" grandRow="1" outline="0" fieldPosition="0"/>
    </format>
    <format dxfId="2048">
      <pivotArea type="all" dataOnly="0" outline="0" fieldPosition="0"/>
    </format>
    <format dxfId="2047">
      <pivotArea grandRow="1" outline="0" collapsedLevelsAreSubtotals="1" fieldPosition="0"/>
    </format>
    <format dxfId="2046">
      <pivotArea dataOnly="0" labelOnly="1" grandRow="1" outline="0" fieldPosition="0"/>
    </format>
    <format dxfId="2045">
      <pivotArea collapsedLevelsAreSubtotals="1" fieldPosition="0">
        <references count="2">
          <reference field="4294967294" count="1" selected="0">
            <x v="2"/>
          </reference>
          <reference field="1" count="1">
            <x v="22"/>
          </reference>
        </references>
      </pivotArea>
    </format>
    <format dxfId="2044">
      <pivotArea collapsedLevelsAreSubtotals="1" fieldPosition="0">
        <references count="3">
          <reference field="4294967294" count="1" selected="0">
            <x v="2"/>
          </reference>
          <reference field="1" count="1">
            <x v="22"/>
          </reference>
          <reference field="2" count="1" selected="0">
            <x v="7"/>
          </reference>
        </references>
      </pivotArea>
    </format>
    <format dxfId="2043">
      <pivotArea dataOnly="0" labelOnly="1" outline="0" fieldPosition="0">
        <references count="1">
          <reference field="4294967294" count="3">
            <x v="0"/>
            <x v="1"/>
            <x v="2"/>
          </reference>
        </references>
      </pivotArea>
    </format>
    <format dxfId="2042">
      <pivotArea dataOnly="0" labelOnly="1" outline="0" fieldPosition="0">
        <references count="1">
          <reference field="4294967294" count="1">
            <x v="0"/>
          </reference>
        </references>
      </pivotArea>
    </format>
    <format dxfId="2041">
      <pivotArea dataOnly="0" labelOnly="1" outline="0" fieldPosition="0">
        <references count="1">
          <reference field="4294967294" count="1">
            <x v="1"/>
          </reference>
        </references>
      </pivotArea>
    </format>
    <format dxfId="2040">
      <pivotArea dataOnly="0" labelOnly="1" outline="0" fieldPosition="0">
        <references count="1">
          <reference field="4294967294" count="1">
            <x v="1"/>
          </reference>
        </references>
      </pivotArea>
    </format>
    <format dxfId="2039">
      <pivotArea dataOnly="0" labelOnly="1" outline="0" fieldPosition="0">
        <references count="1">
          <reference field="4294967294" count="1">
            <x v="2"/>
          </reference>
        </references>
      </pivotArea>
    </format>
    <format dxfId="2038">
      <pivotArea dataOnly="0" labelOnly="1" fieldPosition="0">
        <references count="1">
          <reference field="2" count="0"/>
        </references>
      </pivotArea>
    </format>
    <format dxfId="2037">
      <pivotArea collapsedLevelsAreSubtotals="1" fieldPosition="0">
        <references count="2">
          <reference field="4294967294" count="1" selected="0">
            <x v="2"/>
          </reference>
          <reference field="2" count="1">
            <x v="4"/>
          </reference>
        </references>
      </pivotArea>
    </format>
    <format dxfId="2036">
      <pivotArea collapsedLevelsAreSubtotals="1" fieldPosition="0">
        <references count="2">
          <reference field="4294967294" count="1" selected="0">
            <x v="2"/>
          </reference>
          <reference field="2" count="1">
            <x v="9"/>
          </reference>
        </references>
      </pivotArea>
    </format>
    <format dxfId="2035">
      <pivotArea collapsedLevelsAreSubtotals="1" fieldPosition="0">
        <references count="2">
          <reference field="4294967294" count="1" selected="0">
            <x v="2"/>
          </reference>
          <reference field="2" count="1">
            <x v="14"/>
          </reference>
        </references>
      </pivotArea>
    </format>
    <format dxfId="2034">
      <pivotArea collapsedLevelsAreSubtotals="1" fieldPosition="0">
        <references count="3">
          <reference field="4294967294" count="1" selected="0">
            <x v="2"/>
          </reference>
          <reference field="1" count="3">
            <x v="3"/>
            <x v="37"/>
            <x v="41"/>
          </reference>
          <reference field="2" count="1" selected="0">
            <x v="14"/>
          </reference>
        </references>
      </pivotArea>
    </format>
    <format dxfId="2033">
      <pivotArea collapsedLevelsAreSubtotals="1" fieldPosition="0">
        <references count="3">
          <reference field="4294967294" count="1" selected="0">
            <x v="2"/>
          </reference>
          <reference field="1" count="1">
            <x v="6"/>
          </reference>
          <reference field="2" count="1" selected="0">
            <x v="14"/>
          </reference>
        </references>
      </pivotArea>
    </format>
    <format dxfId="2032">
      <pivotArea collapsedLevelsAreSubtotals="1" fieldPosition="0">
        <references count="3">
          <reference field="4294967294" count="1" selected="0">
            <x v="2"/>
          </reference>
          <reference field="1" count="1">
            <x v="27"/>
          </reference>
          <reference field="2" count="1" selected="0">
            <x v="14"/>
          </reference>
        </references>
      </pivotArea>
    </format>
    <format dxfId="2031">
      <pivotArea collapsedLevelsAreSubtotals="1" fieldPosition="0">
        <references count="1">
          <reference field="2" count="1">
            <x v="0"/>
          </reference>
        </references>
      </pivotArea>
    </format>
    <format dxfId="2030">
      <pivotArea collapsedLevelsAreSubtotals="1" fieldPosition="0">
        <references count="1">
          <reference field="2" count="1">
            <x v="14"/>
          </reference>
        </references>
      </pivotArea>
    </format>
    <format dxfId="2029">
      <pivotArea collapsedLevelsAreSubtotals="1" fieldPosition="0">
        <references count="1">
          <reference field="2" count="1">
            <x v="9"/>
          </reference>
        </references>
      </pivotArea>
    </format>
    <format dxfId="2028">
      <pivotArea collapsedLevelsAreSubtotals="1" fieldPosition="0">
        <references count="1">
          <reference field="2" count="1">
            <x v="5"/>
          </reference>
        </references>
      </pivotArea>
    </format>
    <format dxfId="2027">
      <pivotArea collapsedLevelsAreSubtotals="1" fieldPosition="0">
        <references count="1">
          <reference field="2" count="1">
            <x v="17"/>
          </reference>
        </references>
      </pivotArea>
    </format>
    <format dxfId="2026">
      <pivotArea collapsedLevelsAreSubtotals="1" fieldPosition="0">
        <references count="1">
          <reference field="2" count="1">
            <x v="2"/>
          </reference>
        </references>
      </pivotArea>
    </format>
    <format dxfId="2025">
      <pivotArea collapsedLevelsAreSubtotals="1" fieldPosition="0">
        <references count="1">
          <reference field="2" count="1">
            <x v="10"/>
          </reference>
        </references>
      </pivotArea>
    </format>
    <format dxfId="2024">
      <pivotArea collapsedLevelsAreSubtotals="1" fieldPosition="0">
        <references count="1">
          <reference field="2" count="1">
            <x v="1"/>
          </reference>
        </references>
      </pivotArea>
    </format>
    <format dxfId="2023">
      <pivotArea collapsedLevelsAreSubtotals="1" fieldPosition="0">
        <references count="1">
          <reference field="2" count="1">
            <x v="13"/>
          </reference>
        </references>
      </pivotArea>
    </format>
    <format dxfId="2022">
      <pivotArea collapsedLevelsAreSubtotals="1" fieldPosition="0">
        <references count="1">
          <reference field="2" count="1">
            <x v="4"/>
          </reference>
        </references>
      </pivotArea>
    </format>
    <format dxfId="2021">
      <pivotArea collapsedLevelsAreSubtotals="1" fieldPosition="0">
        <references count="1">
          <reference field="2" count="1">
            <x v="8"/>
          </reference>
        </references>
      </pivotArea>
    </format>
    <format dxfId="2020">
      <pivotArea collapsedLevelsAreSubtotals="1" fieldPosition="0">
        <references count="1">
          <reference field="2" count="1">
            <x v="3"/>
          </reference>
        </references>
      </pivotArea>
    </format>
    <format dxfId="2019">
      <pivotArea collapsedLevelsAreSubtotals="1" fieldPosition="0">
        <references count="1">
          <reference field="2" count="1">
            <x v="12"/>
          </reference>
        </references>
      </pivotArea>
    </format>
    <format dxfId="2018">
      <pivotArea collapsedLevelsAreSubtotals="1" fieldPosition="0">
        <references count="1">
          <reference field="2" count="1">
            <x v="6"/>
          </reference>
        </references>
      </pivotArea>
    </format>
    <format dxfId="2017">
      <pivotArea collapsedLevelsAreSubtotals="1" fieldPosition="0">
        <references count="1">
          <reference field="2" count="1">
            <x v="11"/>
          </reference>
        </references>
      </pivotArea>
    </format>
    <format dxfId="2016">
      <pivotArea collapsedLevelsAreSubtotals="1" fieldPosition="0">
        <references count="1">
          <reference field="2" count="1">
            <x v="20"/>
          </reference>
        </references>
      </pivotArea>
    </format>
    <format dxfId="2015">
      <pivotArea collapsedLevelsAreSubtotals="1" fieldPosition="0">
        <references count="2">
          <reference field="1" count="1">
            <x v="6"/>
          </reference>
          <reference field="2" count="1" selected="0">
            <x v="20"/>
          </reference>
        </references>
      </pivotArea>
    </format>
    <format dxfId="2014">
      <pivotArea collapsedLevelsAreSubtotals="1" fieldPosition="0">
        <references count="1">
          <reference field="2" count="1">
            <x v="7"/>
          </reference>
        </references>
      </pivotArea>
    </format>
    <format dxfId="2013">
      <pivotArea collapsedLevelsAreSubtotals="1" fieldPosition="0">
        <references count="1">
          <reference field="2" count="1">
            <x v="16"/>
          </reference>
        </references>
      </pivotArea>
    </format>
    <format dxfId="2012">
      <pivotArea collapsedLevelsAreSubtotals="1" fieldPosition="0">
        <references count="1">
          <reference field="2" count="1">
            <x v="19"/>
          </reference>
        </references>
      </pivotArea>
    </format>
    <format dxfId="2011">
      <pivotArea collapsedLevelsAreSubtotals="1" fieldPosition="0">
        <references count="1">
          <reference field="2" count="1">
            <x v="18"/>
          </reference>
        </references>
      </pivotArea>
    </format>
    <format dxfId="2010">
      <pivotArea collapsedLevelsAreSubtotals="1" fieldPosition="0">
        <references count="1">
          <reference field="2" count="1">
            <x v="15"/>
          </reference>
        </references>
      </pivotArea>
    </format>
    <format dxfId="2009">
      <pivotArea collapsedLevelsAreSubtotals="1" fieldPosition="0">
        <references count="1">
          <reference field="2" count="1">
            <x v="21"/>
          </reference>
        </references>
      </pivotArea>
    </format>
    <format dxfId="2008">
      <pivotArea collapsedLevelsAreSubtotals="1" fieldPosition="0">
        <references count="1">
          <reference field="2" count="1">
            <x v="22"/>
          </reference>
        </references>
      </pivotArea>
    </format>
    <format dxfId="2007">
      <pivotArea collapsedLevelsAreSubtotals="1" fieldPosition="0">
        <references count="1">
          <reference field="2" count="1">
            <x v="23"/>
          </reference>
        </references>
      </pivotArea>
    </format>
    <format dxfId="2006">
      <pivotArea collapsedLevelsAreSubtotals="1" fieldPosition="0">
        <references count="2">
          <reference field="4294967294" count="1" selected="0">
            <x v="2"/>
          </reference>
          <reference field="2" count="1">
            <x v="24"/>
          </reference>
        </references>
      </pivotArea>
    </format>
    <format dxfId="2005">
      <pivotArea collapsedLevelsAreSubtotals="1" fieldPosition="0">
        <references count="2">
          <reference field="4294967294" count="1" selected="0">
            <x v="2"/>
          </reference>
          <reference field="2" count="1">
            <x v="25"/>
          </reference>
        </references>
      </pivotArea>
    </format>
    <format dxfId="2004">
      <pivotArea collapsedLevelsAreSubtotals="1" fieldPosition="0">
        <references count="2">
          <reference field="4294967294" count="1" selected="0">
            <x v="2"/>
          </reference>
          <reference field="2" count="1">
            <x v="26"/>
          </reference>
        </references>
      </pivotArea>
    </format>
    <format dxfId="2003">
      <pivotArea collapsedLevelsAreSubtotals="1" fieldPosition="0">
        <references count="2">
          <reference field="4294967294" count="1" selected="0">
            <x v="2"/>
          </reference>
          <reference field="2" count="1">
            <x v="27"/>
          </reference>
        </references>
      </pivotArea>
    </format>
    <format dxfId="2002">
      <pivotArea collapsedLevelsAreSubtotals="1" fieldPosition="0">
        <references count="2">
          <reference field="4294967294" count="1" selected="0">
            <x v="2"/>
          </reference>
          <reference field="2" count="1">
            <x v="27"/>
          </reference>
        </references>
      </pivotArea>
    </format>
    <format dxfId="2001">
      <pivotArea collapsedLevelsAreSubtotals="1" fieldPosition="0">
        <references count="2">
          <reference field="4294967294" count="1" selected="0">
            <x v="2"/>
          </reference>
          <reference field="2" count="1">
            <x v="28"/>
          </reference>
        </references>
      </pivotArea>
    </format>
    <format dxfId="2000">
      <pivotArea collapsedLevelsAreSubtotals="1" fieldPosition="0">
        <references count="2">
          <reference field="4294967294" count="1" selected="0">
            <x v="2"/>
          </reference>
          <reference field="2" count="1">
            <x v="28"/>
          </reference>
        </references>
      </pivotArea>
    </format>
    <format dxfId="1999">
      <pivotArea collapsedLevelsAreSubtotals="1" fieldPosition="0">
        <references count="2">
          <reference field="4294967294" count="1" selected="0">
            <x v="2"/>
          </reference>
          <reference field="2" count="1">
            <x v="29"/>
          </reference>
        </references>
      </pivotArea>
    </format>
    <format dxfId="1998">
      <pivotArea collapsedLevelsAreSubtotals="1" fieldPosition="0">
        <references count="2">
          <reference field="4294967294" count="1" selected="0">
            <x v="2"/>
          </reference>
          <reference field="2" count="1">
            <x v="29"/>
          </reference>
        </references>
      </pivotArea>
    </format>
    <format dxfId="1997">
      <pivotArea collapsedLevelsAreSubtotals="1" fieldPosition="0">
        <references count="2">
          <reference field="4294967294" count="1" selected="0">
            <x v="2"/>
          </reference>
          <reference field="2" count="1">
            <x v="30"/>
          </reference>
        </references>
      </pivotArea>
    </format>
    <format dxfId="1996">
      <pivotArea collapsedLevelsAreSubtotals="1" fieldPosition="0">
        <references count="2">
          <reference field="4294967294" count="1" selected="0">
            <x v="2"/>
          </reference>
          <reference field="2" count="1">
            <x v="31"/>
          </reference>
        </references>
      </pivotArea>
    </format>
    <format dxfId="1995">
      <pivotArea collapsedLevelsAreSubtotals="1" fieldPosition="0">
        <references count="2">
          <reference field="4294967294" count="1" selected="0">
            <x v="2"/>
          </reference>
          <reference field="2" count="1">
            <x v="31"/>
          </reference>
        </references>
      </pivotArea>
    </format>
    <format dxfId="1994">
      <pivotArea collapsedLevelsAreSubtotals="1" fieldPosition="0">
        <references count="2">
          <reference field="4294967294" count="1" selected="0">
            <x v="2"/>
          </reference>
          <reference field="2" count="1">
            <x v="32"/>
          </reference>
        </references>
      </pivotArea>
    </format>
    <format dxfId="1993">
      <pivotArea collapsedLevelsAreSubtotals="1" fieldPosition="0">
        <references count="2">
          <reference field="4294967294" count="1" selected="0">
            <x v="2"/>
          </reference>
          <reference field="2" count="1">
            <x v="32"/>
          </reference>
        </references>
      </pivotArea>
    </format>
    <format dxfId="1992">
      <pivotArea collapsedLevelsAreSubtotals="1" fieldPosition="0">
        <references count="2">
          <reference field="4294967294" count="1" selected="0">
            <x v="2"/>
          </reference>
          <reference field="2" count="1">
            <x v="33"/>
          </reference>
        </references>
      </pivotArea>
    </format>
    <format dxfId="1991">
      <pivotArea collapsedLevelsAreSubtotals="1" fieldPosition="0">
        <references count="2">
          <reference field="4294967294" count="1" selected="0">
            <x v="2"/>
          </reference>
          <reference field="2" count="1">
            <x v="33"/>
          </reference>
        </references>
      </pivotArea>
    </format>
    <format dxfId="1990">
      <pivotArea collapsedLevelsAreSubtotals="1" fieldPosition="0">
        <references count="2">
          <reference field="4294967294" count="1" selected="0">
            <x v="2"/>
          </reference>
          <reference field="2" count="1">
            <x v="34"/>
          </reference>
        </references>
      </pivotArea>
    </format>
    <format dxfId="1989">
      <pivotArea collapsedLevelsAreSubtotals="1" fieldPosition="0">
        <references count="2">
          <reference field="4294967294" count="1" selected="0">
            <x v="2"/>
          </reference>
          <reference field="2" count="1">
            <x v="35"/>
          </reference>
        </references>
      </pivotArea>
    </format>
    <format dxfId="1988">
      <pivotArea collapsedLevelsAreSubtotals="1" fieldPosition="0">
        <references count="2">
          <reference field="4294967294" count="1" selected="0">
            <x v="2"/>
          </reference>
          <reference field="2" count="1">
            <x v="36"/>
          </reference>
        </references>
      </pivotArea>
    </format>
    <format dxfId="1987">
      <pivotArea collapsedLevelsAreSubtotals="1" fieldPosition="0">
        <references count="2">
          <reference field="4294967294" count="1" selected="0">
            <x v="2"/>
          </reference>
          <reference field="2" count="1">
            <x v="36"/>
          </reference>
        </references>
      </pivotArea>
    </format>
    <format dxfId="1986">
      <pivotArea collapsedLevelsAreSubtotals="1" fieldPosition="0">
        <references count="2">
          <reference field="4294967294" count="1" selected="0">
            <x v="2"/>
          </reference>
          <reference field="2" count="1">
            <x v="38"/>
          </reference>
        </references>
      </pivotArea>
    </format>
    <format dxfId="1985">
      <pivotArea collapsedLevelsAreSubtotals="1" fieldPosition="0">
        <references count="2">
          <reference field="4294967294" count="1" selected="0">
            <x v="2"/>
          </reference>
          <reference field="2" count="1">
            <x v="38"/>
          </reference>
        </references>
      </pivotArea>
    </format>
    <format dxfId="1984">
      <pivotArea collapsedLevelsAreSubtotals="1" fieldPosition="0">
        <references count="2">
          <reference field="4294967294" count="1" selected="0">
            <x v="2"/>
          </reference>
          <reference field="2" count="1">
            <x v="39"/>
          </reference>
        </references>
      </pivotArea>
    </format>
    <format dxfId="1983">
      <pivotArea collapsedLevelsAreSubtotals="1" fieldPosition="0">
        <references count="2">
          <reference field="4294967294" count="1" selected="0">
            <x v="2"/>
          </reference>
          <reference field="2" count="1">
            <x v="39"/>
          </reference>
        </references>
      </pivotArea>
    </format>
    <format dxfId="1982">
      <pivotArea collapsedLevelsAreSubtotals="1" fieldPosition="0">
        <references count="2">
          <reference field="4294967294" count="1" selected="0">
            <x v="2"/>
          </reference>
          <reference field="2" count="1">
            <x v="40"/>
          </reference>
        </references>
      </pivotArea>
    </format>
    <format dxfId="1981">
      <pivotArea collapsedLevelsAreSubtotals="1" fieldPosition="0">
        <references count="2">
          <reference field="4294967294" count="1" selected="0">
            <x v="2"/>
          </reference>
          <reference field="2" count="1">
            <x v="42"/>
          </reference>
        </references>
      </pivotArea>
    </format>
    <format dxfId="1980">
      <pivotArea collapsedLevelsAreSubtotals="1" fieldPosition="0">
        <references count="2">
          <reference field="4294967294" count="1" selected="0">
            <x v="2"/>
          </reference>
          <reference field="2" count="1">
            <x v="41"/>
          </reference>
        </references>
      </pivotArea>
    </format>
    <format dxfId="1979">
      <pivotArea collapsedLevelsAreSubtotals="1" fieldPosition="0">
        <references count="2">
          <reference field="4294967294" count="1" selected="0">
            <x v="2"/>
          </reference>
          <reference field="2" count="1">
            <x v="44"/>
          </reference>
        </references>
      </pivotArea>
    </format>
    <format dxfId="1978">
      <pivotArea collapsedLevelsAreSubtotals="1" fieldPosition="0">
        <references count="2">
          <reference field="4294967294" count="1" selected="0">
            <x v="2"/>
          </reference>
          <reference field="2" count="1">
            <x v="45"/>
          </reference>
        </references>
      </pivotArea>
    </format>
    <format dxfId="1977">
      <pivotArea collapsedLevelsAreSubtotals="1" fieldPosition="0">
        <references count="2">
          <reference field="4294967294" count="1" selected="0">
            <x v="2"/>
          </reference>
          <reference field="2" count="1">
            <x v="46"/>
          </reference>
        </references>
      </pivotArea>
    </format>
    <format dxfId="1976">
      <pivotArea collapsedLevelsAreSubtotals="1" fieldPosition="0">
        <references count="2">
          <reference field="4294967294" count="1" selected="0">
            <x v="2"/>
          </reference>
          <reference field="2" count="1">
            <x v="47"/>
          </reference>
        </references>
      </pivotArea>
    </format>
    <format dxfId="1975">
      <pivotArea collapsedLevelsAreSubtotals="1" fieldPosition="0">
        <references count="2">
          <reference field="4294967294" count="1" selected="0">
            <x v="2"/>
          </reference>
          <reference field="2" count="1">
            <x v="48"/>
          </reference>
        </references>
      </pivotArea>
    </format>
    <format dxfId="1974">
      <pivotArea collapsedLevelsAreSubtotals="1" fieldPosition="0">
        <references count="2">
          <reference field="4294967294" count="1" selected="0">
            <x v="2"/>
          </reference>
          <reference field="2" count="1">
            <x v="49"/>
          </reference>
        </references>
      </pivotArea>
    </format>
    <format dxfId="1973">
      <pivotArea collapsedLevelsAreSubtotals="1" fieldPosition="0">
        <references count="2">
          <reference field="4294967294" count="1" selected="0">
            <x v="2"/>
          </reference>
          <reference field="2" count="1">
            <x v="49"/>
          </reference>
        </references>
      </pivotArea>
    </format>
    <format dxfId="1972">
      <pivotArea collapsedLevelsAreSubtotals="1" fieldPosition="0">
        <references count="2">
          <reference field="4294967294" count="1" selected="0">
            <x v="2"/>
          </reference>
          <reference field="2" count="1">
            <x v="50"/>
          </reference>
        </references>
      </pivotArea>
    </format>
    <format dxfId="1971">
      <pivotArea collapsedLevelsAreSubtotals="1" fieldPosition="0">
        <references count="3">
          <reference field="4294967294" count="1" selected="0">
            <x v="2"/>
          </reference>
          <reference field="1" count="1" selected="0">
            <x v="95"/>
          </reference>
          <reference field="2" count="1">
            <x v="51"/>
          </reference>
        </references>
      </pivotArea>
    </format>
    <format dxfId="1970">
      <pivotArea collapsedLevelsAreSubtotals="1" fieldPosition="0">
        <references count="3">
          <reference field="4294967294" count="1" selected="0">
            <x v="2"/>
          </reference>
          <reference field="1" count="1" selected="0">
            <x v="95"/>
          </reference>
          <reference field="2" count="1">
            <x v="51"/>
          </reference>
        </references>
      </pivotArea>
    </format>
    <format dxfId="1969">
      <pivotArea collapsedLevelsAreSubtotals="1" fieldPosition="0">
        <references count="2">
          <reference field="4294967294" count="1" selected="0">
            <x v="2"/>
          </reference>
          <reference field="2" count="1">
            <x v="51"/>
          </reference>
        </references>
      </pivotArea>
    </format>
    <format dxfId="1968">
      <pivotArea collapsedLevelsAreSubtotals="1" fieldPosition="0">
        <references count="2">
          <reference field="4294967294" count="1" selected="0">
            <x v="2"/>
          </reference>
          <reference field="2" count="1">
            <x v="51"/>
          </reference>
        </references>
      </pivotArea>
    </format>
    <format dxfId="1967">
      <pivotArea collapsedLevelsAreSubtotals="1" fieldPosition="0">
        <references count="2">
          <reference field="4294967294" count="1" selected="0">
            <x v="2"/>
          </reference>
          <reference field="2" count="1">
            <x v="52"/>
          </reference>
        </references>
      </pivotArea>
    </format>
    <format dxfId="1966">
      <pivotArea collapsedLevelsAreSubtotals="1" fieldPosition="0">
        <references count="2">
          <reference field="4294967294" count="1" selected="0">
            <x v="2"/>
          </reference>
          <reference field="2" count="1">
            <x v="52"/>
          </reference>
        </references>
      </pivotArea>
    </format>
    <format dxfId="1965">
      <pivotArea collapsedLevelsAreSubtotals="1" fieldPosition="0">
        <references count="2">
          <reference field="4294967294" count="1" selected="0">
            <x v="2"/>
          </reference>
          <reference field="2" count="1">
            <x v="53"/>
          </reference>
        </references>
      </pivotArea>
    </format>
    <format dxfId="1964">
      <pivotArea collapsedLevelsAreSubtotals="1" fieldPosition="0">
        <references count="2">
          <reference field="4294967294" count="1" selected="0">
            <x v="2"/>
          </reference>
          <reference field="2" count="1">
            <x v="54"/>
          </reference>
        </references>
      </pivotArea>
    </format>
    <format dxfId="1963">
      <pivotArea collapsedLevelsAreSubtotals="1" fieldPosition="0">
        <references count="2">
          <reference field="4294967294" count="1" selected="0">
            <x v="2"/>
          </reference>
          <reference field="2" count="1">
            <x v="54"/>
          </reference>
        </references>
      </pivotArea>
    </format>
    <format dxfId="1962">
      <pivotArea collapsedLevelsAreSubtotals="1" fieldPosition="0">
        <references count="2">
          <reference field="4294967294" count="1" selected="0">
            <x v="2"/>
          </reference>
          <reference field="2" count="1">
            <x v="55"/>
          </reference>
        </references>
      </pivotArea>
    </format>
    <format dxfId="1961">
      <pivotArea collapsedLevelsAreSubtotals="1" fieldPosition="0">
        <references count="2">
          <reference field="4294967294" count="1" selected="0">
            <x v="2"/>
          </reference>
          <reference field="2" count="1">
            <x v="56"/>
          </reference>
        </references>
      </pivotArea>
    </format>
    <format dxfId="1960">
      <pivotArea type="all" dataOnly="0" outline="0" fieldPosition="0"/>
    </format>
    <format dxfId="1959">
      <pivotArea outline="0" collapsedLevelsAreSubtotals="1" fieldPosition="0"/>
    </format>
    <format dxfId="1958">
      <pivotArea dataOnly="0" labelOnly="1" fieldPosition="0">
        <references count="1">
          <reference field="2" count="0"/>
        </references>
      </pivotArea>
    </format>
    <format dxfId="1957">
      <pivotArea dataOnly="0" labelOnly="1" grandRow="1" outline="0" fieldPosition="0"/>
    </format>
    <format dxfId="1956">
      <pivotArea dataOnly="0" labelOnly="1" outline="0" fieldPosition="0">
        <references count="1">
          <reference field="4294967294" count="3">
            <x v="0"/>
            <x v="1"/>
            <x v="2"/>
          </reference>
        </references>
      </pivotArea>
    </format>
    <format dxfId="1955">
      <pivotArea collapsedLevelsAreSubtotals="1" fieldPosition="0">
        <references count="2">
          <reference field="4294967294" count="1" selected="0">
            <x v="2"/>
          </reference>
          <reference field="2" count="1">
            <x v="57"/>
          </reference>
        </references>
      </pivotArea>
    </format>
    <format dxfId="1954">
      <pivotArea collapsedLevelsAreSubtotals="1" fieldPosition="0">
        <references count="2">
          <reference field="4294967294" count="1" selected="0">
            <x v="2"/>
          </reference>
          <reference field="2" count="1">
            <x v="53"/>
          </reference>
        </references>
      </pivotArea>
    </format>
    <format dxfId="1953">
      <pivotArea collapsedLevelsAreSubtotals="1" fieldPosition="0">
        <references count="2">
          <reference field="4294967294" count="1" selected="0">
            <x v="2"/>
          </reference>
          <reference field="2" count="1">
            <x v="58"/>
          </reference>
        </references>
      </pivotArea>
    </format>
    <format dxfId="1952">
      <pivotArea collapsedLevelsAreSubtotals="1" fieldPosition="0">
        <references count="2">
          <reference field="4294967294" count="1" selected="0">
            <x v="2"/>
          </reference>
          <reference field="2" count="1">
            <x v="37"/>
          </reference>
        </references>
      </pivotArea>
    </format>
    <format dxfId="1951">
      <pivotArea collapsedLevelsAreSubtotals="1" fieldPosition="0">
        <references count="2">
          <reference field="4294967294" count="1" selected="0">
            <x v="2"/>
          </reference>
          <reference field="2" count="1">
            <x v="59"/>
          </reference>
        </references>
      </pivotArea>
    </format>
    <format dxfId="1950">
      <pivotArea collapsedLevelsAreSubtotals="1" fieldPosition="0">
        <references count="2">
          <reference field="4294967294" count="1" selected="0">
            <x v="2"/>
          </reference>
          <reference field="2" count="1">
            <x v="64"/>
          </reference>
        </references>
      </pivotArea>
    </format>
    <format dxfId="1949">
      <pivotArea collapsedLevelsAreSubtotals="1" fieldPosition="0">
        <references count="2">
          <reference field="4294967294" count="1" selected="0">
            <x v="2"/>
          </reference>
          <reference field="2" count="1">
            <x v="65"/>
          </reference>
        </references>
      </pivotArea>
    </format>
    <format dxfId="1948">
      <pivotArea collapsedLevelsAreSubtotals="1" fieldPosition="0">
        <references count="2">
          <reference field="4294967294" count="1" selected="0">
            <x v="2"/>
          </reference>
          <reference field="2" count="1">
            <x v="59"/>
          </reference>
        </references>
      </pivotArea>
    </format>
    <format dxfId="1947">
      <pivotArea collapsedLevelsAreSubtotals="1" fieldPosition="0">
        <references count="2">
          <reference field="4294967294" count="1" selected="0">
            <x v="2"/>
          </reference>
          <reference field="2" count="1">
            <x v="64"/>
          </reference>
        </references>
      </pivotArea>
    </format>
    <format dxfId="1946">
      <pivotArea collapsedLevelsAreSubtotals="1" fieldPosition="0">
        <references count="2">
          <reference field="4294967294" count="1" selected="0">
            <x v="2"/>
          </reference>
          <reference field="2" count="1">
            <x v="65"/>
          </reference>
        </references>
      </pivotArea>
    </format>
    <format dxfId="1945">
      <pivotArea collapsedLevelsAreSubtotals="1" fieldPosition="0">
        <references count="2">
          <reference field="4294967294" count="1" selected="0">
            <x v="2"/>
          </reference>
          <reference field="2" count="1">
            <x v="63"/>
          </reference>
        </references>
      </pivotArea>
    </format>
    <format dxfId="1944">
      <pivotArea collapsedLevelsAreSubtotals="1" fieldPosition="0">
        <references count="2">
          <reference field="4294967294" count="1" selected="0">
            <x v="2"/>
          </reference>
          <reference field="2" count="1">
            <x v="61"/>
          </reference>
        </references>
      </pivotArea>
    </format>
    <format dxfId="1943">
      <pivotArea collapsedLevelsAreSubtotals="1" fieldPosition="0">
        <references count="2">
          <reference field="4294967294" count="1" selected="0">
            <x v="2"/>
          </reference>
          <reference field="2" count="1">
            <x v="62"/>
          </reference>
        </references>
      </pivotArea>
    </format>
    <format dxfId="1942">
      <pivotArea collapsedLevelsAreSubtotals="1" fieldPosition="0">
        <references count="2">
          <reference field="4294967294" count="1" selected="0">
            <x v="2"/>
          </reference>
          <reference field="2" count="1">
            <x v="66"/>
          </reference>
        </references>
      </pivotArea>
    </format>
    <format dxfId="1941">
      <pivotArea collapsedLevelsAreSubtotals="1" fieldPosition="0">
        <references count="2">
          <reference field="4294967294" count="1" selected="0">
            <x v="2"/>
          </reference>
          <reference field="2" count="1">
            <x v="66"/>
          </reference>
        </references>
      </pivotArea>
    </format>
    <format dxfId="1940">
      <pivotArea collapsedLevelsAreSubtotals="1" fieldPosition="0">
        <references count="2">
          <reference field="4294967294" count="1" selected="0">
            <x v="2"/>
          </reference>
          <reference field="2" count="1">
            <x v="67"/>
          </reference>
        </references>
      </pivotArea>
    </format>
    <format dxfId="1939">
      <pivotArea collapsedLevelsAreSubtotals="1" fieldPosition="0">
        <references count="2">
          <reference field="4294967294" count="1" selected="0">
            <x v="2"/>
          </reference>
          <reference field="2" count="1">
            <x v="68"/>
          </reference>
        </references>
      </pivotArea>
    </format>
    <format dxfId="1318">
      <pivotArea collapsedLevelsAreSubtotals="1" fieldPosition="0">
        <references count="2">
          <reference field="4294967294" count="1" selected="0">
            <x v="2"/>
          </reference>
          <reference field="2" count="1">
            <x v="71"/>
          </reference>
        </references>
      </pivotArea>
    </format>
    <format dxfId="404">
      <pivotArea collapsedLevelsAreSubtotals="1" fieldPosition="0">
        <references count="2">
          <reference field="4294967294" count="1" selected="0">
            <x v="2"/>
          </reference>
          <reference field="2" count="1">
            <x v="72"/>
          </reference>
        </references>
      </pivotArea>
    </format>
    <format dxfId="402">
      <pivotArea collapsedLevelsAreSubtotals="1" fieldPosition="0">
        <references count="2">
          <reference field="4294967294" count="1" selected="0">
            <x v="2"/>
          </reference>
          <reference field="2" count="1">
            <x v="60"/>
          </reference>
        </references>
      </pivotArea>
    </format>
    <format dxfId="400">
      <pivotArea collapsedLevelsAreSubtotals="1" fieldPosition="0">
        <references count="2">
          <reference field="4294967294" count="1" selected="0">
            <x v="2"/>
          </reference>
          <reference field="2" count="1">
            <x v="7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14">
        <item x="249"/>
        <item m="1" x="2211"/>
        <item m="1" x="2166"/>
        <item m="1" x="2165"/>
        <item m="1" x="2179"/>
        <item m="1" x="2169"/>
        <item m="1" x="2131"/>
        <item m="1" x="2150"/>
        <item m="1" x="2157"/>
        <item m="1" x="2177"/>
        <item m="1" x="2156"/>
        <item m="1" x="2185"/>
        <item m="1" x="2193"/>
        <item m="1" x="2154"/>
        <item m="1" x="2200"/>
        <item m="1" x="2147"/>
        <item m="1" x="2205"/>
        <item m="1" x="2160"/>
        <item m="1" x="2120"/>
        <item m="1" x="2209"/>
        <item m="1" x="2212"/>
        <item m="1" x="2127"/>
        <item m="1" x="2168"/>
        <item m="1" x="2122"/>
        <item m="1" x="2123"/>
        <item m="1" x="2125"/>
        <item m="1" x="2139"/>
        <item m="1" x="2140"/>
        <item m="1" x="2186"/>
        <item m="1" x="2174"/>
        <item m="1" x="2175"/>
        <item m="1" x="2180"/>
        <item m="1" x="2191"/>
        <item m="1" x="2170"/>
        <item m="1" x="2132"/>
        <item m="1" x="2137"/>
        <item m="1" x="2144"/>
        <item m="1" x="2194"/>
        <item x="0"/>
        <item m="1" x="2181"/>
        <item m="1" x="2187"/>
        <item m="1" x="2145"/>
        <item x="1"/>
        <item m="1" x="2188"/>
        <item m="1" x="2207"/>
        <item x="2"/>
        <item x="3"/>
        <item m="1" x="2151"/>
        <item m="1" x="2202"/>
        <item m="1" x="2148"/>
        <item m="1" x="2198"/>
        <item m="1" x="2206"/>
        <item m="1" x="2210"/>
        <item x="4"/>
        <item m="1" x="2121"/>
        <item x="5"/>
        <item x="6"/>
        <item m="1" x="216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3"/>
        <item x="157"/>
        <item x="158"/>
        <item x="159"/>
        <item x="160"/>
        <item x="161"/>
        <item x="162"/>
        <item x="163"/>
        <item x="164"/>
        <item x="165"/>
        <item x="166"/>
        <item x="167"/>
        <item x="168"/>
        <item x="169"/>
        <item m="1" x="21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1"/>
        <item x="276"/>
        <item x="277"/>
        <item x="278"/>
        <item x="275"/>
        <item m="1" x="2158"/>
        <item x="279"/>
        <item x="280"/>
        <item x="281"/>
        <item x="282"/>
        <item x="283"/>
        <item x="284"/>
        <item x="285"/>
        <item x="286"/>
        <item x="287"/>
        <item x="288"/>
        <item x="289"/>
        <item x="290"/>
        <item x="291"/>
        <item x="292"/>
        <item x="293"/>
        <item x="294"/>
        <item x="295"/>
        <item x="296"/>
        <item m="1" x="2162"/>
        <item x="297"/>
        <item x="298"/>
        <item x="299"/>
        <item m="1" x="2164"/>
        <item x="300"/>
        <item x="302"/>
        <item x="303"/>
        <item x="301"/>
        <item x="304"/>
        <item x="305"/>
        <item x="306"/>
        <item x="307"/>
        <item x="308"/>
        <item x="309"/>
        <item x="310"/>
        <item x="311"/>
        <item x="312"/>
        <item m="1" x="2128"/>
        <item x="313"/>
        <item m="1" x="2130"/>
        <item x="314"/>
        <item x="315"/>
        <item x="316"/>
        <item x="317"/>
        <item x="318"/>
        <item x="319"/>
        <item x="320"/>
        <item x="321"/>
        <item m="1" x="2176"/>
        <item x="323"/>
        <item x="324"/>
        <item x="325"/>
        <item x="326"/>
        <item x="322"/>
        <item x="327"/>
        <item x="328"/>
        <item x="329"/>
        <item x="330"/>
        <item x="331"/>
        <item m="1" x="2167"/>
        <item x="332"/>
        <item m="1" x="2129"/>
        <item x="333"/>
        <item x="334"/>
        <item x="335"/>
        <item x="336"/>
        <item x="337"/>
        <item x="338"/>
        <item x="344"/>
        <item m="1" x="21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6"/>
        <item x="375"/>
        <item x="376"/>
        <item x="373"/>
        <item x="377"/>
        <item x="378"/>
        <item x="379"/>
        <item x="380"/>
        <item m="1" x="2171"/>
        <item x="381"/>
        <item x="382"/>
        <item x="383"/>
        <item x="384"/>
        <item x="385"/>
        <item x="386"/>
        <item x="387"/>
        <item x="388"/>
        <item x="389"/>
        <item x="390"/>
        <item x="391"/>
        <item x="392"/>
        <item x="393"/>
        <item x="394"/>
        <item x="395"/>
        <item x="396"/>
        <item x="397"/>
        <item x="399"/>
        <item x="400"/>
        <item x="401"/>
        <item x="398"/>
        <item x="402"/>
        <item m="1" x="2172"/>
        <item x="403"/>
        <item x="404"/>
        <item x="405"/>
        <item x="406"/>
        <item x="407"/>
        <item x="408"/>
        <item x="409"/>
        <item m="1" x="2138"/>
        <item x="410"/>
        <item x="411"/>
        <item x="421"/>
        <item x="412"/>
        <item x="413"/>
        <item x="414"/>
        <item x="415"/>
        <item x="416"/>
        <item x="417"/>
        <item m="1" x="2192"/>
        <item x="418"/>
        <item x="419"/>
        <item x="420"/>
        <item x="423"/>
        <item x="443"/>
        <item x="424"/>
        <item x="422"/>
        <item x="425"/>
        <item x="426"/>
        <item x="427"/>
        <item x="428"/>
        <item x="429"/>
        <item x="430"/>
        <item x="431"/>
        <item x="432"/>
        <item m="1" x="2184"/>
        <item x="433"/>
        <item x="434"/>
        <item x="435"/>
        <item x="436"/>
        <item x="438"/>
        <item x="437"/>
        <item x="439"/>
        <item x="440"/>
        <item x="442"/>
        <item x="441"/>
        <item x="445"/>
        <item x="446"/>
        <item x="447"/>
        <item x="444"/>
        <item x="448"/>
        <item x="449"/>
        <item x="450"/>
        <item x="451"/>
        <item x="452"/>
        <item x="453"/>
        <item x="454"/>
        <item x="455"/>
        <item x="456"/>
        <item x="457"/>
        <item m="1" x="2146"/>
        <item x="458"/>
        <item x="459"/>
        <item m="1" x="2195"/>
        <item x="460"/>
        <item x="461"/>
        <item x="462"/>
        <item x="463"/>
        <item m="1" x="2204"/>
        <item x="464"/>
        <item x="465"/>
        <item x="466"/>
        <item x="467"/>
        <item x="468"/>
        <item x="469"/>
        <item x="470"/>
        <item m="1" x="2183"/>
        <item x="471"/>
        <item x="472"/>
        <item x="473"/>
        <item x="474"/>
        <item x="475"/>
        <item x="476"/>
        <item x="477"/>
        <item x="478"/>
        <item x="479"/>
        <item x="480"/>
        <item x="481"/>
        <item x="482"/>
        <item x="483"/>
        <item x="484"/>
        <item m="1" x="2159"/>
        <item x="490"/>
        <item x="485"/>
        <item x="486"/>
        <item x="487"/>
        <item x="488"/>
        <item x="489"/>
        <item x="491"/>
        <item x="492"/>
        <item m="1" x="2152"/>
        <item m="1" x="2196"/>
        <item x="503"/>
        <item m="1" x="2199"/>
        <item x="493"/>
        <item x="494"/>
        <item x="504"/>
        <item x="495"/>
        <item x="496"/>
        <item x="497"/>
        <item x="498"/>
        <item x="499"/>
        <item x="500"/>
        <item x="501"/>
        <item x="502"/>
        <item x="505"/>
        <item x="506"/>
        <item x="507"/>
        <item x="508"/>
        <item m="1" x="214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8"/>
        <item x="564"/>
        <item x="565"/>
        <item x="566"/>
        <item x="567"/>
        <item x="568"/>
        <item x="569"/>
        <item x="570"/>
        <item x="571"/>
        <item x="572"/>
        <item x="573"/>
        <item x="574"/>
        <item m="1" x="212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5"/>
        <item x="698"/>
        <item x="708"/>
        <item x="709"/>
        <item x="710"/>
        <item x="699"/>
        <item x="700"/>
        <item x="701"/>
        <item x="702"/>
        <item x="703"/>
        <item x="704"/>
        <item x="705"/>
        <item x="706"/>
        <item x="707"/>
        <item x="711"/>
        <item x="726"/>
        <item x="727"/>
        <item x="734"/>
        <item x="712"/>
        <item x="728"/>
        <item x="729"/>
        <item m="1" x="21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1"/>
        <item x="753"/>
        <item m="1" x="2143"/>
        <item x="740"/>
        <item x="754"/>
        <item x="741"/>
        <item x="742"/>
        <item x="743"/>
        <item x="744"/>
        <item x="745"/>
        <item x="746"/>
        <item x="747"/>
        <item x="755"/>
        <item x="748"/>
        <item x="757"/>
        <item x="758"/>
        <item x="769"/>
        <item x="759"/>
        <item m="1" x="2190"/>
        <item x="760"/>
        <item x="761"/>
        <item x="770"/>
        <item m="1" x="2197"/>
        <item x="762"/>
        <item x="771"/>
        <item x="763"/>
        <item x="764"/>
        <item x="765"/>
        <item x="766"/>
        <item x="772"/>
        <item x="773"/>
        <item x="767"/>
        <item x="768"/>
        <item x="774"/>
        <item x="775"/>
        <item x="790"/>
        <item x="776"/>
        <item x="791"/>
        <item x="777"/>
        <item x="778"/>
        <item x="792"/>
        <item x="779"/>
        <item x="780"/>
        <item x="781"/>
        <item x="782"/>
        <item x="793"/>
        <item x="783"/>
        <item x="794"/>
        <item x="795"/>
        <item x="211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8"/>
        <item x="944"/>
        <item m="1" x="214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9"/>
        <item x="1583"/>
        <item x="1577"/>
        <item x="1578"/>
        <item x="1576"/>
        <item x="1579"/>
        <item x="1580"/>
        <item x="1586"/>
        <item x="1587"/>
        <item x="1581"/>
        <item x="1582"/>
        <item x="1588"/>
        <item x="1589"/>
        <item x="1590"/>
        <item x="1602"/>
        <item x="1612"/>
        <item m="1" x="213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31">
        <item h="1" sd="0" x="60"/>
        <item h="1" sd="0" x="149"/>
        <item h="1" x="758"/>
        <item h="1" sd="0" m="1" x="799"/>
        <item h="1" sd="0" x="726"/>
        <item h="1" sd="0" m="1" x="872"/>
        <item h="1" sd="0" x="572"/>
        <item h="1" sd="0" m="1" x="971"/>
        <item h="1" sd="0" m="1" x="812"/>
        <item h="1" sd="0" x="464"/>
        <item h="1" sd="0" m="1" x="834"/>
        <item h="1" x="759"/>
        <item h="1" sd="0" x="18"/>
        <item h="1" sd="0" x="288"/>
        <item h="1" sd="0" m="1" x="1012"/>
        <item h="1" sd="0" x="146"/>
        <item h="1" sd="0" x="179"/>
        <item h="1" sd="0" x="490"/>
        <item h="1" sd="0" x="673"/>
        <item h="1" sd="0" m="1" x="1009"/>
        <item h="1" sd="0" x="641"/>
        <item h="1" sd="0" x="623"/>
        <item h="1" sd="0" x="100"/>
        <item h="1" sd="0" x="606"/>
        <item h="1" sd="0" m="1" x="818"/>
        <item h="1" sd="0" m="1" x="975"/>
        <item h="1" sd="0" x="137"/>
        <item h="1" sd="0" m="1" x="957"/>
        <item h="1" sd="0" x="231"/>
        <item h="1" sd="0" m="1" x="789"/>
        <item sd="0" x="761"/>
        <item h="1" sd="0" m="1" x="962"/>
        <item h="1" sd="0" m="1" x="851"/>
        <item h="1" sd="0" x="363"/>
        <item h="1" sd="0" x="510"/>
        <item sd="0" x="563"/>
        <item h="1" sd="0" x="651"/>
        <item h="1" x="738"/>
        <item h="1" sd="0" x="375"/>
        <item h="1" sd="0" x="379"/>
        <item h="1" sd="0" m="1" x="848"/>
        <item h="1" sd="0" x="720"/>
        <item h="1" sd="0" m="1" x="826"/>
        <item h="1" sd="0" m="1" x="879"/>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11"/>
        <item h="1" sd="0" x="325"/>
        <item h="1" sd="0" x="481"/>
        <item h="1" sd="0" m="1" x="1013"/>
        <item h="1" sd="0" m="1" x="909"/>
        <item h="1" sd="0" x="528"/>
        <item h="1" sd="0" x="630"/>
        <item h="1" sd="0" x="223"/>
        <item h="1" sd="0" m="1" x="801"/>
        <item h="1" sd="0" x="239"/>
        <item h="1" sd="0" x="521"/>
        <item h="1" sd="0" x="135"/>
        <item h="1" sd="0" x="140"/>
        <item h="1" sd="0" x="479"/>
        <item h="1" sd="0" m="1" x="986"/>
        <item h="1" sd="0" m="1" x="915"/>
        <item h="1" sd="0" x="219"/>
        <item h="1" sd="0" m="1" x="1025"/>
        <item h="1" sd="0" x="562"/>
        <item h="1" x="746"/>
        <item h="1" x="763"/>
        <item h="1" sd="0" x="713"/>
        <item h="1" sd="0" x="684"/>
        <item h="1" sd="0" x="93"/>
        <item h="1" sd="0" m="1" x="983"/>
        <item h="1" sd="0" x="399"/>
        <item h="1" sd="0" x="222"/>
        <item h="1" sd="0" m="1" x="814"/>
        <item h="1" sd="0" x="337"/>
        <item h="1" sd="0" x="207"/>
        <item h="1" sd="0" x="517"/>
        <item h="1" sd="0" x="489"/>
        <item h="1" sd="0" x="184"/>
        <item h="1" sd="0" x="152"/>
        <item h="1" sd="0" m="1" x="996"/>
        <item h="1" sd="0" x="40"/>
        <item h="1" sd="0" x="281"/>
        <item h="1" sd="0" x="170"/>
        <item h="1" sd="0" x="317"/>
        <item h="1" sd="0" x="358"/>
        <item h="1" sd="0" x="214"/>
        <item h="1" sd="0" x="370"/>
        <item h="1" sd="0" x="378"/>
        <item h="1" sd="0" x="279"/>
        <item h="1" sd="0" m="1" x="852"/>
        <item h="1" sd="0" x="156"/>
        <item h="1" sd="0" x="701"/>
        <item h="1" sd="0" x="639"/>
        <item h="1" sd="0" x="253"/>
        <item h="1" sd="0" m="1" x="972"/>
        <item h="1" sd="0" x="442"/>
        <item h="1" sd="0" m="1" x="780"/>
        <item h="1" sd="0" x="409"/>
        <item h="1" sd="0" x="365"/>
        <item h="1" sd="0" m="1" x="833"/>
        <item h="1" sd="0" m="1" x="797"/>
        <item sd="0" x="666"/>
        <item h="1" sd="0" x="556"/>
        <item h="1" sd="0" x="383"/>
        <item h="1" sd="0" x="259"/>
        <item h="1" sd="0" x="463"/>
        <item h="1" sd="0" x="252"/>
        <item h="1" sd="0" x="643"/>
        <item h="1" sd="0" x="537"/>
        <item h="1" sd="0" m="1" x="914"/>
        <item h="1" sd="0" x="577"/>
        <item h="1" sd="0" x="597"/>
        <item h="1" sd="0" x="12"/>
        <item h="1" sd="0" x="571"/>
        <item h="1" sd="0" m="1" x="985"/>
        <item h="1" sd="0" x="569"/>
        <item h="1" sd="0" x="352"/>
        <item h="1" sd="0" x="218"/>
        <item h="1" sd="0" x="371"/>
        <item h="1" sd="0" x="224"/>
        <item h="1" sd="0" x="63"/>
        <item h="1" sd="0" x="8"/>
        <item h="1" sd="0" x="102"/>
        <item h="1" sd="0" m="1" x="819"/>
        <item h="1" sd="0" m="1" x="1015"/>
        <item h="1" sd="0" x="550"/>
        <item h="1" sd="0" x="319"/>
        <item h="1" sd="0" m="1" x="825"/>
        <item h="1" sd="0" m="1" x="1026"/>
        <item h="1" sd="0" x="386"/>
        <item h="1" sd="0" x="634"/>
        <item h="1" sd="0" x="31"/>
        <item h="1" sd="0" x="55"/>
        <item h="1" sd="0" x="227"/>
        <item h="1" sd="0" x="453"/>
        <item h="1" sd="0" x="356"/>
        <item h="1" sd="0" x="161"/>
        <item h="1" sd="0" x="153"/>
        <item h="1" sd="0" x="653"/>
        <item h="1" sd="0" x="553"/>
        <item h="1" sd="0" x="706"/>
        <item h="1" sd="0" m="1" x="899"/>
        <item h="1" sd="0" x="133"/>
        <item h="1" sd="0" m="1" x="805"/>
        <item h="1" sd="0" m="1" x="798"/>
        <item h="1" sd="0" m="1" x="1001"/>
        <item h="1" sd="0" x="668"/>
        <item h="1" x="765"/>
        <item h="1" sd="0" x="681"/>
        <item h="1" sd="0" x="686"/>
        <item h="1" sd="0" x="46"/>
        <item h="1" sd="0" x="374"/>
        <item h="1" sd="0" m="1" x="807"/>
        <item h="1" sd="0" x="423"/>
        <item h="1" sd="0" x="574"/>
        <item h="1" sd="0" x="367"/>
        <item h="1" sd="0" x="270"/>
        <item h="1" sd="0" m="1" x="889"/>
        <item h="1" sd="0" m="1" x="854"/>
        <item h="1" sd="0" x="427"/>
        <item h="1" sd="0" x="411"/>
        <item h="1" sd="0" x="465"/>
        <item h="1" sd="0" m="1" x="890"/>
        <item h="1" sd="0" m="1" x="870"/>
        <item h="1" sd="0" m="1" x="982"/>
        <item h="1" sd="0" m="1" x="925"/>
        <item h="1" sd="0" m="1" x="886"/>
        <item h="1" sd="0" x="366"/>
        <item h="1" sd="0" x="437"/>
        <item h="1" sd="0" x="506"/>
        <item h="1" sd="0" x="632"/>
        <item h="1" sd="0" m="1" x="900"/>
        <item h="1" sd="0" x="567"/>
        <item h="1" sd="0" x="665"/>
        <item h="1" sd="0" x="534"/>
        <item h="1" sd="0" x="456"/>
        <item h="1" sd="0" x="318"/>
        <item h="1" sd="0" m="1" x="847"/>
        <item h="1" sd="0" x="698"/>
        <item h="1" sd="0" x="312"/>
        <item h="1" sd="0" x="273"/>
        <item h="1" sd="0" x="428"/>
        <item h="1" sd="0" x="519"/>
        <item h="1" sd="0" m="1" x="947"/>
        <item h="1" sd="0" x="396"/>
        <item h="1" x="754"/>
        <item h="1" sd="0" x="605"/>
        <item h="1" sd="0" x="402"/>
        <item h="1" sd="0" x="712"/>
        <item h="1" sd="0" x="201"/>
        <item h="1" sd="0" m="1" x="874"/>
        <item h="1" sd="0" x="160"/>
        <item h="1" sd="0" x="443"/>
        <item h="1" sd="0" m="1" x="979"/>
        <item h="1" sd="0" m="1" x="939"/>
        <item h="1" sd="0" m="1" x="832"/>
        <item h="1" x="749"/>
        <item h="1" sd="0" x="451"/>
        <item h="1" sd="0" x="538"/>
        <item h="1" sd="0" x="414"/>
        <item h="1" sd="0" x="413"/>
        <item h="1" sd="0" x="277"/>
        <item h="1" sd="0" x="467"/>
        <item h="1" sd="0" m="1" x="933"/>
        <item h="1" sd="0" x="225"/>
        <item h="1" sd="0" m="1" x="803"/>
        <item h="1" sd="0" m="1" x="806"/>
        <item h="1" sd="0" x="522"/>
        <item h="1" sd="0" x="468"/>
        <item h="1" sd="0" x="539"/>
        <item h="1" sd="0" x="633"/>
        <item h="1" sd="0" m="1" x="817"/>
        <item h="1" sd="0" x="292"/>
        <item h="1" sd="0" x="15"/>
        <item h="1" sd="0" m="1" x="845"/>
        <item h="1" sd="0" m="1" x="860"/>
        <item h="1" sd="0" x="662"/>
        <item h="1" sd="0" x="0"/>
        <item h="1" sd="0" x="232"/>
        <item h="1" sd="0" x="679"/>
        <item h="1" sd="0" x="213"/>
        <item h="1" sd="0" m="1" x="981"/>
        <item h="1" sd="0" x="316"/>
        <item h="1" x="752"/>
        <item h="1" sd="0" x="703"/>
        <item h="1" sd="0" x="513"/>
        <item h="1" sd="0" x="436"/>
        <item h="1" sd="0" x="449"/>
        <item h="1" sd="0" m="1" x="788"/>
        <item h="1" sd="0" x="291"/>
        <item h="1" x="741"/>
        <item h="1" sd="0" x="391"/>
        <item h="1" sd="0" x="333"/>
        <item h="1" x="745"/>
        <item sd="0" x="339"/>
        <item h="1" sd="0" x="275"/>
        <item h="1" sd="0" m="1" x="820"/>
        <item sd="0" x="174"/>
        <item h="1" sd="0" x="171"/>
        <item h="1" sd="0" x="233"/>
        <item h="1" sd="0" x="78"/>
        <item h="1" sd="0" m="1" x="880"/>
        <item h="1" sd="0" x="236"/>
        <item h="1" sd="0" x="58"/>
        <item h="1" sd="0" m="1" x="950"/>
        <item h="1" sd="0" x="474"/>
        <item h="1" sd="0" x="511"/>
        <item h="1" sd="0" x="408"/>
        <item h="1" sd="0" x="587"/>
        <item h="1" sd="0" x="240"/>
        <item h="1" sd="0" m="1" x="813"/>
        <item h="1" sd="0" x="182"/>
        <item h="1" sd="0" x="307"/>
        <item h="1" sd="0" m="1" x="823"/>
        <item h="1" sd="0" x="648"/>
        <item h="1" sd="0" x="290"/>
        <item h="1" sd="0" m="1" x="906"/>
        <item h="1" sd="0" m="1" x="968"/>
        <item h="1" sd="0" x="636"/>
        <item h="1" sd="0" x="499"/>
        <item h="1" sd="0" x="447"/>
        <item h="1" sd="0" x="132"/>
        <item h="1" sd="0" x="56"/>
        <item h="1" sd="0" x="126"/>
        <item h="1" sd="0" x="22"/>
        <item h="1" sd="0" x="187"/>
        <item h="1" sd="0" m="1" x="794"/>
        <item h="1" sd="0" m="1" x="999"/>
        <item h="1" sd="0" m="1" x="800"/>
        <item h="1" sd="0" x="11"/>
        <item h="1" sd="0" x="670"/>
        <item h="1" sd="0" x="353"/>
        <item h="1" sd="0" x="542"/>
        <item h="1" sd="0" m="1" x="885"/>
        <item h="1" sd="0" x="124"/>
        <item h="1" sd="0" x="646"/>
        <item h="1" sd="0" m="1" x="1029"/>
        <item h="1" sd="0" x="77"/>
        <item h="1" sd="0" m="1" x="910"/>
        <item h="1" sd="0" x="435"/>
        <item h="1" sd="0" x="92"/>
        <item h="1" sd="0" x="35"/>
        <item h="1" sd="0" x="196"/>
        <item h="1" sd="0" m="1" x="1008"/>
        <item h="1" sd="0" x="1"/>
        <item h="1" sd="0" x="180"/>
        <item h="1" sd="0" x="430"/>
        <item h="1" sd="0" x="285"/>
        <item h="1" x="750"/>
        <item h="1" sd="0" x="581"/>
        <item h="1" sd="0" m="1" x="928"/>
        <item h="1" sd="0" x="42"/>
        <item h="1" sd="0" x="469"/>
        <item h="1" sd="0" x="440"/>
        <item h="1" sd="0" m="1" x="949"/>
        <item h="1" sd="0" m="1" x="918"/>
        <item h="1" sd="0" m="1" x="936"/>
        <item h="1" sd="0" m="1" x="868"/>
        <item h="1" sd="0" x="84"/>
        <item h="1" sd="0" x="106"/>
        <item h="1" sd="0" x="729"/>
        <item h="1" sd="0" m="1" x="779"/>
        <item h="1" sd="0" x="526"/>
        <item h="1" sd="0" x="592"/>
        <item h="1" sd="0" x="484"/>
        <item h="1" sd="0" x="336"/>
        <item h="1" sd="0" x="659"/>
        <item h="1" sd="0" x="669"/>
        <item h="1" sd="0" m="1" x="942"/>
        <item h="1" sd="0" x="560"/>
        <item h="1" sd="0" x="716"/>
        <item sd="0" x="711"/>
        <item sd="0" x="599"/>
        <item h="1" sd="0" m="1" x="781"/>
        <item h="1" sd="0" m="1" x="776"/>
        <item h="1" sd="0" m="1" x="929"/>
        <item h="1" sd="0" m="1" x="809"/>
        <item h="1" sd="0" x="515"/>
        <item h="1" sd="0" x="717"/>
        <item h="1" sd="0" x="677"/>
        <item h="1" sd="0" x="699"/>
        <item h="1" sd="0" m="1" x="959"/>
        <item h="1" sd="0" m="1" x="810"/>
        <item h="1" sd="0" x="16"/>
        <item h="1" sd="0" m="1" x="893"/>
        <item h="1" sd="0" x="407"/>
        <item h="1" sd="0" x="603"/>
        <item h="1" sd="0" m="1" x="938"/>
        <item h="1" sd="0" m="1" x="850"/>
        <item h="1" sd="0" x="280"/>
        <item h="1" sd="0" x="104"/>
        <item h="1" sd="0" x="332"/>
        <item h="1" sd="0" m="1" x="873"/>
        <item h="1" sd="0" x="348"/>
        <item h="1" sd="0" x="23"/>
        <item sd="0" x="694"/>
        <item h="1" sd="0" m="1" x="827"/>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19"/>
        <item h="1" sd="0" m="1" x="994"/>
        <item h="1" sd="0" x="87"/>
        <item h="1" sd="0" x="501"/>
        <item h="1" sd="0" x="691"/>
        <item h="1" sd="0" x="450"/>
        <item h="1" sd="0" x="33"/>
        <item h="1" sd="0" x="19"/>
        <item h="1" sd="0" x="389"/>
        <item h="1" sd="0" m="1" x="783"/>
        <item h="1" sd="0" x="403"/>
        <item h="1" sd="0" x="20"/>
        <item h="1" sd="0" m="1" x="795"/>
        <item h="1" sd="0" x="584"/>
        <item h="1" sd="0" x="96"/>
        <item h="1" sd="0" x="555"/>
        <item h="1" sd="0" x="438"/>
        <item h="1" sd="0" m="1" x="822"/>
        <item h="1" sd="0" m="1" x="1011"/>
        <item h="1" sd="0" m="1" x="988"/>
        <item h="1" sd="0" m="1" x="861"/>
        <item h="1" sd="0" x="588"/>
        <item h="1" sd="0" x="120"/>
        <item h="1" sd="0" x="590"/>
        <item h="1" sd="0" x="131"/>
        <item h="1" sd="0" x="119"/>
        <item h="1" sd="0" m="1" x="940"/>
        <item h="1" sd="0" m="1" x="904"/>
        <item h="1" sd="0" m="1" x="931"/>
        <item h="1" sd="0" m="1" x="793"/>
        <item h="1" sd="0" m="1" x="916"/>
        <item h="1" sd="0" x="228"/>
        <item h="1" sd="0" x="39"/>
        <item h="1" sd="0" x="619"/>
        <item h="1" sd="0" x="108"/>
        <item h="1" sd="0" x="24"/>
        <item h="1" x="731"/>
        <item h="1" sd="0" x="139"/>
        <item h="1" sd="0" x="393"/>
        <item h="1" sd="0" m="1" x="998"/>
        <item h="1" sd="0" x="613"/>
        <item h="1" sd="0" x="17"/>
        <item h="1" sd="0" x="461"/>
        <item h="1" x="744"/>
        <item h="1" x="771"/>
        <item h="1" sd="0" x="441"/>
        <item h="1" sd="0" x="248"/>
        <item h="1" sd="0" x="48"/>
        <item h="1" sd="0" m="1" x="912"/>
        <item h="1" sd="0" m="1" x="973"/>
        <item h="1" sd="0" x="134"/>
        <item h="1" sd="0" x="596"/>
        <item h="1" sd="0" m="1" x="882"/>
        <item h="1" sd="0" x="69"/>
        <item h="1" sd="0" x="654"/>
        <item h="1" sd="0" m="1" x="946"/>
        <item h="1" sd="0" x="34"/>
        <item h="1" sd="0" x="206"/>
        <item h="1" sd="0" m="1" x="1014"/>
        <item h="1" sd="0" m="1" x="888"/>
        <item h="1" sd="0" m="1" x="907"/>
        <item h="1" sd="0" m="1" x="849"/>
        <item h="1" sd="0" x="268"/>
        <item h="1" sd="0" x="376"/>
        <item h="1" sd="0" x="331"/>
        <item h="1" sd="0" m="1" x="841"/>
        <item h="1" sd="0" x="360"/>
        <item h="1" sd="0" m="1" x="989"/>
        <item h="1" sd="0" x="89"/>
        <item h="1" sd="0" x="355"/>
        <item sd="0" x="642"/>
        <item h="1" sd="0" m="1" x="887"/>
        <item h="1" sd="0" x="168"/>
        <item h="1" sd="0" m="1" x="784"/>
        <item h="1" sd="0" m="1" x="777"/>
        <item h="1" sd="0" x="473"/>
        <item h="1" sd="0" x="272"/>
        <item h="1" sd="0" x="523"/>
        <item h="1" sd="0" x="51"/>
        <item h="1" sd="0" x="190"/>
        <item h="1" sd="0" x="625"/>
        <item h="1" sd="0" x="50"/>
        <item h="1" sd="0" x="79"/>
        <item h="1" sd="0" x="32"/>
        <item h="1" sd="0" m="1" x="976"/>
        <item h="1" sd="0" x="667"/>
        <item h="1" sd="0" x="188"/>
        <item h="1" x="767"/>
        <item h="1" sd="0" x="110"/>
        <item h="1" sd="0" m="1" x="995"/>
        <item h="1" sd="0" m="1" x="992"/>
        <item h="1" sd="0" m="1" x="897"/>
        <item h="1" sd="0" m="1" x="843"/>
        <item h="1" sd="0" m="1" x="892"/>
        <item h="1" sd="0" m="1" x="864"/>
        <item h="1" sd="0" x="226"/>
        <item h="1" sd="0" x="57"/>
        <item h="1" sd="0" m="1" x="895"/>
        <item h="1" sd="0" x="530"/>
        <item h="1" sd="0" x="554"/>
        <item h="1" x="736"/>
        <item h="1" sd="0" x="340"/>
        <item h="1" sd="0" x="604"/>
        <item h="1" sd="0" x="265"/>
        <item h="1" sd="0" x="448"/>
        <item h="1" sd="0" x="628"/>
        <item h="1" x="773"/>
        <item h="1" sd="0" m="1" x="934"/>
        <item h="1" sd="0" x="294"/>
        <item h="1" sd="0" m="1" x="922"/>
        <item h="1" sd="0" x="585"/>
        <item h="1" sd="0" x="583"/>
        <item h="1" sd="0" x="62"/>
        <item h="1" sd="0" x="295"/>
        <item h="1" sd="0" x="3"/>
        <item h="1" sd="0" x="151"/>
        <item h="1" sd="0" x="415"/>
        <item h="1" sd="0" x="503"/>
        <item h="1" sd="0" x="210"/>
        <item h="1" sd="0" x="54"/>
        <item h="1" sd="0" m="1" x="954"/>
        <item h="1" sd="0" m="1" x="937"/>
        <item h="1" sd="0" x="387"/>
        <item h="1" sd="0" m="1" x="796"/>
        <item h="1" sd="0" x="323"/>
        <item h="1" sd="0" x="715"/>
        <item h="1" sd="0" x="678"/>
        <item h="1" sd="0" m="1" x="830"/>
        <item h="1" sd="0" x="75"/>
        <item h="1" sd="0" x="476"/>
        <item h="1" sd="0" x="527"/>
        <item h="1" sd="0" m="1" x="859"/>
        <item h="1" sd="0" x="186"/>
        <item h="1" sd="0" x="486"/>
        <item h="1" sd="0" x="674"/>
        <item h="1" sd="0" x="429"/>
        <item h="1" sd="0" x="361"/>
        <item h="1" sd="0" x="368"/>
        <item sd="0" x="723"/>
        <item sd="0" x="769"/>
        <item h="1" sd="0" x="327"/>
        <item h="1" sd="0" x="195"/>
        <item h="1" sd="0" x="688"/>
        <item h="1" sd="0" x="566"/>
        <item h="1" sd="0" m="1" x="927"/>
        <item h="1" sd="0" m="1" x="967"/>
        <item h="1" sd="0" x="123"/>
        <item h="1" sd="0" x="497"/>
        <item sd="0" x="721"/>
        <item h="1" sd="0" m="1" x="856"/>
        <item h="1" sd="0" x="194"/>
        <item h="1" sd="0" x="557"/>
        <item h="1" sd="0" x="663"/>
        <item h="1" sd="0" x="121"/>
        <item h="1" x="775"/>
        <item h="1" sd="0" x="53"/>
        <item h="1" sd="0" x="472"/>
        <item h="1" sd="0" x="549"/>
        <item h="1" sd="0" x="565"/>
        <item h="1" sd="0" m="1" x="984"/>
        <item h="1" m="1" x="908"/>
        <item h="1" sd="0" x="278"/>
        <item h="1" x="753"/>
        <item h="1" sd="0" x="212"/>
        <item h="1" sd="0" m="1" x="865"/>
        <item h="1" sd="0" m="1" x="969"/>
        <item h="1" sd="0" m="1" x="960"/>
        <item h="1" sd="0" x="631"/>
        <item h="1" sd="0" m="1" x="1027"/>
        <item h="1" sd="0" m="1" x="811"/>
        <item h="1" sd="0" x="675"/>
        <item h="1" sd="0" m="1" x="1021"/>
        <item h="1" sd="0" x="692"/>
        <item h="1" sd="0" x="117"/>
        <item h="1" sd="0" x="111"/>
        <item h="1" sd="0" x="671"/>
        <item h="1" sd="0" x="502"/>
        <item h="1" sd="0" x="417"/>
        <item h="1" sd="0" x="81"/>
        <item h="1" sd="0" x="7"/>
        <item h="1" sd="0" x="235"/>
        <item h="1" sd="0" x="434"/>
        <item h="1" sd="0" x="287"/>
        <item h="1" sd="0" m="1" x="958"/>
        <item h="1" sd="0" m="1" x="1005"/>
        <item h="1" sd="0" x="491"/>
        <item h="1" sd="0" x="724"/>
        <item h="1" sd="0" x="2"/>
        <item h="1" sd="0" x="637"/>
        <item h="1" sd="0" m="1" x="1020"/>
        <item h="1" sd="0" m="1" x="878"/>
        <item h="1" sd="0" x="693"/>
        <item h="1" sd="0" x="536"/>
        <item h="1" sd="0" x="163"/>
        <item h="1" sd="0" x="431"/>
        <item h="1" sd="0" m="1" x="952"/>
        <item h="1" sd="0" x="650"/>
        <item h="1" sd="0" x="680"/>
        <item h="1" sd="0" x="478"/>
        <item h="1" sd="0" x="602"/>
        <item h="1" sd="0" m="1" x="838"/>
        <item h="1" sd="0" x="445"/>
        <item h="1" sd="0" m="1" x="824"/>
        <item h="1" sd="0" m="1" x="1028"/>
        <item h="1" sd="0" m="1" x="790"/>
        <item h="1" sd="0" m="1" x="787"/>
        <item h="1" sd="0" x="130"/>
        <item h="1" sd="0" x="88"/>
        <item h="1" sd="0" m="1" x="1023"/>
        <item h="1" sd="0" x="204"/>
        <item h="1" sd="0" x="72"/>
        <item h="1" sd="0" x="73"/>
        <item h="1" sd="0" x="28"/>
        <item h="1" sd="0" x="47"/>
        <item h="1" sd="0" x="181"/>
        <item h="1" sd="0" x="26"/>
        <item h="1" sd="0" x="86"/>
        <item h="1" sd="0" x="230"/>
        <item h="1" sd="0" m="1" x="894"/>
        <item h="1" sd="0" m="1" x="877"/>
        <item h="1" x="739"/>
        <item h="1" sd="0" m="1" x="913"/>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63"/>
        <item h="1" sd="0" x="178"/>
        <item h="1" sd="0" x="266"/>
        <item h="1" sd="0" x="364"/>
        <item h="1" sd="0" x="525"/>
        <item h="1" sd="0" x="98"/>
        <item h="1" sd="0" x="589"/>
        <item h="1" sd="0" x="165"/>
        <item h="1" sd="0" x="580"/>
        <item h="1" sd="0" x="66"/>
        <item sd="0" x="689"/>
        <item h="1" sd="0" x="5"/>
        <item h="1" sd="0" x="388"/>
        <item h="1" sd="0" x="545"/>
        <item h="1" sd="0" x="576"/>
        <item h="1" m="1" x="923"/>
        <item sd="0" x="635"/>
        <item h="1" sd="0" m="1" x="837"/>
        <item h="1" sd="0" x="359"/>
        <item h="1" sd="0" m="1" x="1018"/>
        <item h="1" sd="0" x="425"/>
        <item h="1" sd="0" x="269"/>
        <item h="1" sd="0" x="215"/>
        <item h="1" sd="0" x="349"/>
        <item h="1" sd="0" x="283"/>
        <item h="1" sd="0" x="185"/>
        <item h="1" sd="0" x="460"/>
        <item h="1" sd="0" x="220"/>
        <item h="1" sd="0" x="705"/>
        <item h="1" sd="0" x="598"/>
        <item h="1" sd="0" x="644"/>
        <item h="1" x="756"/>
        <item h="1" sd="0" x="624"/>
        <item h="1" sd="0" x="547"/>
        <item h="1" sd="0" m="1" x="1006"/>
        <item h="1" sd="0" m="1" x="782"/>
        <item h="1" sd="0" x="4"/>
        <item h="1" sd="0" x="377"/>
        <item h="1" sd="0" x="262"/>
        <item h="1" sd="0" x="454"/>
        <item h="1" sd="0" x="326"/>
        <item h="1" sd="0" x="173"/>
        <item h="1" sd="0" x="200"/>
        <item h="1" sd="0" m="1" x="821"/>
        <item h="1" sd="0" x="727"/>
        <item h="1" sd="0" x="495"/>
        <item h="1" sd="0" x="345"/>
        <item h="1" sd="0" x="719"/>
        <item h="1" sd="0" x="568"/>
        <item h="1" sd="0" x="640"/>
        <item h="1" sd="0" x="482"/>
        <item h="1" sd="0" x="728"/>
        <item h="1" sd="0" x="30"/>
        <item h="1" sd="0" m="1" x="955"/>
        <item h="1" sd="0" x="242"/>
        <item h="1" sd="0" x="591"/>
        <item h="1" sd="0" x="645"/>
        <item h="1" sd="0" m="1" x="884"/>
        <item h="1" sd="0" m="1" x="791"/>
        <item h="1" sd="0" x="695"/>
        <item h="1" sd="0" x="470"/>
        <item h="1" sd="0" x="243"/>
        <item h="1" sd="0" m="1" x="1000"/>
        <item h="1" sd="0" x="622"/>
        <item h="1" sd="0" x="398"/>
        <item h="1" sd="0" m="1" x="831"/>
        <item h="1" sd="0" m="1" x="1003"/>
        <item h="1" sd="0" m="1" x="902"/>
        <item h="1" sd="0" x="551"/>
        <item h="1" sd="0" x="303"/>
        <item h="1" sd="0" x="532"/>
        <item h="1" sd="0" x="37"/>
        <item h="1" sd="0" x="357"/>
        <item h="1" sd="0" x="487"/>
        <item h="1" sd="0" x="658"/>
        <item h="1" sd="0" x="687"/>
        <item h="1" sd="0" x="512"/>
        <item h="1" sd="0" m="1" x="896"/>
        <item h="1" sd="0" m="1" x="948"/>
        <item h="1" sd="0" x="115"/>
        <item h="1" sd="0" m="1" x="997"/>
        <item h="1" sd="0" m="1" x="802"/>
        <item h="1" sd="0" x="324"/>
        <item sd="0" x="518"/>
        <item h="1" sd="0" m="1" x="866"/>
        <item h="1" sd="0" x="128"/>
        <item h="1" sd="0" x="520"/>
        <item h="1" sd="0" m="1" x="1004"/>
        <item h="1" sd="0" m="1" x="980"/>
        <item h="1" sd="0" x="255"/>
        <item h="1" sd="0" x="199"/>
        <item h="1" sd="0" x="329"/>
        <item h="1" sd="0" x="297"/>
        <item h="1" sd="0" x="310"/>
        <item h="1" x="743"/>
        <item h="1" sd="0" x="83"/>
        <item h="1" sd="0" m="1" x="903"/>
        <item h="1" sd="0" x="600"/>
        <item h="1" sd="0" m="1" x="785"/>
        <item h="1" sd="0" x="80"/>
        <item h="1" sd="0" m="1" x="855"/>
        <item h="1" sd="0" m="1" x="993"/>
        <item h="1" sd="0" x="97"/>
        <item h="1" sd="0" x="564"/>
        <item h="1" sd="0" x="289"/>
        <item h="1" sd="0" m="1" x="943"/>
        <item h="1" sd="0" x="116"/>
        <item h="1" sd="0" x="209"/>
        <item h="1" sd="0" x="452"/>
        <item h="1" sd="0" x="685"/>
        <item h="1" sd="0" x="198"/>
        <item h="1" sd="0" x="401"/>
        <item h="1" sd="0" x="656"/>
        <item h="1" sd="0" x="150"/>
        <item h="1" sd="0" x="136"/>
        <item h="1" sd="0" m="1" x="883"/>
        <item h="1" sd="0" x="676"/>
        <item h="1" sd="0" m="1" x="815"/>
        <item h="1" sd="0" x="109"/>
        <item h="1" sd="0" x="397"/>
        <item sd="0" x="664"/>
        <item h="1" sd="0" x="498"/>
        <item h="1" sd="0" x="708"/>
        <item h="1" sd="0" x="649"/>
        <item h="1" sd="0" x="514"/>
        <item h="1" sd="0" x="558"/>
        <item h="1" sd="0" x="524"/>
        <item h="1" sd="0" m="1" x="862"/>
        <item h="1" sd="0" x="660"/>
        <item h="1" sd="0" m="1" x="964"/>
        <item h="1" x="334"/>
        <item sd="0" x="760"/>
        <item h="1" sd="0" x="730"/>
        <item h="1" sd="0" x="284"/>
        <item h="1" sd="0" x="296"/>
        <item h="1" sd="0" x="211"/>
        <item h="1" sd="0" x="582"/>
        <item h="1" sd="0" x="45"/>
        <item h="1" sd="0" m="1" x="944"/>
        <item h="1" sd="0" m="1" x="935"/>
        <item h="1" sd="0" x="507"/>
        <item h="1" sd="0" x="155"/>
        <item h="1" sd="0" m="1" x="965"/>
        <item h="1" sd="0" x="61"/>
        <item h="1" sd="0" x="129"/>
        <item h="1" sd="0" x="105"/>
        <item h="1" sd="0" x="614"/>
        <item sd="0" x="718"/>
        <item h="1" sd="0" m="1" x="808"/>
        <item h="1" sd="0" x="157"/>
        <item h="1" sd="0" x="14"/>
        <item h="1" sd="0" x="43"/>
        <item h="1" sd="0" x="250"/>
        <item h="1" sd="0" x="238"/>
        <item h="1" sd="0" x="103"/>
        <item h="1" sd="0" x="385"/>
        <item h="1" sd="0" x="70"/>
        <item h="1" sd="0" x="299"/>
        <item h="1" sd="0" x="127"/>
        <item h="1" sd="0" m="1" x="778"/>
        <item h="1" sd="0" x="193"/>
        <item h="1" sd="0" x="147"/>
        <item h="1" sd="0" m="1" x="898"/>
        <item h="1" sd="0" x="548"/>
        <item h="1" sd="0" m="1" x="919"/>
        <item h="1" sd="0" x="610"/>
        <item h="1" sd="0" x="405"/>
        <item sd="0" x="751"/>
        <item h="1" sd="0" m="1" x="853"/>
        <item h="1" m="1" x="835"/>
        <item h="1" x="594"/>
        <item h="1" sd="0" x="99"/>
        <item h="1" sd="0" x="344"/>
        <item h="1" sd="0" x="541"/>
        <item h="1" sd="0" x="690"/>
        <item h="1" sd="0" x="612"/>
        <item h="1" sd="0" x="221"/>
        <item h="1" sd="0" x="607"/>
        <item h="1" sd="0" m="1" x="1017"/>
        <item h="1" sd="0" m="1" x="1022"/>
        <item h="1" sd="0" x="271"/>
        <item h="1" sd="0" m="1" x="930"/>
        <item h="1" sd="0" x="166"/>
        <item h="1" sd="0" x="286"/>
        <item sd="0" x="611"/>
        <item h="1" sd="0" x="531"/>
        <item h="1" sd="0" x="621"/>
        <item h="1" sd="0" x="304"/>
        <item h="1" sd="0" m="1" x="891"/>
        <item h="1" sd="0" x="458"/>
        <item h="1" sd="0" x="439"/>
        <item h="1" sd="0" x="543"/>
        <item h="1" sd="0" x="609"/>
        <item h="1" sd="0" x="138"/>
        <item h="1" sd="0" x="41"/>
        <item h="1" sd="0" x="229"/>
        <item h="1" sd="0" x="420"/>
        <item h="1" sd="0" m="1" x="951"/>
        <item h="1" sd="0" x="617"/>
        <item h="1" sd="0" x="71"/>
        <item h="1" sd="0" x="64"/>
        <item h="1" sd="0" x="492"/>
        <item h="1" sd="0" m="1" x="875"/>
        <item h="1" sd="0" m="1" x="869"/>
        <item h="1" x="734"/>
        <item h="1" sd="0" x="432"/>
        <item h="1" x="748"/>
        <item h="1" sd="0" x="540"/>
        <item h="1" sd="0" x="455"/>
        <item h="1" sd="0" x="44"/>
        <item h="1" sd="0" x="114"/>
        <item h="1" sd="0" x="52"/>
        <item h="1" sd="0" x="142"/>
        <item h="1" sd="0" x="579"/>
        <item h="1" sd="0" x="82"/>
        <item h="1" sd="0" x="245"/>
        <item h="1" sd="0" x="457"/>
        <item h="1" sd="0" x="314"/>
        <item h="1" sd="0" m="1" x="990"/>
        <item h="1" sd="0" x="373"/>
        <item h="1" sd="0" m="1" x="961"/>
        <item h="1" x="770"/>
        <item h="1" sd="0" x="722"/>
        <item h="1" sd="0" x="418"/>
        <item h="1" sd="0" x="308"/>
        <item h="1" sd="0" m="1" x="920"/>
        <item h="1" sd="0" m="1" x="987"/>
        <item h="1" sd="0" x="122"/>
        <item h="1" sd="0" x="118"/>
        <item h="1" sd="0" x="661"/>
        <item h="1" sd="0" m="1" x="941"/>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6"/>
        <item h="1" sd="0" x="652"/>
        <item h="1" sd="0" x="647"/>
        <item h="1" sd="0" x="608"/>
        <item h="1" sd="0" x="328"/>
        <item h="1" sd="0" x="350"/>
        <item h="1" sd="0" x="254"/>
        <item h="1" sd="0" x="320"/>
        <item h="1" sd="0" x="620"/>
        <item h="1" sd="0" x="241"/>
        <item h="1" sd="0" x="158"/>
        <item h="1" sd="0" m="1" x="917"/>
        <item h="1" sd="0" x="475"/>
        <item h="1" sd="0" x="416"/>
        <item h="1" sd="0" m="1" x="881"/>
        <item h="1" sd="0" m="1" x="974"/>
        <item h="1" sd="0" m="1" x="786"/>
        <item h="1" sd="0" x="529"/>
        <item h="1" sd="0" x="704"/>
        <item h="1" sd="0" x="657"/>
        <item h="1" x="742"/>
        <item h="1" sd="0" m="1" x="839"/>
        <item h="1" sd="0" x="143"/>
        <item h="1" sd="0" x="683"/>
        <item h="1" sd="0" m="1" x="978"/>
        <item h="1" sd="0" x="276"/>
        <item h="1" sd="0" x="298"/>
        <item h="1" sd="0" x="424"/>
        <item h="1" sd="0" x="697"/>
        <item h="1" sd="0" x="346"/>
        <item h="1" sd="0" x="485"/>
        <item h="1" sd="0" x="306"/>
        <item h="1" sd="0" x="561"/>
        <item h="1" sd="0" m="1" x="1002"/>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6"/>
        <item h="1" sd="0" m="1" x="921"/>
        <item h="1" sd="0" x="578"/>
        <item h="1" sd="0" m="1" x="1024"/>
        <item h="1" sd="0" x="552"/>
        <item h="1" sd="0" m="1" x="876"/>
        <item h="1" sd="0" m="1" x="858"/>
        <item h="1" sd="0" m="1" x="857"/>
        <item h="1" sd="0" x="382"/>
        <item h="1" sd="0" x="90"/>
        <item h="1" sd="0" x="390"/>
        <item h="1" sd="0" x="202"/>
        <item h="1" sd="0" x="67"/>
        <item h="1" sd="0" m="1" x="953"/>
        <item h="1" sd="0" x="702"/>
        <item h="1" sd="0" x="65"/>
        <item h="1" sd="0" x="247"/>
        <item h="1" sd="0" m="1" x="828"/>
        <item h="1" sd="0" x="714"/>
        <item h="1" sd="0" x="216"/>
        <item h="1" sd="0" m="1" x="840"/>
        <item h="1" sd="0" x="141"/>
        <item h="1" sd="0" x="177"/>
        <item h="1" sd="0" x="305"/>
        <item h="1" sd="0" m="1" x="836"/>
        <item h="1" sd="0" x="426"/>
        <item h="1" sd="0" x="404"/>
        <item sd="0" x="655"/>
        <item h="1" x="740"/>
        <item h="1" sd="0" x="400"/>
        <item h="1" sd="0" x="347"/>
        <item h="1" sd="0" m="1" x="1016"/>
        <item h="1" sd="0" m="1" x="901"/>
        <item h="1" sd="0" x="293"/>
        <item h="1" sd="0" x="148"/>
        <item h="1" sd="0" x="354"/>
        <item h="1" sd="0" m="1" x="956"/>
        <item h="1" sd="0" x="27"/>
        <item h="1" sd="0" m="1" x="966"/>
        <item h="1" sd="0" x="707"/>
        <item h="1" sd="0" x="68"/>
        <item h="1" sd="0" x="6"/>
        <item h="1" sd="0" x="263"/>
        <item h="1" sd="0" x="154"/>
        <item h="1" x="766"/>
        <item h="1" sd="0" x="493"/>
        <item h="1" sd="0" x="494"/>
        <item sd="0" x="747"/>
        <item h="1" sd="0" x="164"/>
        <item h="1" sd="0" x="172"/>
        <item h="1" sd="0" x="601"/>
        <item h="1" sd="0" x="205"/>
        <item h="1" sd="0" x="351"/>
        <item h="1" sd="0" x="480"/>
        <item h="1" sd="0" m="1" x="842"/>
        <item h="1" sd="0" x="586"/>
        <item h="1" sd="0" x="412"/>
        <item h="1" sd="0" x="516"/>
        <item h="1" sd="0" x="29"/>
        <item h="1" sd="0" m="1" x="1010"/>
        <item h="1" sd="0" x="9"/>
        <item h="1" x="764"/>
        <item h="1" sd="0" x="335"/>
        <item h="1" sd="0" m="1" x="905"/>
        <item h="1" sd="0" m="1" x="932"/>
        <item h="1" sd="0" m="1" x="871"/>
        <item h="1" sd="0" x="234"/>
        <item h="1" sd="0" x="162"/>
        <item h="1" sd="0" x="410"/>
        <item h="1" sd="0" m="1" x="844"/>
        <item h="1" sd="0" x="629"/>
        <item h="1" sd="0" m="1" x="977"/>
        <item h="1" sd="0" m="1" x="1007"/>
        <item h="1" sd="0" x="477"/>
        <item h="1" sd="0" x="544"/>
        <item h="1" sd="0" x="546"/>
        <item h="1" sd="0" m="1" x="829"/>
        <item h="1" sd="0" x="615"/>
        <item h="1" sd="0" x="682"/>
        <item h="1" sd="0" m="1" x="991"/>
        <item h="1" sd="0" x="300"/>
        <item h="1" sd="0" x="167"/>
        <item h="1" sd="0" x="76"/>
        <item h="1" sd="0" x="444"/>
        <item h="1" sd="0" m="1" x="970"/>
        <item h="1" sd="0" x="342"/>
        <item sd="0" x="737"/>
        <item h="1" x="772"/>
        <item h="1" sd="0" x="341"/>
        <item h="1" sd="0" m="1" x="804"/>
        <item h="1" sd="0" m="1" x="867"/>
        <item h="1" sd="0" x="618"/>
        <item h="1" sd="0" m="1" x="945"/>
        <item h="1" sd="0" m="1" x="924"/>
        <item h="1" sd="0" x="380"/>
        <item h="1" sd="0" x="433"/>
        <item h="1" sd="0" m="1" x="963"/>
        <item h="1" sd="0" x="113"/>
        <item h="1" x="774"/>
        <item h="1" sd="0" x="559"/>
        <item h="1" sd="0" x="251"/>
        <item h="1" sd="0" x="176"/>
        <item h="1" sd="0" x="446"/>
        <item h="1" sd="0" x="372"/>
        <item h="1" sd="0" x="246"/>
        <item h="1" x="735"/>
        <item h="1" sd="0" m="1" x="792"/>
        <item h="1" sd="0" x="257"/>
        <item h="1" sd="0" x="95"/>
        <item sd="0" x="338"/>
        <item h="1" sd="0" x="36"/>
        <item h="1" sd="0" m="1" x="846"/>
        <item h="1" sd="0" x="381"/>
        <item h="1" sd="0" x="21"/>
        <item t="default" sd="0"/>
      </items>
    </pivotField>
    <pivotField axis="axisPage" showAll="0">
      <items count="926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53"/>
        <item x="9254"/>
        <item x="9256"/>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46"/>
        <item x="9247"/>
        <item x="9248"/>
        <item x="9055"/>
        <item x="9183"/>
        <item x="9185"/>
        <item x="9194"/>
        <item x="9205"/>
        <item x="9206"/>
        <item x="9207"/>
        <item x="9208"/>
        <item x="9209"/>
        <item x="9210"/>
        <item x="9211"/>
        <item x="9212"/>
        <item x="9213"/>
        <item x="9214"/>
        <item x="9218"/>
        <item x="9216"/>
        <item x="9217"/>
        <item x="9219"/>
        <item x="9220"/>
        <item x="9221"/>
        <item x="9257"/>
        <item x="9249"/>
        <item x="9258"/>
        <item x="9259"/>
        <item x="9222"/>
        <item x="9223"/>
        <item x="9224"/>
        <item x="9225"/>
        <item x="9226"/>
        <item x="9227"/>
        <item x="9229"/>
        <item x="9250"/>
        <item x="9251"/>
        <item x="9252"/>
        <item x="9260"/>
        <item x="9261"/>
        <item x="9262"/>
        <item x="9263"/>
        <item x="9264"/>
        <item x="9228"/>
        <item x="9230"/>
        <item x="9231"/>
        <item x="9232"/>
        <item x="9233"/>
        <item x="9234"/>
        <item x="9235"/>
        <item x="9236"/>
        <item x="9237"/>
        <item x="9238"/>
        <item x="9239"/>
        <item x="9240"/>
        <item x="9241"/>
        <item x="9242"/>
        <item x="9243"/>
        <item x="9244"/>
        <item x="9245"/>
        <item x="9255"/>
        <item x="9215"/>
        <item x="9265"/>
        <item x="9266"/>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8"/>
    </i>
    <i>
      <x v="509"/>
    </i>
    <i>
      <x v="518"/>
    </i>
    <i>
      <x v="621"/>
    </i>
    <i>
      <x v="627"/>
    </i>
    <i>
      <x v="694"/>
    </i>
    <i>
      <x v="731"/>
    </i>
    <i>
      <x v="742"/>
    </i>
    <i>
      <x v="758"/>
    </i>
    <i>
      <x v="778"/>
    </i>
    <i>
      <x v="795"/>
    </i>
    <i>
      <x v="943"/>
    </i>
    <i>
      <x v="963"/>
    </i>
    <i>
      <x v="1002"/>
    </i>
    <i>
      <x v="102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938">
      <pivotArea type="all" dataOnly="0" outline="0" fieldPosition="0"/>
    </format>
    <format dxfId="1937">
      <pivotArea outline="0" collapsedLevelsAreSubtotals="1" fieldPosition="0"/>
    </format>
    <format dxfId="1936">
      <pivotArea dataOnly="0" labelOnly="1" outline="0" fieldPosition="0">
        <references count="1">
          <reference field="4294967294" count="3">
            <x v="0"/>
            <x v="1"/>
            <x v="2"/>
          </reference>
        </references>
      </pivotArea>
    </format>
    <format dxfId="1935">
      <pivotArea type="all" dataOnly="0" outline="0" fieldPosition="0"/>
    </format>
    <format dxfId="1934">
      <pivotArea outline="0" collapsedLevelsAreSubtotals="1" fieldPosition="0"/>
    </format>
    <format dxfId="1933">
      <pivotArea field="1" type="button" dataOnly="0" labelOnly="1" outline="0" axis="axisRow" fieldPosition="1"/>
    </format>
    <format dxfId="193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3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30">
      <pivotArea dataOnly="0" labelOnly="1" grandRow="1" outline="0" fieldPosition="0"/>
    </format>
    <format dxfId="1929">
      <pivotArea dataOnly="0" labelOnly="1" outline="0" fieldPosition="0">
        <references count="1">
          <reference field="4294967294" count="3">
            <x v="0"/>
            <x v="1"/>
            <x v="2"/>
          </reference>
        </references>
      </pivotArea>
    </format>
    <format dxfId="1928">
      <pivotArea type="all" dataOnly="0" outline="0" fieldPosition="0"/>
    </format>
    <format dxfId="1927">
      <pivotArea outline="0" collapsedLevelsAreSubtotals="1" fieldPosition="0"/>
    </format>
    <format dxfId="1926">
      <pivotArea field="1" type="button" dataOnly="0" labelOnly="1" outline="0" axis="axisRow" fieldPosition="1"/>
    </format>
    <format dxfId="192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23">
      <pivotArea dataOnly="0" labelOnly="1" grandRow="1" outline="0" fieldPosition="0"/>
    </format>
    <format dxfId="1922">
      <pivotArea dataOnly="0" labelOnly="1" outline="0" fieldPosition="0">
        <references count="1">
          <reference field="4294967294" count="3">
            <x v="0"/>
            <x v="1"/>
            <x v="2"/>
          </reference>
        </references>
      </pivotArea>
    </format>
    <format dxfId="1921">
      <pivotArea type="all" dataOnly="0" outline="0" fieldPosition="0"/>
    </format>
    <format dxfId="1920">
      <pivotArea outline="0" collapsedLevelsAreSubtotals="1" fieldPosition="0"/>
    </format>
    <format dxfId="1919">
      <pivotArea field="1" type="button" dataOnly="0" labelOnly="1" outline="0" axis="axisRow" fieldPosition="1"/>
    </format>
    <format dxfId="191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6">
      <pivotArea dataOnly="0" labelOnly="1" grandRow="1" outline="0" fieldPosition="0"/>
    </format>
    <format dxfId="1915">
      <pivotArea dataOnly="0" labelOnly="1" outline="0" fieldPosition="0">
        <references count="1">
          <reference field="4294967294" count="3">
            <x v="0"/>
            <x v="1"/>
            <x v="2"/>
          </reference>
        </references>
      </pivotArea>
    </format>
    <format dxfId="1914">
      <pivotArea dataOnly="0" labelOnly="1" outline="0" fieldPosition="0">
        <references count="1">
          <reference field="4294967294" count="1">
            <x v="2"/>
          </reference>
        </references>
      </pivotArea>
    </format>
    <format dxfId="1913">
      <pivotArea dataOnly="0" labelOnly="1" outline="0" fieldPosition="0">
        <references count="1">
          <reference field="4294967294" count="1">
            <x v="2"/>
          </reference>
        </references>
      </pivotArea>
    </format>
    <format dxfId="1912">
      <pivotArea dataOnly="0" labelOnly="1" outline="0" fieldPosition="0">
        <references count="1">
          <reference field="4294967294" count="2">
            <x v="0"/>
            <x v="1"/>
          </reference>
        </references>
      </pivotArea>
    </format>
    <format dxfId="1911">
      <pivotArea dataOnly="0" labelOnly="1" outline="0" fieldPosition="0">
        <references count="1">
          <reference field="4294967294" count="2">
            <x v="0"/>
            <x v="1"/>
          </reference>
        </references>
      </pivotArea>
    </format>
    <format dxfId="1910">
      <pivotArea dataOnly="0" labelOnly="1" outline="0" fieldPosition="0">
        <references count="1">
          <reference field="4294967294" count="2">
            <x v="0"/>
            <x v="1"/>
          </reference>
        </references>
      </pivotArea>
    </format>
    <format dxfId="1909">
      <pivotArea dataOnly="0" labelOnly="1" outline="0" fieldPosition="0">
        <references count="1">
          <reference field="4294967294" count="2">
            <x v="0"/>
            <x v="1"/>
          </reference>
        </references>
      </pivotArea>
    </format>
    <format dxfId="1908">
      <pivotArea field="1" type="button" dataOnly="0" labelOnly="1" outline="0" axis="axisRow" fieldPosition="1"/>
    </format>
    <format dxfId="1907">
      <pivotArea field="1" type="button" dataOnly="0" labelOnly="1" outline="0" axis="axisRow" fieldPosition="1"/>
    </format>
    <format dxfId="1906">
      <pivotArea field="1" type="button" dataOnly="0" labelOnly="1" outline="0" axis="axisRow" fieldPosition="1"/>
    </format>
    <format dxfId="1905">
      <pivotArea dataOnly="0" labelOnly="1" outline="0" fieldPosition="0">
        <references count="1">
          <reference field="4294967294" count="3">
            <x v="0"/>
            <x v="1"/>
            <x v="2"/>
          </reference>
        </references>
      </pivotArea>
    </format>
    <format dxfId="1904">
      <pivotArea field="1" type="button" dataOnly="0" labelOnly="1" outline="0" axis="axisRow" fieldPosition="1"/>
    </format>
    <format dxfId="1903">
      <pivotArea dataOnly="0" labelOnly="1" outline="0" fieldPosition="0">
        <references count="1">
          <reference field="4294967294" count="3">
            <x v="0"/>
            <x v="1"/>
            <x v="2"/>
          </reference>
        </references>
      </pivotArea>
    </format>
    <format dxfId="1902">
      <pivotArea outline="0" collapsedLevelsAreSubtotals="1" fieldPosition="0"/>
    </format>
    <format dxfId="190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0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899">
      <pivotArea dataOnly="0" labelOnly="1" grandRow="1" outline="0" fieldPosition="0"/>
    </format>
    <format dxfId="1898">
      <pivotArea collapsedLevelsAreSubtotals="1" fieldPosition="0">
        <references count="1">
          <reference field="1" count="1">
            <x v="67"/>
          </reference>
        </references>
      </pivotArea>
    </format>
    <format dxfId="1897">
      <pivotArea collapsedLevelsAreSubtotals="1" fieldPosition="0">
        <references count="1">
          <reference field="1" count="1">
            <x v="68"/>
          </reference>
        </references>
      </pivotArea>
    </format>
    <format dxfId="1896">
      <pivotArea collapsedLevelsAreSubtotals="1" fieldPosition="0">
        <references count="1">
          <reference field="1" count="1">
            <x v="69"/>
          </reference>
        </references>
      </pivotArea>
    </format>
    <format dxfId="1895">
      <pivotArea collapsedLevelsAreSubtotals="1" fieldPosition="0">
        <references count="1">
          <reference field="1" count="1">
            <x v="70"/>
          </reference>
        </references>
      </pivotArea>
    </format>
    <format dxfId="1894">
      <pivotArea collapsedLevelsAreSubtotals="1" fieldPosition="0">
        <references count="1">
          <reference field="1" count="1">
            <x v="71"/>
          </reference>
        </references>
      </pivotArea>
    </format>
    <format dxfId="1893">
      <pivotArea collapsedLevelsAreSubtotals="1" fieldPosition="0">
        <references count="1">
          <reference field="1" count="1">
            <x v="72"/>
          </reference>
        </references>
      </pivotArea>
    </format>
    <format dxfId="1892">
      <pivotArea collapsedLevelsAreSubtotals="1" fieldPosition="0">
        <references count="1">
          <reference field="1" count="1">
            <x v="73"/>
          </reference>
        </references>
      </pivotArea>
    </format>
    <format dxfId="1891">
      <pivotArea collapsedLevelsAreSubtotals="1" fieldPosition="0">
        <references count="1">
          <reference field="1" count="1">
            <x v="74"/>
          </reference>
        </references>
      </pivotArea>
    </format>
    <format dxfId="1890">
      <pivotArea collapsedLevelsAreSubtotals="1" fieldPosition="0">
        <references count="1">
          <reference field="1" count="1">
            <x v="75"/>
          </reference>
        </references>
      </pivotArea>
    </format>
    <format dxfId="1889">
      <pivotArea collapsedLevelsAreSubtotals="1" fieldPosition="0">
        <references count="1">
          <reference field="1" count="1">
            <x v="76"/>
          </reference>
        </references>
      </pivotArea>
    </format>
    <format dxfId="1888">
      <pivotArea collapsedLevelsAreSubtotals="1" fieldPosition="0">
        <references count="1">
          <reference field="1" count="1">
            <x v="77"/>
          </reference>
        </references>
      </pivotArea>
    </format>
    <format dxfId="1887">
      <pivotArea collapsedLevelsAreSubtotals="1" fieldPosition="0">
        <references count="1">
          <reference field="1" count="1">
            <x v="78"/>
          </reference>
        </references>
      </pivotArea>
    </format>
    <format dxfId="1886">
      <pivotArea collapsedLevelsAreSubtotals="1" fieldPosition="0">
        <references count="1">
          <reference field="1" count="1">
            <x v="79"/>
          </reference>
        </references>
      </pivotArea>
    </format>
    <format dxfId="1885">
      <pivotArea collapsedLevelsAreSubtotals="1" fieldPosition="0">
        <references count="1">
          <reference field="1" count="1">
            <x v="80"/>
          </reference>
        </references>
      </pivotArea>
    </format>
    <format dxfId="1884">
      <pivotArea collapsedLevelsAreSubtotals="1" fieldPosition="0">
        <references count="1">
          <reference field="1" count="1">
            <x v="81"/>
          </reference>
        </references>
      </pivotArea>
    </format>
    <format dxfId="1883">
      <pivotArea collapsedLevelsAreSubtotals="1" fieldPosition="0">
        <references count="1">
          <reference field="1" count="1">
            <x v="82"/>
          </reference>
        </references>
      </pivotArea>
    </format>
    <format dxfId="1882">
      <pivotArea collapsedLevelsAreSubtotals="1" fieldPosition="0">
        <references count="1">
          <reference field="1" count="1">
            <x v="83"/>
          </reference>
        </references>
      </pivotArea>
    </format>
    <format dxfId="1881">
      <pivotArea collapsedLevelsAreSubtotals="1" fieldPosition="0">
        <references count="1">
          <reference field="1" count="1">
            <x v="84"/>
          </reference>
        </references>
      </pivotArea>
    </format>
    <format dxfId="1880">
      <pivotArea collapsedLevelsAreSubtotals="1" fieldPosition="0">
        <references count="1">
          <reference field="1" count="1">
            <x v="85"/>
          </reference>
        </references>
      </pivotArea>
    </format>
    <format dxfId="1879">
      <pivotArea collapsedLevelsAreSubtotals="1" fieldPosition="0">
        <references count="1">
          <reference field="1" count="1">
            <x v="86"/>
          </reference>
        </references>
      </pivotArea>
    </format>
    <format dxfId="1878">
      <pivotArea collapsedLevelsAreSubtotals="1" fieldPosition="0">
        <references count="1">
          <reference field="1" count="1">
            <x v="87"/>
          </reference>
        </references>
      </pivotArea>
    </format>
    <format dxfId="1877">
      <pivotArea collapsedLevelsAreSubtotals="1" fieldPosition="0">
        <references count="1">
          <reference field="1" count="1">
            <x v="88"/>
          </reference>
        </references>
      </pivotArea>
    </format>
    <format dxfId="1876">
      <pivotArea collapsedLevelsAreSubtotals="1" fieldPosition="0">
        <references count="1">
          <reference field="1" count="1">
            <x v="89"/>
          </reference>
        </references>
      </pivotArea>
    </format>
    <format dxfId="1875">
      <pivotArea collapsedLevelsAreSubtotals="1" fieldPosition="0">
        <references count="1">
          <reference field="1" count="1">
            <x v="90"/>
          </reference>
        </references>
      </pivotArea>
    </format>
    <format dxfId="1874">
      <pivotArea collapsedLevelsAreSubtotals="1" fieldPosition="0">
        <references count="1">
          <reference field="1" count="1">
            <x v="91"/>
          </reference>
        </references>
      </pivotArea>
    </format>
    <format dxfId="1873">
      <pivotArea collapsedLevelsAreSubtotals="1" fieldPosition="0">
        <references count="1">
          <reference field="1" count="1">
            <x v="92"/>
          </reference>
        </references>
      </pivotArea>
    </format>
    <format dxfId="1872">
      <pivotArea collapsedLevelsAreSubtotals="1" fieldPosition="0">
        <references count="1">
          <reference field="1" count="1">
            <x v="93"/>
          </reference>
        </references>
      </pivotArea>
    </format>
    <format dxfId="1871">
      <pivotArea collapsedLevelsAreSubtotals="1" fieldPosition="0">
        <references count="1">
          <reference field="1" count="1">
            <x v="94"/>
          </reference>
        </references>
      </pivotArea>
    </format>
    <format dxfId="1870">
      <pivotArea collapsedLevelsAreSubtotals="1" fieldPosition="0">
        <references count="1">
          <reference field="1" count="1">
            <x v="95"/>
          </reference>
        </references>
      </pivotArea>
    </format>
    <format dxfId="1869">
      <pivotArea collapsedLevelsAreSubtotals="1" fieldPosition="0">
        <references count="1">
          <reference field="1" count="1">
            <x v="96"/>
          </reference>
        </references>
      </pivotArea>
    </format>
    <format dxfId="1868">
      <pivotArea collapsedLevelsAreSubtotals="1" fieldPosition="0">
        <references count="1">
          <reference field="1" count="1">
            <x v="97"/>
          </reference>
        </references>
      </pivotArea>
    </format>
    <format dxfId="1867">
      <pivotArea collapsedLevelsAreSubtotals="1" fieldPosition="0">
        <references count="1">
          <reference field="1" count="1">
            <x v="98"/>
          </reference>
        </references>
      </pivotArea>
    </format>
    <format dxfId="1866">
      <pivotArea collapsedLevelsAreSubtotals="1" fieldPosition="0">
        <references count="1">
          <reference field="1" count="1">
            <x v="99"/>
          </reference>
        </references>
      </pivotArea>
    </format>
    <format dxfId="1865">
      <pivotArea collapsedLevelsAreSubtotals="1" fieldPosition="0">
        <references count="1">
          <reference field="1" count="1">
            <x v="100"/>
          </reference>
        </references>
      </pivotArea>
    </format>
    <format dxfId="1864">
      <pivotArea collapsedLevelsAreSubtotals="1" fieldPosition="0">
        <references count="1">
          <reference field="1" count="1">
            <x v="101"/>
          </reference>
        </references>
      </pivotArea>
    </format>
    <format dxfId="1863">
      <pivotArea collapsedLevelsAreSubtotals="1" fieldPosition="0">
        <references count="1">
          <reference field="1" count="1">
            <x v="102"/>
          </reference>
        </references>
      </pivotArea>
    </format>
    <format dxfId="1862">
      <pivotArea collapsedLevelsAreSubtotals="1" fieldPosition="0">
        <references count="1">
          <reference field="1" count="1">
            <x v="103"/>
          </reference>
        </references>
      </pivotArea>
    </format>
    <format dxfId="1861">
      <pivotArea collapsedLevelsAreSubtotals="1" fieldPosition="0">
        <references count="1">
          <reference field="1" count="1">
            <x v="104"/>
          </reference>
        </references>
      </pivotArea>
    </format>
    <format dxfId="1860">
      <pivotArea collapsedLevelsAreSubtotals="1" fieldPosition="0">
        <references count="1">
          <reference field="1" count="1">
            <x v="105"/>
          </reference>
        </references>
      </pivotArea>
    </format>
    <format dxfId="1859">
      <pivotArea collapsedLevelsAreSubtotals="1" fieldPosition="0">
        <references count="1">
          <reference field="1" count="1">
            <x v="106"/>
          </reference>
        </references>
      </pivotArea>
    </format>
    <format dxfId="1858">
      <pivotArea collapsedLevelsAreSubtotals="1" fieldPosition="0">
        <references count="1">
          <reference field="1" count="1">
            <x v="107"/>
          </reference>
        </references>
      </pivotArea>
    </format>
    <format dxfId="1857">
      <pivotArea collapsedLevelsAreSubtotals="1" fieldPosition="0">
        <references count="1">
          <reference field="1" count="1">
            <x v="108"/>
          </reference>
        </references>
      </pivotArea>
    </format>
    <format dxfId="1856">
      <pivotArea collapsedLevelsAreSubtotals="1" fieldPosition="0">
        <references count="1">
          <reference field="1" count="1">
            <x v="109"/>
          </reference>
        </references>
      </pivotArea>
    </format>
    <format dxfId="1855">
      <pivotArea collapsedLevelsAreSubtotals="1" fieldPosition="0">
        <references count="1">
          <reference field="1" count="1">
            <x v="110"/>
          </reference>
        </references>
      </pivotArea>
    </format>
    <format dxfId="1854">
      <pivotArea collapsedLevelsAreSubtotals="1" fieldPosition="0">
        <references count="1">
          <reference field="1" count="1">
            <x v="111"/>
          </reference>
        </references>
      </pivotArea>
    </format>
    <format dxfId="1853">
      <pivotArea collapsedLevelsAreSubtotals="1" fieldPosition="0">
        <references count="1">
          <reference field="1" count="1">
            <x v="112"/>
          </reference>
        </references>
      </pivotArea>
    </format>
    <format dxfId="1852">
      <pivotArea collapsedLevelsAreSubtotals="1" fieldPosition="0">
        <references count="1">
          <reference field="1" count="1">
            <x v="113"/>
          </reference>
        </references>
      </pivotArea>
    </format>
    <format dxfId="1851">
      <pivotArea collapsedLevelsAreSubtotals="1" fieldPosition="0">
        <references count="1">
          <reference field="1" count="1">
            <x v="114"/>
          </reference>
        </references>
      </pivotArea>
    </format>
    <format dxfId="1850">
      <pivotArea collapsedLevelsAreSubtotals="1" fieldPosition="0">
        <references count="1">
          <reference field="1" count="1">
            <x v="115"/>
          </reference>
        </references>
      </pivotArea>
    </format>
    <format dxfId="1849">
      <pivotArea collapsedLevelsAreSubtotals="1" fieldPosition="0">
        <references count="1">
          <reference field="1" count="1">
            <x v="116"/>
          </reference>
        </references>
      </pivotArea>
    </format>
    <format dxfId="1848">
      <pivotArea collapsedLevelsAreSubtotals="1" fieldPosition="0">
        <references count="1">
          <reference field="1" count="1">
            <x v="117"/>
          </reference>
        </references>
      </pivotArea>
    </format>
    <format dxfId="1847">
      <pivotArea collapsedLevelsAreSubtotals="1" fieldPosition="0">
        <references count="1">
          <reference field="1" count="1">
            <x v="118"/>
          </reference>
        </references>
      </pivotArea>
    </format>
    <format dxfId="1846">
      <pivotArea collapsedLevelsAreSubtotals="1" fieldPosition="0">
        <references count="1">
          <reference field="1" count="1">
            <x v="119"/>
          </reference>
        </references>
      </pivotArea>
    </format>
    <format dxfId="1845">
      <pivotArea collapsedLevelsAreSubtotals="1" fieldPosition="0">
        <references count="1">
          <reference field="1" count="1">
            <x v="120"/>
          </reference>
        </references>
      </pivotArea>
    </format>
    <format dxfId="1844">
      <pivotArea collapsedLevelsAreSubtotals="1" fieldPosition="0">
        <references count="1">
          <reference field="1" count="1">
            <x v="121"/>
          </reference>
        </references>
      </pivotArea>
    </format>
    <format dxfId="1843">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842">
      <pivotArea dataOnly="0" labelOnly="1" fieldPosition="0">
        <references count="1">
          <reference field="1" count="5">
            <x v="117"/>
            <x v="118"/>
            <x v="119"/>
            <x v="120"/>
            <x v="121"/>
          </reference>
        </references>
      </pivotArea>
    </format>
    <format dxfId="1841">
      <pivotArea dataOnly="0" labelOnly="1" outline="0" fieldPosition="0">
        <references count="1">
          <reference field="4294967294" count="1">
            <x v="2"/>
          </reference>
        </references>
      </pivotArea>
    </format>
    <format dxfId="1840">
      <pivotArea dataOnly="0" labelOnly="1" fieldPosition="0">
        <references count="1">
          <reference field="1" count="7">
            <x v="122"/>
            <x v="123"/>
            <x v="124"/>
            <x v="125"/>
            <x v="126"/>
            <x v="127"/>
            <x v="129"/>
          </reference>
        </references>
      </pivotArea>
    </format>
    <format dxfId="1839">
      <pivotArea dataOnly="0" labelOnly="1" fieldPosition="0">
        <references count="1">
          <reference field="1" count="7">
            <x v="122"/>
            <x v="123"/>
            <x v="124"/>
            <x v="125"/>
            <x v="126"/>
            <x v="127"/>
            <x v="129"/>
          </reference>
        </references>
      </pivotArea>
    </format>
    <format dxfId="1838">
      <pivotArea collapsedLevelsAreSubtotals="1" fieldPosition="0">
        <references count="1">
          <reference field="1" count="1">
            <x v="122"/>
          </reference>
        </references>
      </pivotArea>
    </format>
    <format dxfId="1837">
      <pivotArea collapsedLevelsAreSubtotals="1" fieldPosition="0">
        <references count="1">
          <reference field="1" count="1">
            <x v="123"/>
          </reference>
        </references>
      </pivotArea>
    </format>
    <format dxfId="1836">
      <pivotArea collapsedLevelsAreSubtotals="1" fieldPosition="0">
        <references count="1">
          <reference field="1" count="1">
            <x v="124"/>
          </reference>
        </references>
      </pivotArea>
    </format>
    <format dxfId="1835">
      <pivotArea collapsedLevelsAreSubtotals="1" fieldPosition="0">
        <references count="1">
          <reference field="1" count="1">
            <x v="125"/>
          </reference>
        </references>
      </pivotArea>
    </format>
    <format dxfId="1834">
      <pivotArea collapsedLevelsAreSubtotals="1" fieldPosition="0">
        <references count="1">
          <reference field="1" count="1">
            <x v="126"/>
          </reference>
        </references>
      </pivotArea>
    </format>
    <format dxfId="1833">
      <pivotArea collapsedLevelsAreSubtotals="1" fieldPosition="0">
        <references count="1">
          <reference field="1" count="1">
            <x v="127"/>
          </reference>
        </references>
      </pivotArea>
    </format>
    <format dxfId="1832">
      <pivotArea collapsedLevelsAreSubtotals="1" fieldPosition="0">
        <references count="1">
          <reference field="1" count="1">
            <x v="129"/>
          </reference>
        </references>
      </pivotArea>
    </format>
    <format dxfId="1831">
      <pivotArea dataOnly="0" labelOnly="1" fieldPosition="0">
        <references count="1">
          <reference field="1" count="4">
            <x v="18"/>
            <x v="19"/>
            <x v="30"/>
            <x v="31"/>
          </reference>
        </references>
      </pivotArea>
    </format>
    <format dxfId="1830">
      <pivotArea dataOnly="0" labelOnly="1" fieldPosition="0">
        <references count="1">
          <reference field="1" count="3">
            <x v="17"/>
            <x v="32"/>
            <x v="33"/>
          </reference>
        </references>
      </pivotArea>
    </format>
    <format dxfId="1829">
      <pivotArea dataOnly="0" labelOnly="1" fieldPosition="0">
        <references count="1">
          <reference field="1" count="2">
            <x v="18"/>
            <x v="19"/>
          </reference>
        </references>
      </pivotArea>
    </format>
    <format dxfId="1828">
      <pivotArea dataOnly="0" labelOnly="1" fieldPosition="0">
        <references count="1">
          <reference field="1" count="1">
            <x v="17"/>
          </reference>
        </references>
      </pivotArea>
    </format>
    <format dxfId="1827">
      <pivotArea collapsedLevelsAreSubtotals="1" fieldPosition="0">
        <references count="1">
          <reference field="1" count="1">
            <x v="37"/>
          </reference>
        </references>
      </pivotArea>
    </format>
    <format dxfId="1826">
      <pivotArea collapsedLevelsAreSubtotals="1" fieldPosition="0">
        <references count="1">
          <reference field="1" count="1">
            <x v="38"/>
          </reference>
        </references>
      </pivotArea>
    </format>
    <format dxfId="1825">
      <pivotArea collapsedLevelsAreSubtotals="1" fieldPosition="0">
        <references count="1">
          <reference field="1" count="1">
            <x v="39"/>
          </reference>
        </references>
      </pivotArea>
    </format>
    <format dxfId="1824">
      <pivotArea collapsedLevelsAreSubtotals="1" fieldPosition="0">
        <references count="1">
          <reference field="1" count="1">
            <x v="40"/>
          </reference>
        </references>
      </pivotArea>
    </format>
    <format dxfId="1823">
      <pivotArea collapsedLevelsAreSubtotals="1" fieldPosition="0">
        <references count="1">
          <reference field="1" count="1">
            <x v="41"/>
          </reference>
        </references>
      </pivotArea>
    </format>
    <format dxfId="1822">
      <pivotArea collapsedLevelsAreSubtotals="1" fieldPosition="0">
        <references count="1">
          <reference field="1" count="1">
            <x v="42"/>
          </reference>
        </references>
      </pivotArea>
    </format>
    <format dxfId="1821">
      <pivotArea collapsedLevelsAreSubtotals="1" fieldPosition="0">
        <references count="1">
          <reference field="1" count="1">
            <x v="43"/>
          </reference>
        </references>
      </pivotArea>
    </format>
    <format dxfId="1820">
      <pivotArea collapsedLevelsAreSubtotals="1" fieldPosition="0">
        <references count="1">
          <reference field="1" count="1">
            <x v="44"/>
          </reference>
        </references>
      </pivotArea>
    </format>
    <format dxfId="1819">
      <pivotArea collapsedLevelsAreSubtotals="1" fieldPosition="0">
        <references count="1">
          <reference field="1" count="1">
            <x v="45"/>
          </reference>
        </references>
      </pivotArea>
    </format>
    <format dxfId="1818">
      <pivotArea collapsedLevelsAreSubtotals="1" fieldPosition="0">
        <references count="1">
          <reference field="1" count="1">
            <x v="46"/>
          </reference>
        </references>
      </pivotArea>
    </format>
    <format dxfId="1817">
      <pivotArea collapsedLevelsAreSubtotals="1" fieldPosition="0">
        <references count="1">
          <reference field="1" count="1">
            <x v="47"/>
          </reference>
        </references>
      </pivotArea>
    </format>
    <format dxfId="1816">
      <pivotArea collapsedLevelsAreSubtotals="1" fieldPosition="0">
        <references count="1">
          <reference field="1" count="1">
            <x v="48"/>
          </reference>
        </references>
      </pivotArea>
    </format>
    <format dxfId="1815">
      <pivotArea collapsedLevelsAreSubtotals="1" fieldPosition="0">
        <references count="1">
          <reference field="1" count="1">
            <x v="49"/>
          </reference>
        </references>
      </pivotArea>
    </format>
    <format dxfId="1814">
      <pivotArea collapsedLevelsAreSubtotals="1" fieldPosition="0">
        <references count="1">
          <reference field="1" count="1">
            <x v="50"/>
          </reference>
        </references>
      </pivotArea>
    </format>
    <format dxfId="1813">
      <pivotArea collapsedLevelsAreSubtotals="1" fieldPosition="0">
        <references count="1">
          <reference field="1" count="1">
            <x v="51"/>
          </reference>
        </references>
      </pivotArea>
    </format>
    <format dxfId="1812">
      <pivotArea collapsedLevelsAreSubtotals="1" fieldPosition="0">
        <references count="1">
          <reference field="1" count="1">
            <x v="52"/>
          </reference>
        </references>
      </pivotArea>
    </format>
    <format dxfId="1811">
      <pivotArea collapsedLevelsAreSubtotals="1" fieldPosition="0">
        <references count="1">
          <reference field="1" count="1">
            <x v="53"/>
          </reference>
        </references>
      </pivotArea>
    </format>
    <format dxfId="1810">
      <pivotArea collapsedLevelsAreSubtotals="1" fieldPosition="0">
        <references count="1">
          <reference field="1" count="1">
            <x v="54"/>
          </reference>
        </references>
      </pivotArea>
    </format>
    <format dxfId="1809">
      <pivotArea collapsedLevelsAreSubtotals="1" fieldPosition="0">
        <references count="1">
          <reference field="1" count="1">
            <x v="55"/>
          </reference>
        </references>
      </pivotArea>
    </format>
    <format dxfId="1808">
      <pivotArea collapsedLevelsAreSubtotals="1" fieldPosition="0">
        <references count="1">
          <reference field="1" count="1">
            <x v="56"/>
          </reference>
        </references>
      </pivotArea>
    </format>
    <format dxfId="1807">
      <pivotArea collapsedLevelsAreSubtotals="1" fieldPosition="0">
        <references count="1">
          <reference field="1" count="1">
            <x v="57"/>
          </reference>
        </references>
      </pivotArea>
    </format>
    <format dxfId="1806">
      <pivotArea collapsedLevelsAreSubtotals="1" fieldPosition="0">
        <references count="1">
          <reference field="1" count="1">
            <x v="58"/>
          </reference>
        </references>
      </pivotArea>
    </format>
    <format dxfId="1805">
      <pivotArea collapsedLevelsAreSubtotals="1" fieldPosition="0">
        <references count="1">
          <reference field="1" count="1">
            <x v="59"/>
          </reference>
        </references>
      </pivotArea>
    </format>
    <format dxfId="1804">
      <pivotArea collapsedLevelsAreSubtotals="1" fieldPosition="0">
        <references count="1">
          <reference field="1" count="1">
            <x v="60"/>
          </reference>
        </references>
      </pivotArea>
    </format>
    <format dxfId="1803">
      <pivotArea collapsedLevelsAreSubtotals="1" fieldPosition="0">
        <references count="1">
          <reference field="1" count="1">
            <x v="61"/>
          </reference>
        </references>
      </pivotArea>
    </format>
    <format dxfId="1802">
      <pivotArea collapsedLevelsAreSubtotals="1" fieldPosition="0">
        <references count="1">
          <reference field="1" count="1">
            <x v="62"/>
          </reference>
        </references>
      </pivotArea>
    </format>
    <format dxfId="1801">
      <pivotArea collapsedLevelsAreSubtotals="1" fieldPosition="0">
        <references count="1">
          <reference field="1" count="1">
            <x v="63"/>
          </reference>
        </references>
      </pivotArea>
    </format>
    <format dxfId="1800">
      <pivotArea collapsedLevelsAreSubtotals="1" fieldPosition="0">
        <references count="1">
          <reference field="1" count="1">
            <x v="64"/>
          </reference>
        </references>
      </pivotArea>
    </format>
    <format dxfId="1799">
      <pivotArea collapsedLevelsAreSubtotals="1" fieldPosition="0">
        <references count="1">
          <reference field="1" count="1">
            <x v="65"/>
          </reference>
        </references>
      </pivotArea>
    </format>
    <format dxfId="1798">
      <pivotArea collapsedLevelsAreSubtotals="1" fieldPosition="0">
        <references count="1">
          <reference field="1" count="1">
            <x v="66"/>
          </reference>
        </references>
      </pivotArea>
    </format>
    <format dxfId="1797">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796">
      <pivotArea collapsedLevelsAreSubtotals="1" fieldPosition="0">
        <references count="2">
          <reference field="4294967294" count="2" selected="0">
            <x v="0"/>
            <x v="1"/>
          </reference>
          <reference field="1" count="1">
            <x v="130"/>
          </reference>
        </references>
      </pivotArea>
    </format>
    <format dxfId="1795">
      <pivotArea collapsedLevelsAreSubtotals="1" fieldPosition="0">
        <references count="2">
          <reference field="4294967294" count="2" selected="0">
            <x v="0"/>
            <x v="1"/>
          </reference>
          <reference field="1" count="1">
            <x v="131"/>
          </reference>
        </references>
      </pivotArea>
    </format>
    <format dxfId="1794">
      <pivotArea collapsedLevelsAreSubtotals="1" fieldPosition="0">
        <references count="2">
          <reference field="4294967294" count="2" selected="0">
            <x v="0"/>
            <x v="1"/>
          </reference>
          <reference field="1" count="1">
            <x v="134"/>
          </reference>
        </references>
      </pivotArea>
    </format>
    <format dxfId="1793">
      <pivotArea collapsedLevelsAreSubtotals="1" fieldPosition="0">
        <references count="2">
          <reference field="4294967294" count="2" selected="0">
            <x v="0"/>
            <x v="1"/>
          </reference>
          <reference field="1" count="1">
            <x v="135"/>
          </reference>
        </references>
      </pivotArea>
    </format>
    <format dxfId="1792">
      <pivotArea collapsedLevelsAreSubtotals="1" fieldPosition="0">
        <references count="2">
          <reference field="4294967294" count="2" selected="0">
            <x v="0"/>
            <x v="1"/>
          </reference>
          <reference field="1" count="1">
            <x v="136"/>
          </reference>
        </references>
      </pivotArea>
    </format>
    <format dxfId="1791">
      <pivotArea collapsedLevelsAreSubtotals="1" fieldPosition="0">
        <references count="2">
          <reference field="4294967294" count="2" selected="0">
            <x v="0"/>
            <x v="1"/>
          </reference>
          <reference field="1" count="1">
            <x v="137"/>
          </reference>
        </references>
      </pivotArea>
    </format>
    <format dxfId="1790">
      <pivotArea collapsedLevelsAreSubtotals="1" fieldPosition="0">
        <references count="2">
          <reference field="4294967294" count="2" selected="0">
            <x v="0"/>
            <x v="1"/>
          </reference>
          <reference field="1" count="1">
            <x v="138"/>
          </reference>
        </references>
      </pivotArea>
    </format>
    <format dxfId="1789">
      <pivotArea collapsedLevelsAreSubtotals="1" fieldPosition="0">
        <references count="2">
          <reference field="4294967294" count="2" selected="0">
            <x v="0"/>
            <x v="1"/>
          </reference>
          <reference field="1" count="1">
            <x v="141"/>
          </reference>
        </references>
      </pivotArea>
    </format>
    <format dxfId="1788">
      <pivotArea dataOnly="0" labelOnly="1" fieldPosition="0">
        <references count="1">
          <reference field="1" count="8">
            <x v="130"/>
            <x v="131"/>
            <x v="134"/>
            <x v="135"/>
            <x v="136"/>
            <x v="137"/>
            <x v="138"/>
            <x v="141"/>
          </reference>
        </references>
      </pivotArea>
    </format>
    <format dxfId="1787">
      <pivotArea collapsedLevelsAreSubtotals="1" fieldPosition="0">
        <references count="2">
          <reference field="4294967294" count="1" selected="0">
            <x v="2"/>
          </reference>
          <reference field="1" count="1">
            <x v="130"/>
          </reference>
        </references>
      </pivotArea>
    </format>
    <format dxfId="1786">
      <pivotArea collapsedLevelsAreSubtotals="1" fieldPosition="0">
        <references count="2">
          <reference field="4294967294" count="1" selected="0">
            <x v="2"/>
          </reference>
          <reference field="1" count="1">
            <x v="131"/>
          </reference>
        </references>
      </pivotArea>
    </format>
    <format dxfId="1785">
      <pivotArea collapsedLevelsAreSubtotals="1" fieldPosition="0">
        <references count="2">
          <reference field="4294967294" count="1" selected="0">
            <x v="2"/>
          </reference>
          <reference field="1" count="1">
            <x v="134"/>
          </reference>
        </references>
      </pivotArea>
    </format>
    <format dxfId="1784">
      <pivotArea collapsedLevelsAreSubtotals="1" fieldPosition="0">
        <references count="2">
          <reference field="4294967294" count="1" selected="0">
            <x v="2"/>
          </reference>
          <reference field="1" count="1">
            <x v="135"/>
          </reference>
        </references>
      </pivotArea>
    </format>
    <format dxfId="1783">
      <pivotArea collapsedLevelsAreSubtotals="1" fieldPosition="0">
        <references count="2">
          <reference field="4294967294" count="1" selected="0">
            <x v="2"/>
          </reference>
          <reference field="1" count="1">
            <x v="136"/>
          </reference>
        </references>
      </pivotArea>
    </format>
    <format dxfId="1782">
      <pivotArea collapsedLevelsAreSubtotals="1" fieldPosition="0">
        <references count="2">
          <reference field="4294967294" count="1" selected="0">
            <x v="2"/>
          </reference>
          <reference field="1" count="1">
            <x v="137"/>
          </reference>
        </references>
      </pivotArea>
    </format>
    <format dxfId="1781">
      <pivotArea collapsedLevelsAreSubtotals="1" fieldPosition="0">
        <references count="2">
          <reference field="4294967294" count="1" selected="0">
            <x v="2"/>
          </reference>
          <reference field="1" count="1">
            <x v="138"/>
          </reference>
        </references>
      </pivotArea>
    </format>
    <format dxfId="1780">
      <pivotArea collapsedLevelsAreSubtotals="1" fieldPosition="0">
        <references count="2">
          <reference field="4294967294" count="1" selected="0">
            <x v="2"/>
          </reference>
          <reference field="1" count="1">
            <x v="141"/>
          </reference>
        </references>
      </pivotArea>
    </format>
    <format dxfId="1779">
      <pivotArea collapsedLevelsAreSubtotals="1" fieldPosition="0">
        <references count="2">
          <reference field="1" count="2">
            <x v="39"/>
            <x v="103"/>
          </reference>
          <reference field="2" count="1" selected="0">
            <x v="694"/>
          </reference>
        </references>
      </pivotArea>
    </format>
    <format dxfId="1778">
      <pivotArea dataOnly="0" labelOnly="1" fieldPosition="0">
        <references count="2">
          <reference field="1" count="2">
            <x v="39"/>
            <x v="103"/>
          </reference>
          <reference field="2" count="1" selected="0">
            <x v="694"/>
          </reference>
        </references>
      </pivotArea>
    </format>
    <format dxfId="1777">
      <pivotArea dataOnly="0" labelOnly="1" fieldPosition="0">
        <references count="2">
          <reference field="1" count="9">
            <x v="0"/>
            <x v="1"/>
            <x v="2"/>
            <x v="3"/>
            <x v="17"/>
            <x v="25"/>
            <x v="33"/>
            <x v="39"/>
            <x v="103"/>
          </reference>
          <reference field="2" count="1" selected="0">
            <x v="69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8"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8" firstHeaderRow="0" firstDataRow="1" firstDataCol="1" rowPageCount="1" colPageCount="1"/>
  <pivotFields count="8">
    <pivotField axis="axisPage" showAll="0">
      <items count="128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3"/>
        <item m="1" x="1244"/>
        <item m="1" x="1268"/>
        <item x="247"/>
        <item x="235"/>
        <item x="233"/>
        <item x="234"/>
        <item x="236"/>
        <item x="237"/>
        <item x="214"/>
        <item x="238"/>
        <item x="239"/>
        <item x="240"/>
        <item x="241"/>
        <item x="242"/>
        <item x="248"/>
        <item x="249"/>
        <item x="250"/>
        <item x="251"/>
        <item x="263"/>
        <item x="252"/>
        <item x="253"/>
        <item x="254"/>
        <item x="255"/>
        <item x="256"/>
        <item m="1" x="1269"/>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4"/>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57"/>
        <item x="326"/>
        <item x="327"/>
        <item x="328"/>
        <item x="329"/>
        <item x="330"/>
        <item x="331"/>
        <item x="161"/>
        <item x="333"/>
        <item x="334"/>
        <item x="335"/>
        <item x="336"/>
        <item x="337"/>
        <item x="338"/>
        <item x="339"/>
        <item x="340"/>
        <item x="419"/>
        <item x="341"/>
        <item x="342"/>
        <item x="343"/>
        <item x="344"/>
        <item x="345"/>
        <item m="1" x="1262"/>
        <item x="347"/>
        <item x="346"/>
        <item x="348"/>
        <item m="1" x="1253"/>
        <item x="356"/>
        <item x="353"/>
        <item x="352"/>
        <item m="1" x="1275"/>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6"/>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3"/>
        <item m="1" x="1264"/>
        <item x="420"/>
        <item x="422"/>
        <item x="423"/>
        <item x="428"/>
        <item x="431"/>
        <item x="424"/>
        <item x="425"/>
        <item x="426"/>
        <item x="427"/>
        <item x="429"/>
        <item x="430"/>
        <item x="432"/>
        <item x="433"/>
        <item x="434"/>
        <item x="435"/>
        <item m="1" x="1270"/>
        <item m="1" x="1265"/>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77"/>
        <item x="472"/>
        <item m="1" x="1248"/>
        <item x="473"/>
        <item x="474"/>
        <item x="476"/>
        <item m="1" x="1271"/>
        <item x="475"/>
        <item x="477"/>
        <item x="478"/>
        <item x="479"/>
        <item x="480"/>
        <item x="481"/>
        <item x="482"/>
        <item x="483"/>
        <item x="484"/>
        <item x="485"/>
        <item x="486"/>
        <item x="487"/>
        <item x="488"/>
        <item x="489"/>
        <item x="490"/>
        <item x="491"/>
        <item x="492"/>
        <item x="493"/>
        <item x="494"/>
        <item x="495"/>
        <item x="496"/>
        <item x="497"/>
        <item x="498"/>
        <item x="499"/>
        <item m="1" x="1259"/>
        <item x="500"/>
        <item x="501"/>
        <item x="502"/>
        <item m="1" x="1258"/>
        <item x="503"/>
        <item m="1" x="1261"/>
        <item x="504"/>
        <item m="1" x="1273"/>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67"/>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0"/>
        <item x="769"/>
        <item x="768"/>
        <item x="770"/>
        <item x="771"/>
        <item x="772"/>
        <item x="773"/>
        <item x="774"/>
        <item x="775"/>
        <item x="776"/>
        <item x="777"/>
        <item x="778"/>
        <item x="779"/>
        <item x="780"/>
        <item x="781"/>
        <item x="782"/>
        <item x="783"/>
        <item x="784"/>
        <item m="1" x="1252"/>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6"/>
        <item m="1" x="1246"/>
        <item x="823"/>
        <item x="824"/>
        <item x="825"/>
        <item m="1" x="1255"/>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47"/>
        <item x="861"/>
        <item m="1" x="1245"/>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1"/>
        <item x="914"/>
        <item x="909"/>
        <item m="1" x="1249"/>
        <item x="922"/>
        <item m="1" x="1274"/>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2"/>
        <item x="939"/>
        <item m="1" x="1260"/>
        <item x="934"/>
        <item x="923"/>
        <item x="941"/>
        <item x="944"/>
        <item x="952"/>
        <item x="951"/>
        <item x="953"/>
        <item x="950"/>
        <item x="945"/>
        <item x="955"/>
        <item x="954"/>
        <item x="949"/>
        <item m="1" x="1276"/>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78"/>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t="default"/>
      </items>
    </pivotField>
    <pivotField axis="axisRow" showAll="0" sortType="descending">
      <items count="140">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3"/>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7"/>
        <item sd="0" x="72"/>
        <item sd="0" x="73"/>
        <item sd="0" x="74"/>
        <item sd="0" x="75"/>
        <item sd="0" x="76"/>
        <item sd="0" x="77"/>
        <item sd="0" m="1" x="130"/>
        <item sd="0" m="1" x="138"/>
        <item sd="0" m="1" x="132"/>
        <item sd="0" x="82"/>
        <item sd="0" x="80"/>
        <item sd="0" x="81"/>
        <item sd="0" x="78"/>
        <item sd="0" x="79"/>
        <item sd="0" x="71"/>
        <item sd="0" x="83"/>
        <item sd="0" x="84"/>
        <item sd="0" m="1" x="129"/>
        <item sd="0" x="85"/>
        <item sd="0" x="86"/>
        <item sd="0" m="1" x="131"/>
        <item sd="0" x="87"/>
        <item sd="0" x="90"/>
        <item sd="0" x="88"/>
        <item sd="0" x="89"/>
        <item sd="0" x="91"/>
        <item sd="0" x="92"/>
        <item sd="0" x="94"/>
        <item sd="0" x="95"/>
        <item sd="0" x="96"/>
        <item sd="0" x="97"/>
        <item sd="0" x="98"/>
        <item sd="0" x="99"/>
        <item sd="0" x="100"/>
        <item sd="0" m="1" x="135"/>
        <item sd="0" m="1" x="136"/>
        <item sd="0" m="1" x="126"/>
        <item sd="0" x="101"/>
        <item sd="0" x="104"/>
        <item sd="0" m="1" x="134"/>
        <item x="105"/>
        <item sd="0" x="107"/>
        <item sd="0" x="108"/>
        <item sd="0" x="93"/>
        <item sd="0" x="106"/>
        <item sd="0" x="109"/>
        <item sd="0" x="111"/>
        <item sd="0" m="1" x="137"/>
        <item sd="0" x="110"/>
        <item sd="0" x="114"/>
        <item sd="0" m="1" x="128"/>
        <item sd="0" x="115"/>
        <item sd="0" x="102"/>
        <item sd="0" x="103"/>
        <item sd="0" x="116"/>
        <item sd="0" x="113"/>
        <item sd="0" x="112"/>
        <item sd="0" x="117"/>
        <item sd="0" x="118"/>
        <item sd="0" x="120"/>
        <item x="121"/>
        <item x="119"/>
        <item x="122"/>
        <item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3"/>
        <item x="26"/>
        <item x="27"/>
        <item m="1" x="64"/>
        <item m="1" x="72"/>
        <item x="28"/>
        <item x="29"/>
        <item m="1" x="62"/>
        <item x="30"/>
        <item x="33"/>
        <item x="34"/>
        <item x="37"/>
        <item x="36"/>
        <item m="1" x="66"/>
        <item m="1" x="61"/>
        <item m="1" x="68"/>
        <item x="40"/>
        <item x="38"/>
        <item x="41"/>
        <item m="1" x="60"/>
        <item x="42"/>
        <item x="43"/>
        <item x="45"/>
        <item x="46"/>
        <item x="44"/>
        <item x="39"/>
        <item x="47"/>
        <item m="1" x="70"/>
        <item x="48"/>
        <item m="1" x="67"/>
        <item x="51"/>
        <item x="50"/>
        <item x="32"/>
        <item x="54"/>
        <item m="1" x="69"/>
        <item x="55"/>
        <item x="56"/>
        <item x="57"/>
        <item m="1" x="59"/>
        <item x="58"/>
        <item m="1" x="71"/>
        <item m="1" x="65"/>
        <item x="49"/>
        <item x="53"/>
        <item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3">
    <i>
      <x v="127"/>
    </i>
    <i>
      <x v="121"/>
    </i>
    <i>
      <x v="129"/>
    </i>
    <i>
      <x v="115"/>
    </i>
    <i>
      <x v="125"/>
    </i>
    <i>
      <x v="132"/>
    </i>
    <i>
      <x v="128"/>
    </i>
    <i>
      <x v="119"/>
    </i>
    <i>
      <x v="136"/>
    </i>
    <i r="1">
      <x v="52"/>
    </i>
    <i r="1">
      <x v="10"/>
    </i>
    <i r="1">
      <x v="4"/>
    </i>
    <i r="1">
      <x v="7"/>
    </i>
    <i>
      <x v="6"/>
    </i>
    <i>
      <x v="103"/>
    </i>
    <i>
      <x v="104"/>
    </i>
    <i>
      <x v="111"/>
    </i>
    <i>
      <x v="114"/>
    </i>
    <i>
      <x v="134"/>
    </i>
    <i r="1">
      <x v="30"/>
    </i>
    <i>
      <x v="98"/>
    </i>
    <i>
      <x v="118"/>
    </i>
    <i>
      <x v="56"/>
    </i>
    <i>
      <x v="69"/>
    </i>
    <i>
      <x v="1"/>
    </i>
    <i>
      <x v="131"/>
    </i>
    <i>
      <x v="137"/>
    </i>
    <i r="1">
      <x v="52"/>
    </i>
    <i>
      <x v="130"/>
    </i>
    <i>
      <x v="135"/>
    </i>
    <i r="1">
      <x v="52"/>
    </i>
    <i>
      <x v="133"/>
    </i>
    <i r="1">
      <x v="9"/>
    </i>
    <i r="1">
      <x v="52"/>
    </i>
    <i r="1">
      <x v="7"/>
    </i>
    <i>
      <x v="105"/>
    </i>
    <i>
      <x v="116"/>
    </i>
    <i>
      <x v="100"/>
    </i>
    <i>
      <x v="126"/>
    </i>
    <i>
      <x v="124"/>
    </i>
    <i>
      <x v="71"/>
    </i>
    <i>
      <x v="77"/>
    </i>
    <i>
      <x v="17"/>
    </i>
    <i>
      <x v="86"/>
    </i>
    <i>
      <x v="22"/>
    </i>
    <i>
      <x v="33"/>
    </i>
    <i>
      <x v="96"/>
    </i>
    <i>
      <x v="34"/>
    </i>
    <i>
      <x v="28"/>
    </i>
    <i>
      <x v="35"/>
    </i>
    <i>
      <x v="82"/>
    </i>
    <i>
      <x v="36"/>
    </i>
    <i>
      <x v="91"/>
    </i>
    <i>
      <x v="37"/>
    </i>
    <i>
      <x v="26"/>
    </i>
    <i>
      <x v="38"/>
    </i>
    <i>
      <x v="18"/>
    </i>
    <i>
      <x v="39"/>
    </i>
    <i>
      <x v="29"/>
    </i>
    <i>
      <x v="40"/>
    </i>
    <i>
      <x v="31"/>
    </i>
    <i>
      <x v="41"/>
    </i>
    <i>
      <x v="84"/>
    </i>
    <i>
      <x v="42"/>
    </i>
    <i>
      <x v="88"/>
    </i>
    <i>
      <x v="43"/>
    </i>
    <i>
      <x v="94"/>
    </i>
    <i>
      <x v="44"/>
    </i>
    <i>
      <x v="15"/>
    </i>
    <i>
      <x v="45"/>
    </i>
    <i>
      <x v="102"/>
    </i>
    <i>
      <x v="47"/>
    </i>
    <i>
      <x v="106"/>
    </i>
    <i>
      <x v="48"/>
    </i>
    <i>
      <x v="19"/>
    </i>
    <i>
      <x v="49"/>
    </i>
    <i>
      <x v="2"/>
    </i>
    <i>
      <x v="50"/>
    </i>
    <i>
      <x v="30"/>
    </i>
    <i>
      <x v="51"/>
    </i>
    <i>
      <x v="23"/>
    </i>
    <i>
      <x v="52"/>
    </i>
    <i>
      <x v="32"/>
    </i>
    <i>
      <x v="76"/>
    </i>
    <i>
      <x v="53"/>
    </i>
    <i>
      <x v="83"/>
    </i>
    <i>
      <x v="54"/>
    </i>
    <i>
      <x v="85"/>
    </i>
    <i>
      <x v="55"/>
    </i>
    <i>
      <x v="87"/>
    </i>
    <i>
      <x v="10"/>
    </i>
    <i>
      <x v="89"/>
    </i>
    <i>
      <x v="57"/>
    </i>
    <i>
      <x v="92"/>
    </i>
    <i>
      <x v="58"/>
    </i>
    <i>
      <x v="95"/>
    </i>
    <i>
      <x v="59"/>
    </i>
    <i>
      <x v="97"/>
    </i>
    <i>
      <x v="11"/>
    </i>
    <i>
      <x v="99"/>
    </i>
    <i>
      <x v="12"/>
    </i>
    <i>
      <x v="101"/>
    </i>
    <i>
      <x v="62"/>
    </i>
    <i>
      <x v="16"/>
    </i>
    <i>
      <x v="8"/>
    </i>
    <i>
      <x v="27"/>
    </i>
    <i>
      <x v="13"/>
    </i>
    <i>
      <x v="110"/>
    </i>
    <i>
      <x v="65"/>
    </i>
    <i>
      <x v="113"/>
    </i>
    <i r="1">
      <x v="52"/>
    </i>
    <i r="1">
      <x v="4"/>
    </i>
    <i r="1">
      <x v="63"/>
    </i>
    <i r="1">
      <x v="10"/>
    </i>
    <i r="1">
      <x v="22"/>
    </i>
    <i>
      <x v="66"/>
    </i>
    <i>
      <x v="20"/>
    </i>
    <i>
      <x v="67"/>
    </i>
    <i>
      <x v="21"/>
    </i>
    <i>
      <x v="68"/>
    </i>
    <i>
      <x v="3"/>
    </i>
    <i>
      <x v="14"/>
    </i>
    <i>
      <x v="4"/>
    </i>
    <i>
      <x v="70"/>
    </i>
    <i>
      <x v="5"/>
    </i>
    <i>
      <x v="25"/>
    </i>
    <i>
      <x v="7"/>
    </i>
    <i>
      <x v="73"/>
    </i>
    <i>
      <x v="24"/>
    </i>
    <i>
      <x v="74"/>
    </i>
    <i>
      <x v="75"/>
    </i>
    <i>
      <x/>
    </i>
    <i>
      <x v="9"/>
    </i>
    <i>
      <x v="64"/>
    </i>
    <i>
      <x v="60"/>
    </i>
    <i>
      <x v="61"/>
    </i>
    <i>
      <x v="63"/>
    </i>
    <i>
      <x v="122"/>
    </i>
    <i>
      <x v="78"/>
    </i>
    <i>
      <x v="138"/>
    </i>
    <i r="1">
      <x v="10"/>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776">
      <pivotArea collapsedLevelsAreSubtotals="1" fieldPosition="0">
        <references count="1">
          <reference field="2" count="1">
            <x v="9"/>
          </reference>
        </references>
      </pivotArea>
    </format>
    <format dxfId="1775">
      <pivotArea collapsedLevelsAreSubtotals="1" fieldPosition="0">
        <references count="1">
          <reference field="2" count="1">
            <x v="4"/>
          </reference>
        </references>
      </pivotArea>
    </format>
    <format dxfId="1774">
      <pivotArea grandRow="1" outline="0" collapsedLevelsAreSubtotals="1" fieldPosition="0"/>
    </format>
    <format dxfId="1773">
      <pivotArea dataOnly="0" labelOnly="1" grandRow="1" outline="0" fieldPosition="0"/>
    </format>
    <format dxfId="1772">
      <pivotArea grandRow="1" outline="0" collapsedLevelsAreSubtotals="1" fieldPosition="0"/>
    </format>
    <format dxfId="1771">
      <pivotArea dataOnly="0" labelOnly="1" grandRow="1" outline="0" fieldPosition="0"/>
    </format>
    <format dxfId="1770">
      <pivotArea grandRow="1" outline="0" collapsedLevelsAreSubtotals="1" fieldPosition="0"/>
    </format>
    <format dxfId="1769">
      <pivotArea dataOnly="0" labelOnly="1" grandRow="1" outline="0" fieldPosition="0"/>
    </format>
    <format dxfId="1768">
      <pivotArea outline="0" collapsedLevelsAreSubtotals="1" fieldPosition="0">
        <references count="1">
          <reference field="4294967294" count="1" selected="0">
            <x v="0"/>
          </reference>
        </references>
      </pivotArea>
    </format>
    <format dxfId="1767">
      <pivotArea dataOnly="0" labelOnly="1" outline="0" fieldPosition="0">
        <references count="1">
          <reference field="0" count="0"/>
        </references>
      </pivotArea>
    </format>
    <format dxfId="1766">
      <pivotArea dataOnly="0" labelOnly="1" outline="0" fieldPosition="0">
        <references count="1">
          <reference field="4294967294" count="1">
            <x v="0"/>
          </reference>
        </references>
      </pivotArea>
    </format>
    <format dxfId="1765">
      <pivotArea outline="0" collapsedLevelsAreSubtotals="1" fieldPosition="0">
        <references count="1">
          <reference field="4294967294" count="1" selected="0">
            <x v="1"/>
          </reference>
        </references>
      </pivotArea>
    </format>
    <format dxfId="1764">
      <pivotArea dataOnly="0" labelOnly="1" outline="0" fieldPosition="0">
        <references count="1">
          <reference field="4294967294" count="1">
            <x v="1"/>
          </reference>
        </references>
      </pivotArea>
    </format>
    <format dxfId="1763">
      <pivotArea outline="0" collapsedLevelsAreSubtotals="1" fieldPosition="0">
        <references count="1">
          <reference field="4294967294" count="1" selected="0">
            <x v="2"/>
          </reference>
        </references>
      </pivotArea>
    </format>
    <format dxfId="1762">
      <pivotArea dataOnly="0" labelOnly="1" outline="0" fieldPosition="0">
        <references count="1">
          <reference field="4294967294" count="1">
            <x v="2"/>
          </reference>
        </references>
      </pivotArea>
    </format>
    <format dxfId="1761">
      <pivotArea grandRow="1" outline="0" collapsedLevelsAreSubtotals="1" fieldPosition="0"/>
    </format>
    <format dxfId="1760">
      <pivotArea dataOnly="0" labelOnly="1" grandRow="1" outline="0" fieldPosition="0"/>
    </format>
    <format dxfId="1759">
      <pivotArea type="all" dataOnly="0" outline="0" fieldPosition="0"/>
    </format>
    <format dxfId="1758">
      <pivotArea grandRow="1" outline="0" collapsedLevelsAreSubtotals="1" fieldPosition="0"/>
    </format>
    <format dxfId="1757">
      <pivotArea dataOnly="0" labelOnly="1" grandRow="1" outline="0" fieldPosition="0"/>
    </format>
    <format dxfId="1756">
      <pivotArea collapsedLevelsAreSubtotals="1" fieldPosition="0">
        <references count="2">
          <reference field="4294967294" count="1" selected="0">
            <x v="2"/>
          </reference>
          <reference field="1" count="1">
            <x v="22"/>
          </reference>
        </references>
      </pivotArea>
    </format>
    <format dxfId="1755">
      <pivotArea collapsedLevelsAreSubtotals="1" fieldPosition="0">
        <references count="3">
          <reference field="4294967294" count="1" selected="0">
            <x v="2"/>
          </reference>
          <reference field="1" count="1">
            <x v="22"/>
          </reference>
          <reference field="2" count="1" selected="0">
            <x v="7"/>
          </reference>
        </references>
      </pivotArea>
    </format>
    <format dxfId="1754">
      <pivotArea dataOnly="0" labelOnly="1" outline="0" fieldPosition="0">
        <references count="1">
          <reference field="4294967294" count="3">
            <x v="0"/>
            <x v="1"/>
            <x v="2"/>
          </reference>
        </references>
      </pivotArea>
    </format>
    <format dxfId="1753">
      <pivotArea dataOnly="0" labelOnly="1" outline="0" fieldPosition="0">
        <references count="1">
          <reference field="4294967294" count="1">
            <x v="0"/>
          </reference>
        </references>
      </pivotArea>
    </format>
    <format dxfId="1752">
      <pivotArea dataOnly="0" labelOnly="1" outline="0" fieldPosition="0">
        <references count="1">
          <reference field="4294967294" count="1">
            <x v="1"/>
          </reference>
        </references>
      </pivotArea>
    </format>
    <format dxfId="1751">
      <pivotArea dataOnly="0" labelOnly="1" outline="0" fieldPosition="0">
        <references count="1">
          <reference field="4294967294" count="1">
            <x v="1"/>
          </reference>
        </references>
      </pivotArea>
    </format>
    <format dxfId="1750">
      <pivotArea dataOnly="0" labelOnly="1" outline="0" fieldPosition="0">
        <references count="1">
          <reference field="4294967294" count="1">
            <x v="2"/>
          </reference>
        </references>
      </pivotArea>
    </format>
    <format dxfId="1749">
      <pivotArea dataOnly="0" labelOnly="1" fieldPosition="0">
        <references count="1">
          <reference field="2" count="0"/>
        </references>
      </pivotArea>
    </format>
    <format dxfId="1748">
      <pivotArea collapsedLevelsAreSubtotals="1" fieldPosition="0">
        <references count="2">
          <reference field="4294967294" count="1" selected="0">
            <x v="2"/>
          </reference>
          <reference field="2" count="1">
            <x v="4"/>
          </reference>
        </references>
      </pivotArea>
    </format>
    <format dxfId="1747">
      <pivotArea collapsedLevelsAreSubtotals="1" fieldPosition="0">
        <references count="2">
          <reference field="4294967294" count="1" selected="0">
            <x v="2"/>
          </reference>
          <reference field="2" count="1">
            <x v="9"/>
          </reference>
        </references>
      </pivotArea>
    </format>
    <format dxfId="1746">
      <pivotArea collapsedLevelsAreSubtotals="1" fieldPosition="0">
        <references count="2">
          <reference field="4294967294" count="1" selected="0">
            <x v="2"/>
          </reference>
          <reference field="2" count="1">
            <x v="14"/>
          </reference>
        </references>
      </pivotArea>
    </format>
    <format dxfId="1745">
      <pivotArea collapsedLevelsAreSubtotals="1" fieldPosition="0">
        <references count="3">
          <reference field="4294967294" count="1" selected="0">
            <x v="2"/>
          </reference>
          <reference field="1" count="3">
            <x v="3"/>
            <x v="37"/>
            <x v="41"/>
          </reference>
          <reference field="2" count="1" selected="0">
            <x v="14"/>
          </reference>
        </references>
      </pivotArea>
    </format>
    <format dxfId="1744">
      <pivotArea collapsedLevelsAreSubtotals="1" fieldPosition="0">
        <references count="3">
          <reference field="4294967294" count="1" selected="0">
            <x v="2"/>
          </reference>
          <reference field="1" count="1">
            <x v="6"/>
          </reference>
          <reference field="2" count="1" selected="0">
            <x v="14"/>
          </reference>
        </references>
      </pivotArea>
    </format>
    <format dxfId="1743">
      <pivotArea collapsedLevelsAreSubtotals="1" fieldPosition="0">
        <references count="3">
          <reference field="4294967294" count="1" selected="0">
            <x v="2"/>
          </reference>
          <reference field="1" count="1">
            <x v="27"/>
          </reference>
          <reference field="2" count="1" selected="0">
            <x v="14"/>
          </reference>
        </references>
      </pivotArea>
    </format>
    <format dxfId="1742">
      <pivotArea collapsedLevelsAreSubtotals="1" fieldPosition="0">
        <references count="1">
          <reference field="2" count="1">
            <x v="0"/>
          </reference>
        </references>
      </pivotArea>
    </format>
    <format dxfId="1741">
      <pivotArea collapsedLevelsAreSubtotals="1" fieldPosition="0">
        <references count="1">
          <reference field="2" count="1">
            <x v="14"/>
          </reference>
        </references>
      </pivotArea>
    </format>
    <format dxfId="1740">
      <pivotArea collapsedLevelsAreSubtotals="1" fieldPosition="0">
        <references count="1">
          <reference field="2" count="1">
            <x v="9"/>
          </reference>
        </references>
      </pivotArea>
    </format>
    <format dxfId="1739">
      <pivotArea collapsedLevelsAreSubtotals="1" fieldPosition="0">
        <references count="1">
          <reference field="2" count="1">
            <x v="5"/>
          </reference>
        </references>
      </pivotArea>
    </format>
    <format dxfId="1738">
      <pivotArea collapsedLevelsAreSubtotals="1" fieldPosition="0">
        <references count="1">
          <reference field="2" count="1">
            <x v="17"/>
          </reference>
        </references>
      </pivotArea>
    </format>
    <format dxfId="1737">
      <pivotArea collapsedLevelsAreSubtotals="1" fieldPosition="0">
        <references count="1">
          <reference field="2" count="1">
            <x v="2"/>
          </reference>
        </references>
      </pivotArea>
    </format>
    <format dxfId="1736">
      <pivotArea collapsedLevelsAreSubtotals="1" fieldPosition="0">
        <references count="1">
          <reference field="2" count="1">
            <x v="10"/>
          </reference>
        </references>
      </pivotArea>
    </format>
    <format dxfId="1735">
      <pivotArea collapsedLevelsAreSubtotals="1" fieldPosition="0">
        <references count="1">
          <reference field="2" count="1">
            <x v="1"/>
          </reference>
        </references>
      </pivotArea>
    </format>
    <format dxfId="1734">
      <pivotArea collapsedLevelsAreSubtotals="1" fieldPosition="0">
        <references count="1">
          <reference field="2" count="1">
            <x v="13"/>
          </reference>
        </references>
      </pivotArea>
    </format>
    <format dxfId="1733">
      <pivotArea collapsedLevelsAreSubtotals="1" fieldPosition="0">
        <references count="1">
          <reference field="2" count="1">
            <x v="4"/>
          </reference>
        </references>
      </pivotArea>
    </format>
    <format dxfId="1732">
      <pivotArea collapsedLevelsAreSubtotals="1" fieldPosition="0">
        <references count="1">
          <reference field="2" count="1">
            <x v="8"/>
          </reference>
        </references>
      </pivotArea>
    </format>
    <format dxfId="1731">
      <pivotArea collapsedLevelsAreSubtotals="1" fieldPosition="0">
        <references count="1">
          <reference field="2" count="1">
            <x v="3"/>
          </reference>
        </references>
      </pivotArea>
    </format>
    <format dxfId="1730">
      <pivotArea collapsedLevelsAreSubtotals="1" fieldPosition="0">
        <references count="1">
          <reference field="2" count="1">
            <x v="12"/>
          </reference>
        </references>
      </pivotArea>
    </format>
    <format dxfId="1729">
      <pivotArea collapsedLevelsAreSubtotals="1" fieldPosition="0">
        <references count="1">
          <reference field="2" count="1">
            <x v="6"/>
          </reference>
        </references>
      </pivotArea>
    </format>
    <format dxfId="1728">
      <pivotArea collapsedLevelsAreSubtotals="1" fieldPosition="0">
        <references count="1">
          <reference field="2" count="1">
            <x v="11"/>
          </reference>
        </references>
      </pivotArea>
    </format>
    <format dxfId="1727">
      <pivotArea collapsedLevelsAreSubtotals="1" fieldPosition="0">
        <references count="1">
          <reference field="2" count="1">
            <x v="20"/>
          </reference>
        </references>
      </pivotArea>
    </format>
    <format dxfId="1726">
      <pivotArea collapsedLevelsAreSubtotals="1" fieldPosition="0">
        <references count="2">
          <reference field="1" count="1">
            <x v="6"/>
          </reference>
          <reference field="2" count="1" selected="0">
            <x v="20"/>
          </reference>
        </references>
      </pivotArea>
    </format>
    <format dxfId="1725">
      <pivotArea collapsedLevelsAreSubtotals="1" fieldPosition="0">
        <references count="1">
          <reference field="2" count="1">
            <x v="7"/>
          </reference>
        </references>
      </pivotArea>
    </format>
    <format dxfId="1724">
      <pivotArea collapsedLevelsAreSubtotals="1" fieldPosition="0">
        <references count="1">
          <reference field="2" count="1">
            <x v="16"/>
          </reference>
        </references>
      </pivotArea>
    </format>
    <format dxfId="1723">
      <pivotArea collapsedLevelsAreSubtotals="1" fieldPosition="0">
        <references count="1">
          <reference field="2" count="1">
            <x v="19"/>
          </reference>
        </references>
      </pivotArea>
    </format>
    <format dxfId="1722">
      <pivotArea collapsedLevelsAreSubtotals="1" fieldPosition="0">
        <references count="1">
          <reference field="2" count="1">
            <x v="18"/>
          </reference>
        </references>
      </pivotArea>
    </format>
    <format dxfId="1721">
      <pivotArea collapsedLevelsAreSubtotals="1" fieldPosition="0">
        <references count="1">
          <reference field="2" count="1">
            <x v="15"/>
          </reference>
        </references>
      </pivotArea>
    </format>
    <format dxfId="1720">
      <pivotArea collapsedLevelsAreSubtotals="1" fieldPosition="0">
        <references count="1">
          <reference field="2" count="1">
            <x v="21"/>
          </reference>
        </references>
      </pivotArea>
    </format>
    <format dxfId="1719">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718">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717">
      <pivotArea dataOnly="0" labelOnly="1" fieldPosition="0">
        <references count="1">
          <reference field="1" count="1">
            <x v="79"/>
          </reference>
        </references>
      </pivotArea>
    </format>
    <format dxfId="1716">
      <pivotArea dataOnly="0" labelOnly="1" fieldPosition="0">
        <references count="1">
          <reference field="1" count="1">
            <x v="79"/>
          </reference>
        </references>
      </pivotArea>
    </format>
    <format dxfId="1715">
      <pivotArea type="all" dataOnly="0" outline="0" fieldPosition="0"/>
    </format>
    <format dxfId="1714">
      <pivotArea outline="0" collapsedLevelsAreSubtotals="1" fieldPosition="0"/>
    </format>
    <format dxfId="1713">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712">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711">
      <pivotArea dataOnly="0" labelOnly="1" fieldPosition="0">
        <references count="1">
          <reference field="1" count="16">
            <x v="0"/>
            <x v="12"/>
            <x v="14"/>
            <x v="15"/>
            <x v="17"/>
            <x v="19"/>
            <x v="27"/>
            <x v="47"/>
            <x v="58"/>
            <x v="59"/>
            <x v="62"/>
            <x v="63"/>
            <x v="64"/>
            <x v="65"/>
            <x v="66"/>
            <x v="67"/>
          </reference>
        </references>
      </pivotArea>
    </format>
    <format dxfId="1710">
      <pivotArea dataOnly="0" labelOnly="1" grandRow="1" outline="0" fieldPosition="0"/>
    </format>
    <format dxfId="1709">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5">
        <f ca="1">TODAY()</f>
        <v>45278</v>
      </c>
    </row>
    <row r="10" spans="20:20" x14ac:dyDescent="0.25">
      <c r="T10" s="10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869"/>
  <sheetViews>
    <sheetView tabSelected="1" zoomScale="140" zoomScaleNormal="140" workbookViewId="0">
      <pane ySplit="1" topLeftCell="A17862" activePane="bottomLeft" state="frozen"/>
      <selection pane="bottomLeft" activeCell="D17878" sqref="D17878"/>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2" t="s">
        <v>845</v>
      </c>
      <c r="I1" s="1033"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5"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5"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6"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1" t="s">
        <v>7642</v>
      </c>
      <c r="E11874" s="182"/>
      <c r="F11874" s="182">
        <v>1000000</v>
      </c>
      <c r="G11874" s="182">
        <f t="shared" si="191"/>
        <v>1000000</v>
      </c>
      <c r="H11874" s="267" t="s">
        <v>7600</v>
      </c>
    </row>
    <row r="11875" spans="1:8" ht="24" x14ac:dyDescent="0.2">
      <c r="A11875" s="627">
        <v>44546</v>
      </c>
      <c r="B11875" s="97" t="s">
        <v>1407</v>
      </c>
      <c r="C11875" s="97" t="s">
        <v>561</v>
      </c>
      <c r="D11875" s="941"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11661</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1"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1" t="s">
        <v>7919</v>
      </c>
      <c r="E12345" s="182"/>
      <c r="F12345" s="182">
        <v>500000</v>
      </c>
      <c r="G12345" s="182">
        <f t="shared" si="198"/>
        <v>500000</v>
      </c>
      <c r="H12345" s="715" t="s">
        <v>7845</v>
      </c>
    </row>
    <row r="12346" spans="1:8" ht="24" x14ac:dyDescent="0.2">
      <c r="A12346" s="713">
        <v>44676</v>
      </c>
      <c r="B12346" s="97" t="s">
        <v>6562</v>
      </c>
      <c r="C12346" s="181" t="s">
        <v>561</v>
      </c>
      <c r="D12346" s="941"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1" t="s">
        <v>7964</v>
      </c>
      <c r="E12457" s="182"/>
      <c r="F12457" s="182">
        <v>100000</v>
      </c>
      <c r="G12457" s="182">
        <f t="shared" si="200"/>
        <v>100000</v>
      </c>
      <c r="H12457" s="715" t="s">
        <v>7957</v>
      </c>
    </row>
    <row r="12458" spans="1:8" ht="24" x14ac:dyDescent="0.2">
      <c r="A12458" s="713">
        <v>44699</v>
      </c>
      <c r="B12458" s="97" t="s">
        <v>1407</v>
      </c>
      <c r="C12458" s="97" t="s">
        <v>561</v>
      </c>
      <c r="D12458" s="941"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4" t="s">
        <v>9602</v>
      </c>
      <c r="E12606" s="126">
        <v>2831635</v>
      </c>
      <c r="F12606" s="126"/>
      <c r="G12606" s="126">
        <f t="shared" si="202"/>
        <v>-2831635</v>
      </c>
      <c r="H12606" s="722" t="s">
        <v>7989</v>
      </c>
    </row>
    <row r="12607" spans="1:8" ht="15" x14ac:dyDescent="0.2">
      <c r="A12607" s="735">
        <v>44741</v>
      </c>
      <c r="B12607" s="125" t="s">
        <v>2957</v>
      </c>
      <c r="C12607" s="125" t="s">
        <v>3031</v>
      </c>
      <c r="D12607" s="944"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8" t="s">
        <v>9006</v>
      </c>
      <c r="D15589" s="907" t="s">
        <v>10410</v>
      </c>
      <c r="E15589" s="687">
        <v>150000</v>
      </c>
      <c r="F15589" s="60"/>
      <c r="G15589" s="60">
        <f t="shared" si="249"/>
        <v>-150000</v>
      </c>
      <c r="H15589" s="718" t="s">
        <v>10426</v>
      </c>
    </row>
    <row r="15590" spans="1:8" ht="15" x14ac:dyDescent="0.2">
      <c r="A15590" s="747">
        <v>45104</v>
      </c>
      <c r="B15590" s="65" t="s">
        <v>9877</v>
      </c>
      <c r="C15590" s="978"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8"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2" t="s">
        <v>10928</v>
      </c>
      <c r="E16515" s="494"/>
      <c r="F16515" s="494">
        <v>5000000</v>
      </c>
      <c r="G16515" s="498">
        <f t="shared" ref="G16515:G16516" si="270">F16515-E16515</f>
        <v>5000000</v>
      </c>
      <c r="H16515" s="1073" t="s">
        <v>10740</v>
      </c>
    </row>
    <row r="16516" spans="1:10" ht="15" x14ac:dyDescent="0.2">
      <c r="A16516" s="743">
        <v>45160</v>
      </c>
      <c r="B16516" s="136" t="s">
        <v>9769</v>
      </c>
      <c r="C16516" s="497" t="s">
        <v>561</v>
      </c>
      <c r="D16516" s="817" t="s">
        <v>10678</v>
      </c>
      <c r="E16516" s="182">
        <v>50000</v>
      </c>
      <c r="F16516" s="494"/>
      <c r="G16516" s="498">
        <f t="shared" si="270"/>
        <v>-50000</v>
      </c>
      <c r="H16516" s="1073"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11810</v>
      </c>
      <c r="E16522" s="182"/>
      <c r="F16522" s="182">
        <v>7656392</v>
      </c>
      <c r="G16522" s="182">
        <f t="shared" ref="G16522:G16523" si="274">F16522-E16522</f>
        <v>7656392</v>
      </c>
      <c r="H16522" s="715" t="s">
        <v>10740</v>
      </c>
      <c r="J16522" s="1114"/>
    </row>
    <row r="16523" spans="1:10" ht="31.5" customHeight="1" x14ac:dyDescent="0.2">
      <c r="A16523" s="743">
        <v>45168</v>
      </c>
      <c r="B16523" s="97" t="s">
        <v>9463</v>
      </c>
      <c r="C16523" s="97" t="s">
        <v>561</v>
      </c>
      <c r="D16523" s="818" t="s">
        <v>11809</v>
      </c>
      <c r="E16523" s="182"/>
      <c r="F16523" s="182">
        <v>1969887</v>
      </c>
      <c r="G16523" s="182">
        <f t="shared" si="274"/>
        <v>1969887</v>
      </c>
      <c r="H16523" s="715" t="s">
        <v>10740</v>
      </c>
    </row>
    <row r="16524" spans="1:10" ht="48" x14ac:dyDescent="0.2">
      <c r="A16524" s="743">
        <v>45168</v>
      </c>
      <c r="B16524" s="97" t="s">
        <v>14</v>
      </c>
      <c r="C16524" s="97" t="s">
        <v>561</v>
      </c>
      <c r="D16524" s="818" t="s">
        <v>11811</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3"/>
    </row>
    <row r="16528" spans="1:10" ht="15" x14ac:dyDescent="0.2">
      <c r="A16528" s="747">
        <v>45170</v>
      </c>
      <c r="B16528" s="65" t="s">
        <v>103</v>
      </c>
      <c r="C16528" s="65" t="s">
        <v>394</v>
      </c>
      <c r="D16528" s="189" t="s">
        <v>10321</v>
      </c>
      <c r="E16528" s="132">
        <v>3000</v>
      </c>
      <c r="F16528" s="60"/>
      <c r="G16528" s="60">
        <f t="shared" si="275"/>
        <v>-3000</v>
      </c>
      <c r="H16528" s="718" t="s">
        <v>11069</v>
      </c>
      <c r="J16528" s="1113"/>
    </row>
    <row r="16529" spans="1:10" ht="15" x14ac:dyDescent="0.2">
      <c r="A16529" s="747">
        <v>45171</v>
      </c>
      <c r="B16529" s="65" t="s">
        <v>16</v>
      </c>
      <c r="C16529" s="65" t="s">
        <v>394</v>
      </c>
      <c r="D16529" s="189" t="s">
        <v>11078</v>
      </c>
      <c r="E16529" s="132">
        <v>4000</v>
      </c>
      <c r="F16529" s="60"/>
      <c r="G16529" s="60">
        <f t="shared" si="275"/>
        <v>-4000</v>
      </c>
      <c r="H16529" s="718" t="s">
        <v>11069</v>
      </c>
      <c r="J16529" s="1113"/>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3"/>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3"/>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3"/>
    </row>
    <row r="16653" spans="1:10" ht="15" x14ac:dyDescent="0.2">
      <c r="A16653" s="747">
        <v>45182</v>
      </c>
      <c r="B16653" s="65" t="s">
        <v>11022</v>
      </c>
      <c r="C16653" s="65" t="s">
        <v>5791</v>
      </c>
      <c r="D16653" s="189" t="s">
        <v>11206</v>
      </c>
      <c r="E16653" s="132">
        <v>10000</v>
      </c>
      <c r="F16653" s="60"/>
      <c r="G16653" s="60">
        <f t="shared" si="275"/>
        <v>-10000</v>
      </c>
      <c r="H16653" s="718" t="s">
        <v>11069</v>
      </c>
      <c r="J16653" s="1113"/>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3"/>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3"/>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3"/>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3"/>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11487</v>
      </c>
      <c r="E16846" s="60">
        <v>24000</v>
      </c>
      <c r="F16846" s="60"/>
      <c r="G16846" s="132">
        <f t="shared" si="289"/>
        <v>-24000</v>
      </c>
      <c r="H16846" s="718" t="s">
        <v>11069</v>
      </c>
    </row>
    <row r="16847" spans="1:8" ht="15" x14ac:dyDescent="0.2">
      <c r="A16847" s="747">
        <v>45195</v>
      </c>
      <c r="B16847" s="43" t="s">
        <v>11211</v>
      </c>
      <c r="C16847" s="65" t="s">
        <v>799</v>
      </c>
      <c r="D16847" s="807" t="s">
        <v>11586</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11813</v>
      </c>
      <c r="E16913" s="182"/>
      <c r="F16913" s="182">
        <v>6770928</v>
      </c>
      <c r="G16913" s="182">
        <f t="shared" si="275"/>
        <v>6770928</v>
      </c>
      <c r="H16913" s="715" t="s">
        <v>11069</v>
      </c>
    </row>
    <row r="16914" spans="1:10" ht="48" x14ac:dyDescent="0.2">
      <c r="A16914" s="743">
        <v>45172</v>
      </c>
      <c r="B16914" s="97" t="s">
        <v>14</v>
      </c>
      <c r="C16914" s="97"/>
      <c r="D16914" s="818" t="s">
        <v>11812</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3"/>
    </row>
    <row r="16917" spans="1:10" ht="15" x14ac:dyDescent="0.2">
      <c r="A16917" s="743">
        <v>45174</v>
      </c>
      <c r="B16917" s="94" t="s">
        <v>9463</v>
      </c>
      <c r="C16917" s="97" t="s">
        <v>561</v>
      </c>
      <c r="D16917" s="908" t="s">
        <v>11071</v>
      </c>
      <c r="E16917" s="95"/>
      <c r="F16917" s="95">
        <v>938219</v>
      </c>
      <c r="G16917" s="182">
        <f t="shared" si="296"/>
        <v>938219</v>
      </c>
      <c r="H16917" s="715" t="s">
        <v>11069</v>
      </c>
      <c r="J16917" s="1113"/>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3"/>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3"/>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11490</v>
      </c>
      <c r="E16973" s="592">
        <v>8000</v>
      </c>
      <c r="F16973" s="60"/>
      <c r="G16973" s="132">
        <f t="shared" si="305"/>
        <v>-8000</v>
      </c>
      <c r="H16973" s="718" t="s">
        <v>11364</v>
      </c>
    </row>
    <row r="16974" spans="1:8" ht="15" x14ac:dyDescent="0.2">
      <c r="A16974" s="747">
        <v>45205</v>
      </c>
      <c r="B16974" s="43" t="s">
        <v>9463</v>
      </c>
      <c r="C16974" s="560" t="s">
        <v>11108</v>
      </c>
      <c r="D16974" s="920" t="s">
        <v>11490</v>
      </c>
      <c r="E16974" s="592">
        <v>8000</v>
      </c>
      <c r="F16974" s="60"/>
      <c r="G16974" s="132">
        <f t="shared" si="305"/>
        <v>-8000</v>
      </c>
      <c r="H16974" s="718" t="s">
        <v>11364</v>
      </c>
    </row>
    <row r="16975" spans="1:8" ht="15" x14ac:dyDescent="0.2">
      <c r="A16975" s="747">
        <v>45205</v>
      </c>
      <c r="B16975" s="43" t="s">
        <v>10342</v>
      </c>
      <c r="C16975" s="560" t="s">
        <v>11108</v>
      </c>
      <c r="D16975" s="920" t="s">
        <v>11490</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11452</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11454</v>
      </c>
      <c r="E17041" s="594">
        <v>184800</v>
      </c>
      <c r="F17041" s="60"/>
      <c r="G17041" s="132">
        <f t="shared" si="313"/>
        <v>-184800</v>
      </c>
      <c r="H17041" s="718" t="s">
        <v>11364</v>
      </c>
    </row>
    <row r="17042" spans="1:8" ht="15" x14ac:dyDescent="0.2">
      <c r="A17042" s="747">
        <v>45210</v>
      </c>
      <c r="B17042" s="43" t="s">
        <v>10688</v>
      </c>
      <c r="C17042" s="679" t="s">
        <v>11108</v>
      </c>
      <c r="D17042" s="928" t="s">
        <v>11455</v>
      </c>
      <c r="E17042" s="594">
        <v>37200</v>
      </c>
      <c r="F17042" s="60"/>
      <c r="G17042" s="132">
        <f t="shared" si="313"/>
        <v>-37200</v>
      </c>
      <c r="H17042" s="718" t="s">
        <v>11364</v>
      </c>
    </row>
    <row r="17043" spans="1:8" ht="15" x14ac:dyDescent="0.2">
      <c r="A17043" s="747">
        <v>45210</v>
      </c>
      <c r="B17043" s="43" t="s">
        <v>9463</v>
      </c>
      <c r="C17043" s="65" t="s">
        <v>9568</v>
      </c>
      <c r="D17043" s="807" t="s">
        <v>11453</v>
      </c>
      <c r="E17043" s="60">
        <v>300000</v>
      </c>
      <c r="F17043" s="60"/>
      <c r="G17043" s="132">
        <f t="shared" si="313"/>
        <v>-300000</v>
      </c>
      <c r="H17043" s="718" t="s">
        <v>11364</v>
      </c>
    </row>
    <row r="17044" spans="1:8" ht="15" x14ac:dyDescent="0.2">
      <c r="A17044" s="747">
        <v>45210</v>
      </c>
      <c r="B17044" s="43" t="s">
        <v>10582</v>
      </c>
      <c r="C17044" s="679" t="s">
        <v>10283</v>
      </c>
      <c r="D17044" s="928" t="s">
        <v>11456</v>
      </c>
      <c r="E17044" s="594">
        <v>140800</v>
      </c>
      <c r="F17044" s="60"/>
      <c r="G17044" s="132">
        <f t="shared" si="313"/>
        <v>-140800</v>
      </c>
      <c r="H17044" s="718" t="s">
        <v>11364</v>
      </c>
    </row>
    <row r="17045" spans="1:8" ht="15" x14ac:dyDescent="0.2">
      <c r="A17045" s="747">
        <v>45210</v>
      </c>
      <c r="B17045" s="43" t="s">
        <v>10096</v>
      </c>
      <c r="C17045" s="679" t="s">
        <v>10283</v>
      </c>
      <c r="D17045" s="928" t="s">
        <v>11456</v>
      </c>
      <c r="E17045" s="594">
        <v>64000</v>
      </c>
      <c r="F17045" s="60"/>
      <c r="G17045" s="132">
        <f t="shared" si="313"/>
        <v>-64000</v>
      </c>
      <c r="H17045" s="718" t="s">
        <v>11364</v>
      </c>
    </row>
    <row r="17046" spans="1:8" ht="15" x14ac:dyDescent="0.2">
      <c r="A17046" s="747">
        <v>45211</v>
      </c>
      <c r="B17046" s="43" t="s">
        <v>11427</v>
      </c>
      <c r="C17046" s="575" t="s">
        <v>1362</v>
      </c>
      <c r="D17046" s="1074" t="s">
        <v>11457</v>
      </c>
      <c r="E17046" s="639">
        <v>27500</v>
      </c>
      <c r="F17046" s="60"/>
      <c r="G17046" s="132">
        <f t="shared" si="313"/>
        <v>-27500</v>
      </c>
      <c r="H17046" s="718" t="s">
        <v>11364</v>
      </c>
    </row>
    <row r="17047" spans="1:8" ht="15" x14ac:dyDescent="0.2">
      <c r="A17047" s="747">
        <v>45211</v>
      </c>
      <c r="B17047" s="43" t="s">
        <v>11122</v>
      </c>
      <c r="C17047" s="575" t="s">
        <v>1362</v>
      </c>
      <c r="D17047" s="1074" t="s">
        <v>11457</v>
      </c>
      <c r="E17047" s="639">
        <f>7250+7000</f>
        <v>14250</v>
      </c>
      <c r="F17047" s="60"/>
      <c r="G17047" s="132">
        <f t="shared" si="313"/>
        <v>-14250</v>
      </c>
      <c r="H17047" s="718" t="s">
        <v>11364</v>
      </c>
    </row>
    <row r="17048" spans="1:8" ht="15" x14ac:dyDescent="0.2">
      <c r="A17048" s="747">
        <v>45211</v>
      </c>
      <c r="B17048" s="43" t="s">
        <v>10582</v>
      </c>
      <c r="C17048" s="575" t="s">
        <v>1362</v>
      </c>
      <c r="D17048" s="1074" t="s">
        <v>11457</v>
      </c>
      <c r="E17048" s="639">
        <v>6650</v>
      </c>
      <c r="F17048" s="60"/>
      <c r="G17048" s="132">
        <f t="shared" si="313"/>
        <v>-6650</v>
      </c>
      <c r="H17048" s="718" t="s">
        <v>11364</v>
      </c>
    </row>
    <row r="17049" spans="1:8" ht="15" x14ac:dyDescent="0.2">
      <c r="A17049" s="747">
        <v>45211</v>
      </c>
      <c r="B17049" s="43" t="s">
        <v>10582</v>
      </c>
      <c r="C17049" s="575" t="s">
        <v>1362</v>
      </c>
      <c r="D17049" s="1074" t="s">
        <v>11457</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11458</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11459</v>
      </c>
      <c r="E17052" s="60">
        <v>62671</v>
      </c>
      <c r="F17052" s="60"/>
      <c r="G17052" s="132">
        <f t="shared" si="314"/>
        <v>-62671</v>
      </c>
      <c r="H17052" s="718" t="s">
        <v>11364</v>
      </c>
    </row>
    <row r="17053" spans="1:8" ht="15" x14ac:dyDescent="0.2">
      <c r="A17053" s="747">
        <v>45212</v>
      </c>
      <c r="B17053" s="43" t="s">
        <v>10688</v>
      </c>
      <c r="C17053" s="65" t="s">
        <v>11108</v>
      </c>
      <c r="D17053" s="807" t="s">
        <v>11460</v>
      </c>
      <c r="E17053" s="60">
        <v>39600</v>
      </c>
      <c r="F17053" s="60"/>
      <c r="G17053" s="132">
        <f t="shared" si="314"/>
        <v>-39600</v>
      </c>
      <c r="H17053" s="718" t="s">
        <v>11364</v>
      </c>
    </row>
    <row r="17054" spans="1:8" ht="15" x14ac:dyDescent="0.2">
      <c r="A17054" s="747">
        <v>45212</v>
      </c>
      <c r="B17054" s="43" t="s">
        <v>11461</v>
      </c>
      <c r="C17054" s="65" t="s">
        <v>11108</v>
      </c>
      <c r="D17054" s="807" t="s">
        <v>11462</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11461</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11461</v>
      </c>
      <c r="C17057" s="65" t="s">
        <v>11463</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11464</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11465</v>
      </c>
      <c r="E17061" s="594">
        <v>36000</v>
      </c>
      <c r="F17061" s="60"/>
      <c r="G17061" s="132">
        <f t="shared" si="315"/>
        <v>-36000</v>
      </c>
      <c r="H17061" s="718" t="s">
        <v>11364</v>
      </c>
    </row>
    <row r="17062" spans="1:8" ht="15" x14ac:dyDescent="0.2">
      <c r="A17062" s="747">
        <v>45212</v>
      </c>
      <c r="B17062" s="43" t="s">
        <v>9463</v>
      </c>
      <c r="C17062" s="679" t="s">
        <v>11003</v>
      </c>
      <c r="D17062" s="928" t="s">
        <v>11465</v>
      </c>
      <c r="E17062" s="594">
        <v>52000</v>
      </c>
      <c r="F17062" s="60"/>
      <c r="G17062" s="132">
        <f t="shared" si="315"/>
        <v>-52000</v>
      </c>
      <c r="H17062" s="718" t="s">
        <v>11364</v>
      </c>
    </row>
    <row r="17063" spans="1:8" ht="15" x14ac:dyDescent="0.2">
      <c r="A17063" s="747">
        <v>45212</v>
      </c>
      <c r="B17063" s="43" t="s">
        <v>11022</v>
      </c>
      <c r="C17063" s="679" t="s">
        <v>11003</v>
      </c>
      <c r="D17063" s="928" t="s">
        <v>11465</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11481</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11482</v>
      </c>
      <c r="E17067" s="60">
        <v>3000</v>
      </c>
      <c r="F17067" s="60"/>
      <c r="G17067" s="132">
        <f t="shared" si="316"/>
        <v>-3000</v>
      </c>
      <c r="H17067" s="718" t="s">
        <v>11364</v>
      </c>
    </row>
    <row r="17068" spans="1:8" ht="15" x14ac:dyDescent="0.2">
      <c r="A17068" s="747">
        <v>45213</v>
      </c>
      <c r="B17068" s="43" t="s">
        <v>11254</v>
      </c>
      <c r="C17068" s="65" t="s">
        <v>10882</v>
      </c>
      <c r="D17068" s="807" t="s">
        <v>11483</v>
      </c>
      <c r="E17068" s="60">
        <v>700000</v>
      </c>
      <c r="F17068" s="60"/>
      <c r="G17068" s="132">
        <f t="shared" si="316"/>
        <v>-700000</v>
      </c>
      <c r="H17068" s="718" t="s">
        <v>11364</v>
      </c>
    </row>
    <row r="17069" spans="1:8" ht="15" x14ac:dyDescent="0.2">
      <c r="A17069" s="747">
        <v>45213</v>
      </c>
      <c r="B17069" s="43" t="s">
        <v>11122</v>
      </c>
      <c r="C17069" s="65" t="s">
        <v>11338</v>
      </c>
      <c r="D17069" s="807" t="s">
        <v>11484</v>
      </c>
      <c r="E17069" s="60">
        <v>65000</v>
      </c>
      <c r="F17069" s="60"/>
      <c r="G17069" s="132">
        <f t="shared" si="316"/>
        <v>-65000</v>
      </c>
      <c r="H17069" s="718" t="s">
        <v>11364</v>
      </c>
    </row>
    <row r="17070" spans="1:8" ht="15" x14ac:dyDescent="0.2">
      <c r="A17070" s="747">
        <v>45213</v>
      </c>
      <c r="B17070" s="43" t="s">
        <v>10342</v>
      </c>
      <c r="C17070" s="65" t="s">
        <v>11108</v>
      </c>
      <c r="D17070" s="807" t="s">
        <v>11485</v>
      </c>
      <c r="E17070" s="60">
        <v>30900</v>
      </c>
      <c r="F17070" s="60"/>
      <c r="G17070" s="132">
        <f t="shared" si="316"/>
        <v>-30900</v>
      </c>
      <c r="H17070" s="718" t="s">
        <v>11364</v>
      </c>
    </row>
    <row r="17071" spans="1:8" ht="15" x14ac:dyDescent="0.2">
      <c r="A17071" s="747">
        <v>45213</v>
      </c>
      <c r="B17071" s="43" t="s">
        <v>10096</v>
      </c>
      <c r="C17071" s="65" t="s">
        <v>10346</v>
      </c>
      <c r="D17071" s="807" t="s">
        <v>11486</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11488</v>
      </c>
      <c r="E17074" s="60">
        <v>161000</v>
      </c>
      <c r="F17074" s="60"/>
      <c r="G17074" s="132">
        <f t="shared" si="317"/>
        <v>-161000</v>
      </c>
      <c r="H17074" s="718" t="s">
        <v>11364</v>
      </c>
    </row>
    <row r="17075" spans="1:8" ht="15" x14ac:dyDescent="0.2">
      <c r="A17075" s="747">
        <v>45214</v>
      </c>
      <c r="B17075" s="43" t="s">
        <v>103</v>
      </c>
      <c r="C17075" s="65" t="s">
        <v>5791</v>
      </c>
      <c r="D17075" s="807" t="s">
        <v>11489</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11497</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11498</v>
      </c>
      <c r="E17080" s="60">
        <v>15000</v>
      </c>
      <c r="F17080" s="60"/>
      <c r="G17080" s="132">
        <f t="shared" si="318"/>
        <v>-15000</v>
      </c>
      <c r="H17080" s="718" t="s">
        <v>11364</v>
      </c>
    </row>
    <row r="17081" spans="1:8" ht="15" x14ac:dyDescent="0.2">
      <c r="A17081" s="747">
        <v>45214</v>
      </c>
      <c r="B17081" s="43" t="s">
        <v>10096</v>
      </c>
      <c r="C17081" s="65" t="s">
        <v>6533</v>
      </c>
      <c r="D17081" s="807" t="s">
        <v>11499</v>
      </c>
      <c r="E17081" s="60">
        <v>10000</v>
      </c>
      <c r="F17081" s="60"/>
      <c r="G17081" s="132">
        <f t="shared" si="318"/>
        <v>-10000</v>
      </c>
      <c r="H17081" s="718" t="s">
        <v>11364</v>
      </c>
    </row>
    <row r="17082" spans="1:8" ht="15" x14ac:dyDescent="0.2">
      <c r="A17082" s="747">
        <v>45215</v>
      </c>
      <c r="B17082" s="43" t="s">
        <v>10688</v>
      </c>
      <c r="C17082" s="65" t="s">
        <v>8170</v>
      </c>
      <c r="D17082" s="807" t="s">
        <v>11500</v>
      </c>
      <c r="E17082" s="60">
        <v>1000000</v>
      </c>
      <c r="F17082" s="60"/>
      <c r="G17082" s="132">
        <f t="shared" si="318"/>
        <v>-1000000</v>
      </c>
      <c r="H17082" s="718" t="s">
        <v>11364</v>
      </c>
    </row>
    <row r="17083" spans="1:8" ht="15" x14ac:dyDescent="0.2">
      <c r="A17083" s="747">
        <v>45216</v>
      </c>
      <c r="B17083" s="43" t="s">
        <v>11022</v>
      </c>
      <c r="C17083" s="65" t="s">
        <v>11217</v>
      </c>
      <c r="D17083" s="807" t="s">
        <v>11501</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11502</v>
      </c>
      <c r="E17084" s="60">
        <v>42200</v>
      </c>
      <c r="F17084" s="60"/>
      <c r="G17084" s="132">
        <f t="shared" si="319"/>
        <v>-42200</v>
      </c>
      <c r="H17084" s="718" t="s">
        <v>11364</v>
      </c>
    </row>
    <row r="17085" spans="1:8" ht="15" x14ac:dyDescent="0.2">
      <c r="A17085" s="747">
        <v>45216</v>
      </c>
      <c r="B17085" s="43" t="s">
        <v>10342</v>
      </c>
      <c r="C17085" s="65" t="s">
        <v>11108</v>
      </c>
      <c r="D17085" s="807" t="s">
        <v>11503</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11504</v>
      </c>
      <c r="E17091" s="60">
        <v>1550</v>
      </c>
      <c r="F17091" s="60"/>
      <c r="G17091" s="132">
        <f t="shared" si="319"/>
        <v>-1550</v>
      </c>
      <c r="H17091" s="718" t="s">
        <v>11364</v>
      </c>
    </row>
    <row r="17092" spans="1:8" ht="15" x14ac:dyDescent="0.2">
      <c r="A17092" s="747">
        <v>45216</v>
      </c>
      <c r="B17092" s="43" t="s">
        <v>3979</v>
      </c>
      <c r="C17092" s="65" t="s">
        <v>288</v>
      </c>
      <c r="D17092" s="807" t="s">
        <v>11505</v>
      </c>
      <c r="E17092" s="60">
        <v>2000</v>
      </c>
      <c r="F17092" s="60"/>
      <c r="G17092" s="132">
        <f t="shared" si="319"/>
        <v>-2000</v>
      </c>
      <c r="H17092" s="718" t="s">
        <v>11364</v>
      </c>
    </row>
    <row r="17093" spans="1:8" ht="15" x14ac:dyDescent="0.2">
      <c r="A17093" s="747">
        <v>45216</v>
      </c>
      <c r="B17093" s="43" t="s">
        <v>3979</v>
      </c>
      <c r="C17093" s="65" t="s">
        <v>11108</v>
      </c>
      <c r="D17093" s="807" t="s">
        <v>11506</v>
      </c>
      <c r="E17093" s="60">
        <v>500</v>
      </c>
      <c r="F17093" s="60"/>
      <c r="G17093" s="132">
        <f t="shared" si="319"/>
        <v>-500</v>
      </c>
      <c r="H17093" s="718" t="s">
        <v>11364</v>
      </c>
    </row>
    <row r="17094" spans="1:8" ht="15" x14ac:dyDescent="0.2">
      <c r="A17094" s="747">
        <v>45216</v>
      </c>
      <c r="B17094" s="43" t="s">
        <v>3979</v>
      </c>
      <c r="C17094" s="65" t="s">
        <v>11108</v>
      </c>
      <c r="D17094" s="807" t="s">
        <v>11507</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11568</v>
      </c>
      <c r="C17096" s="65" t="s">
        <v>11508</v>
      </c>
      <c r="D17096" s="807" t="s">
        <v>11509</v>
      </c>
      <c r="E17096" s="60">
        <v>150000</v>
      </c>
      <c r="F17096" s="60"/>
      <c r="G17096" s="132">
        <f t="shared" si="319"/>
        <v>-150000</v>
      </c>
      <c r="H17096" s="718" t="s">
        <v>11364</v>
      </c>
    </row>
    <row r="17097" spans="1:8" ht="15" x14ac:dyDescent="0.2">
      <c r="A17097" s="747">
        <v>45216</v>
      </c>
      <c r="B17097" s="43" t="s">
        <v>10261</v>
      </c>
      <c r="C17097" s="560" t="s">
        <v>8483</v>
      </c>
      <c r="D17097" s="920" t="s">
        <v>11521</v>
      </c>
      <c r="E17097" s="592">
        <v>75140</v>
      </c>
      <c r="F17097" s="60"/>
      <c r="G17097" s="132">
        <f t="shared" si="319"/>
        <v>-75140</v>
      </c>
      <c r="H17097" s="718" t="s">
        <v>11364</v>
      </c>
    </row>
    <row r="17098" spans="1:8" ht="15" x14ac:dyDescent="0.2">
      <c r="A17098" s="747">
        <v>45216</v>
      </c>
      <c r="B17098" s="43" t="s">
        <v>9463</v>
      </c>
      <c r="C17098" s="560" t="s">
        <v>8483</v>
      </c>
      <c r="D17098" s="920" t="s">
        <v>11521</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11521</v>
      </c>
      <c r="E17099" s="592">
        <v>17368</v>
      </c>
      <c r="F17099" s="60"/>
      <c r="G17099" s="132">
        <f t="shared" si="320"/>
        <v>-17368</v>
      </c>
      <c r="H17099" s="718" t="s">
        <v>11364</v>
      </c>
    </row>
    <row r="17100" spans="1:8" ht="15" x14ac:dyDescent="0.2">
      <c r="A17100" s="747">
        <v>45216</v>
      </c>
      <c r="B17100" s="43" t="s">
        <v>11193</v>
      </c>
      <c r="C17100" s="560" t="s">
        <v>8483</v>
      </c>
      <c r="D17100" s="920" t="s">
        <v>11521</v>
      </c>
      <c r="E17100" s="592">
        <v>194858</v>
      </c>
      <c r="F17100" s="60"/>
      <c r="G17100" s="132">
        <f t="shared" si="320"/>
        <v>-194858</v>
      </c>
      <c r="H17100" s="718" t="s">
        <v>11364</v>
      </c>
    </row>
    <row r="17101" spans="1:8" ht="15" x14ac:dyDescent="0.2">
      <c r="A17101" s="747">
        <v>45216</v>
      </c>
      <c r="B17101" s="43" t="s">
        <v>10342</v>
      </c>
      <c r="C17101" s="560" t="s">
        <v>8483</v>
      </c>
      <c r="D17101" s="920" t="s">
        <v>11521</v>
      </c>
      <c r="E17101" s="592">
        <v>650000</v>
      </c>
      <c r="F17101" s="60"/>
      <c r="G17101" s="132">
        <f t="shared" si="320"/>
        <v>-650000</v>
      </c>
      <c r="H17101" s="718" t="s">
        <v>11364</v>
      </c>
    </row>
    <row r="17102" spans="1:8" ht="15" x14ac:dyDescent="0.2">
      <c r="A17102" s="747">
        <v>45216</v>
      </c>
      <c r="B17102" s="43" t="s">
        <v>11023</v>
      </c>
      <c r="C17102" s="560" t="s">
        <v>8483</v>
      </c>
      <c r="D17102" s="920" t="s">
        <v>11521</v>
      </c>
      <c r="E17102" s="592">
        <v>308871</v>
      </c>
      <c r="F17102" s="60"/>
      <c r="G17102" s="132">
        <f t="shared" si="320"/>
        <v>-308871</v>
      </c>
      <c r="H17102" s="718" t="s">
        <v>11364</v>
      </c>
    </row>
    <row r="17103" spans="1:8" ht="15" x14ac:dyDescent="0.2">
      <c r="A17103" s="747">
        <v>45216</v>
      </c>
      <c r="B17103" s="43" t="s">
        <v>10688</v>
      </c>
      <c r="C17103" s="560" t="s">
        <v>8483</v>
      </c>
      <c r="D17103" s="920" t="s">
        <v>11521</v>
      </c>
      <c r="E17103" s="592">
        <v>250000</v>
      </c>
      <c r="F17103" s="60"/>
      <c r="G17103" s="132">
        <f t="shared" si="320"/>
        <v>-250000</v>
      </c>
      <c r="H17103" s="718" t="s">
        <v>11364</v>
      </c>
    </row>
    <row r="17104" spans="1:8" ht="15" x14ac:dyDescent="0.2">
      <c r="A17104" s="747">
        <v>45217</v>
      </c>
      <c r="B17104" s="43" t="s">
        <v>9516</v>
      </c>
      <c r="C17104" s="65" t="s">
        <v>11520</v>
      </c>
      <c r="D17104" s="807" t="s">
        <v>11510</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11511</v>
      </c>
      <c r="E17105" s="60">
        <v>150000</v>
      </c>
      <c r="F17105" s="60"/>
      <c r="G17105" s="132">
        <f t="shared" si="321"/>
        <v>-150000</v>
      </c>
      <c r="H17105" s="718" t="s">
        <v>11364</v>
      </c>
    </row>
    <row r="17106" spans="1:8" ht="15" x14ac:dyDescent="0.2">
      <c r="A17106" s="747">
        <v>45217</v>
      </c>
      <c r="B17106" s="43" t="s">
        <v>10096</v>
      </c>
      <c r="C17106" s="65" t="s">
        <v>11108</v>
      </c>
      <c r="D17106" s="807" t="s">
        <v>11512</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11513</v>
      </c>
      <c r="E17109" s="60">
        <v>300</v>
      </c>
      <c r="F17109" s="60"/>
      <c r="G17109" s="132">
        <f t="shared" si="321"/>
        <v>-300</v>
      </c>
      <c r="H17109" s="718" t="s">
        <v>11364</v>
      </c>
    </row>
    <row r="17110" spans="1:8" ht="15" x14ac:dyDescent="0.2">
      <c r="A17110" s="747">
        <v>45217</v>
      </c>
      <c r="B17110" s="43" t="s">
        <v>9463</v>
      </c>
      <c r="C17110" s="65" t="s">
        <v>9568</v>
      </c>
      <c r="D17110" s="807" t="s">
        <v>11514</v>
      </c>
      <c r="E17110" s="60">
        <v>100000</v>
      </c>
      <c r="F17110" s="60"/>
      <c r="G17110" s="132">
        <f t="shared" si="321"/>
        <v>-100000</v>
      </c>
      <c r="H17110" s="718" t="s">
        <v>11364</v>
      </c>
    </row>
    <row r="17111" spans="1:8" ht="15" x14ac:dyDescent="0.2">
      <c r="A17111" s="747">
        <v>45217</v>
      </c>
      <c r="B17111" s="43" t="s">
        <v>10582</v>
      </c>
      <c r="C17111" s="65" t="s">
        <v>11108</v>
      </c>
      <c r="D17111" s="807" t="s">
        <v>11515</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11516</v>
      </c>
      <c r="E17115" s="60">
        <v>69120</v>
      </c>
      <c r="F17115" s="60"/>
      <c r="G17115" s="132">
        <f t="shared" si="321"/>
        <v>-69120</v>
      </c>
      <c r="H17115" s="718" t="s">
        <v>11364</v>
      </c>
    </row>
    <row r="17116" spans="1:8" ht="15" x14ac:dyDescent="0.2">
      <c r="A17116" s="747">
        <v>45217</v>
      </c>
      <c r="B17116" s="43" t="s">
        <v>11207</v>
      </c>
      <c r="C17116" s="65" t="s">
        <v>11540</v>
      </c>
      <c r="D17116" s="807" t="s">
        <v>11541</v>
      </c>
      <c r="E17116" s="60">
        <v>4200</v>
      </c>
      <c r="F17116" s="60"/>
      <c r="G17116" s="132">
        <f t="shared" ref="G17116:G17135" si="322">F17116-E17116</f>
        <v>-4200</v>
      </c>
      <c r="H17116" s="718" t="s">
        <v>11364</v>
      </c>
    </row>
    <row r="17117" spans="1:8" ht="15" x14ac:dyDescent="0.2">
      <c r="A17117" s="747">
        <v>45217</v>
      </c>
      <c r="B17117" s="43" t="s">
        <v>11141</v>
      </c>
      <c r="C17117" s="65" t="s">
        <v>11540</v>
      </c>
      <c r="D17117" s="807" t="s">
        <v>11542</v>
      </c>
      <c r="E17117" s="60">
        <v>1000</v>
      </c>
      <c r="F17117" s="60"/>
      <c r="G17117" s="132">
        <f t="shared" si="322"/>
        <v>-1000</v>
      </c>
      <c r="H17117" s="718" t="s">
        <v>11364</v>
      </c>
    </row>
    <row r="17118" spans="1:8" ht="15" x14ac:dyDescent="0.2">
      <c r="A17118" s="747">
        <v>45217</v>
      </c>
      <c r="B17118" s="43" t="s">
        <v>11022</v>
      </c>
      <c r="C17118" s="65" t="s">
        <v>11540</v>
      </c>
      <c r="D17118" s="807" t="s">
        <v>11543</v>
      </c>
      <c r="E17118" s="60">
        <v>2900</v>
      </c>
      <c r="F17118" s="60"/>
      <c r="G17118" s="132">
        <f t="shared" si="322"/>
        <v>-2900</v>
      </c>
      <c r="H17118" s="718" t="s">
        <v>11364</v>
      </c>
    </row>
    <row r="17119" spans="1:8" ht="15" x14ac:dyDescent="0.2">
      <c r="A17119" s="747">
        <v>45217</v>
      </c>
      <c r="B17119" s="43" t="s">
        <v>10342</v>
      </c>
      <c r="C17119" s="65" t="s">
        <v>11540</v>
      </c>
      <c r="D17119" s="807" t="s">
        <v>11544</v>
      </c>
      <c r="E17119" s="60">
        <v>7500</v>
      </c>
      <c r="F17119" s="60"/>
      <c r="G17119" s="132">
        <f t="shared" si="322"/>
        <v>-7500</v>
      </c>
      <c r="H17119" s="718" t="s">
        <v>11364</v>
      </c>
    </row>
    <row r="17120" spans="1:8" ht="15" x14ac:dyDescent="0.2">
      <c r="A17120" s="747">
        <v>45217</v>
      </c>
      <c r="B17120" s="43" t="s">
        <v>10342</v>
      </c>
      <c r="C17120" s="65" t="s">
        <v>11540</v>
      </c>
      <c r="D17120" s="807" t="s">
        <v>11545</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11546</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11540</v>
      </c>
      <c r="D17124" s="920" t="s">
        <v>11562</v>
      </c>
      <c r="E17124" s="592">
        <v>9200</v>
      </c>
      <c r="F17124" s="60"/>
      <c r="G17124" s="132">
        <f t="shared" si="322"/>
        <v>-9200</v>
      </c>
      <c r="H17124" s="718" t="s">
        <v>11364</v>
      </c>
    </row>
    <row r="17125" spans="1:8" ht="15" x14ac:dyDescent="0.2">
      <c r="A17125" s="747">
        <v>45217</v>
      </c>
      <c r="B17125" s="43" t="s">
        <v>11022</v>
      </c>
      <c r="C17125" s="560" t="s">
        <v>11540</v>
      </c>
      <c r="D17125" s="920" t="s">
        <v>11562</v>
      </c>
      <c r="E17125" s="592">
        <v>9200</v>
      </c>
      <c r="F17125" s="60"/>
      <c r="G17125" s="132">
        <f t="shared" si="322"/>
        <v>-9200</v>
      </c>
      <c r="H17125" s="718" t="s">
        <v>11364</v>
      </c>
    </row>
    <row r="17126" spans="1:8" ht="15" x14ac:dyDescent="0.2">
      <c r="A17126" s="747">
        <v>45217</v>
      </c>
      <c r="B17126" s="43" t="s">
        <v>10342</v>
      </c>
      <c r="C17126" s="560" t="s">
        <v>11540</v>
      </c>
      <c r="D17126" s="920" t="s">
        <v>11562</v>
      </c>
      <c r="E17126" s="592">
        <v>9200</v>
      </c>
      <c r="F17126" s="60"/>
      <c r="G17126" s="132">
        <f t="shared" si="322"/>
        <v>-9200</v>
      </c>
      <c r="H17126" s="718" t="s">
        <v>11364</v>
      </c>
    </row>
    <row r="17127" spans="1:8" ht="15" x14ac:dyDescent="0.2">
      <c r="A17127" s="747">
        <v>45217</v>
      </c>
      <c r="B17127" s="43" t="s">
        <v>9463</v>
      </c>
      <c r="C17127" s="65" t="s">
        <v>11547</v>
      </c>
      <c r="D17127" s="807" t="s">
        <v>11548</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11540</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11564</v>
      </c>
      <c r="E17133" s="60">
        <v>60000</v>
      </c>
      <c r="F17133" s="60"/>
      <c r="G17133" s="132">
        <f t="shared" si="322"/>
        <v>-60000</v>
      </c>
      <c r="H17133" s="718" t="s">
        <v>11364</v>
      </c>
    </row>
    <row r="17134" spans="1:8" ht="15" x14ac:dyDescent="0.2">
      <c r="A17134" s="747">
        <v>45219</v>
      </c>
      <c r="B17134" s="43" t="s">
        <v>10096</v>
      </c>
      <c r="C17134" s="65" t="s">
        <v>10346</v>
      </c>
      <c r="D17134" s="807" t="s">
        <v>11486</v>
      </c>
      <c r="E17134" s="60">
        <v>75900</v>
      </c>
      <c r="F17134" s="60"/>
      <c r="G17134" s="132">
        <f t="shared" si="322"/>
        <v>-75900</v>
      </c>
      <c r="H17134" s="718" t="s">
        <v>11364</v>
      </c>
    </row>
    <row r="17135" spans="1:8" ht="15" x14ac:dyDescent="0.2">
      <c r="A17135" s="747">
        <v>45219</v>
      </c>
      <c r="B17135" s="43" t="s">
        <v>10096</v>
      </c>
      <c r="C17135" s="65" t="s">
        <v>10283</v>
      </c>
      <c r="D17135" s="807" t="s">
        <v>11563</v>
      </c>
      <c r="E17135" s="60">
        <v>400000</v>
      </c>
      <c r="F17135" s="60"/>
      <c r="G17135" s="132">
        <f t="shared" si="322"/>
        <v>-400000</v>
      </c>
      <c r="H17135" s="718" t="s">
        <v>11364</v>
      </c>
    </row>
    <row r="17136" spans="1:8" ht="15" x14ac:dyDescent="0.2">
      <c r="A17136" s="747">
        <v>45219</v>
      </c>
      <c r="B17136" s="43" t="s">
        <v>11022</v>
      </c>
      <c r="C17136" s="65" t="s">
        <v>11108</v>
      </c>
      <c r="D17136" s="807" t="s">
        <v>11545</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11545</v>
      </c>
      <c r="E17137" s="60">
        <v>30000</v>
      </c>
      <c r="F17137" s="60"/>
      <c r="G17137" s="132">
        <f t="shared" si="323"/>
        <v>-30000</v>
      </c>
      <c r="H17137" s="718" t="s">
        <v>11364</v>
      </c>
    </row>
    <row r="17138" spans="1:8" ht="15" x14ac:dyDescent="0.2">
      <c r="A17138" s="747">
        <v>45219</v>
      </c>
      <c r="B17138" s="43" t="s">
        <v>10096</v>
      </c>
      <c r="C17138" s="65" t="s">
        <v>11108</v>
      </c>
      <c r="D17138" s="807" t="s">
        <v>11549</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11550</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11551</v>
      </c>
      <c r="E17141" s="60">
        <v>100000</v>
      </c>
      <c r="F17141" s="60"/>
      <c r="G17141" s="132">
        <f t="shared" si="323"/>
        <v>-100000</v>
      </c>
      <c r="H17141" s="718" t="s">
        <v>11364</v>
      </c>
    </row>
    <row r="17142" spans="1:8" ht="15" x14ac:dyDescent="0.2">
      <c r="A17142" s="747">
        <v>45219</v>
      </c>
      <c r="B17142" s="43" t="s">
        <v>10096</v>
      </c>
      <c r="C17142" s="65" t="s">
        <v>6533</v>
      </c>
      <c r="D17142" s="807" t="s">
        <v>11552</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11540</v>
      </c>
      <c r="D17144" s="807" t="s">
        <v>11553</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11554</v>
      </c>
      <c r="E17146" s="60">
        <v>19000</v>
      </c>
      <c r="F17146" s="60"/>
      <c r="G17146" s="132">
        <f t="shared" si="323"/>
        <v>-19000</v>
      </c>
      <c r="H17146" s="718" t="s">
        <v>11364</v>
      </c>
    </row>
    <row r="17147" spans="1:8" ht="15" x14ac:dyDescent="0.2">
      <c r="A17147" s="747">
        <v>45219</v>
      </c>
      <c r="B17147" s="43" t="s">
        <v>103</v>
      </c>
      <c r="C17147" s="65" t="s">
        <v>8008</v>
      </c>
      <c r="D17147" s="807" t="s">
        <v>11555</v>
      </c>
      <c r="E17147" s="60">
        <v>1800</v>
      </c>
      <c r="F17147" s="60"/>
      <c r="G17147" s="132">
        <f t="shared" si="323"/>
        <v>-1800</v>
      </c>
      <c r="H17147" s="718" t="s">
        <v>11364</v>
      </c>
    </row>
    <row r="17148" spans="1:8" ht="15" x14ac:dyDescent="0.2">
      <c r="A17148" s="747">
        <v>45219</v>
      </c>
      <c r="B17148" s="43" t="s">
        <v>103</v>
      </c>
      <c r="C17148" s="65" t="s">
        <v>8008</v>
      </c>
      <c r="D17148" s="807" t="s">
        <v>11556</v>
      </c>
      <c r="E17148" s="60">
        <v>9500</v>
      </c>
      <c r="F17148" s="60"/>
      <c r="G17148" s="132">
        <f t="shared" si="323"/>
        <v>-9500</v>
      </c>
      <c r="H17148" s="718" t="s">
        <v>11364</v>
      </c>
    </row>
    <row r="17149" spans="1:8" ht="15" x14ac:dyDescent="0.2">
      <c r="A17149" s="747">
        <v>45220</v>
      </c>
      <c r="B17149" s="43" t="s">
        <v>10582</v>
      </c>
      <c r="C17149" s="65" t="s">
        <v>11540</v>
      </c>
      <c r="D17149" s="807" t="s">
        <v>11571</v>
      </c>
      <c r="E17149" s="60">
        <v>9300</v>
      </c>
      <c r="F17149" s="60"/>
      <c r="G17149" s="132">
        <f t="shared" si="323"/>
        <v>-9300</v>
      </c>
      <c r="H17149" s="718" t="s">
        <v>11364</v>
      </c>
    </row>
    <row r="17150" spans="1:8" ht="15" x14ac:dyDescent="0.2">
      <c r="A17150" s="747">
        <v>45220</v>
      </c>
      <c r="B17150" s="43" t="s">
        <v>11022</v>
      </c>
      <c r="C17150" s="65" t="s">
        <v>6765</v>
      </c>
      <c r="D17150" s="807" t="s">
        <v>11557</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11559</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11597</v>
      </c>
      <c r="E17158" s="60">
        <v>254000</v>
      </c>
      <c r="F17158" s="60"/>
      <c r="G17158" s="132">
        <f t="shared" si="323"/>
        <v>-254000</v>
      </c>
      <c r="H17158" s="718" t="s">
        <v>11364</v>
      </c>
    </row>
    <row r="17159" spans="1:8" ht="15" x14ac:dyDescent="0.2">
      <c r="A17159" s="747">
        <v>45222</v>
      </c>
      <c r="B17159" s="43" t="s">
        <v>10342</v>
      </c>
      <c r="C17159" s="65" t="s">
        <v>11108</v>
      </c>
      <c r="D17159" s="807" t="s">
        <v>11560</v>
      </c>
      <c r="E17159" s="60">
        <v>95000</v>
      </c>
      <c r="F17159" s="60"/>
      <c r="G17159" s="132">
        <f t="shared" si="323"/>
        <v>-95000</v>
      </c>
      <c r="H17159" s="718" t="s">
        <v>11364</v>
      </c>
    </row>
    <row r="17160" spans="1:8" ht="15" x14ac:dyDescent="0.2">
      <c r="A17160" s="747">
        <v>45222</v>
      </c>
      <c r="B17160" s="43" t="s">
        <v>10688</v>
      </c>
      <c r="C17160" s="65" t="s">
        <v>11540</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11572</v>
      </c>
      <c r="E17161" s="60">
        <v>2950</v>
      </c>
      <c r="F17161" s="60"/>
      <c r="G17161" s="132">
        <f t="shared" si="323"/>
        <v>-2950</v>
      </c>
      <c r="H17161" s="718" t="s">
        <v>11364</v>
      </c>
    </row>
    <row r="17162" spans="1:8" ht="15" x14ac:dyDescent="0.2">
      <c r="A17162" s="747">
        <v>45223</v>
      </c>
      <c r="B17162" s="43" t="s">
        <v>103</v>
      </c>
      <c r="C17162" s="65" t="s">
        <v>14</v>
      </c>
      <c r="D17162" s="807" t="s">
        <v>11573</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11574</v>
      </c>
      <c r="E17168" s="60">
        <v>79650</v>
      </c>
      <c r="F17168" s="60"/>
      <c r="G17168" s="132">
        <f t="shared" si="323"/>
        <v>-79650</v>
      </c>
      <c r="H17168" s="718" t="s">
        <v>11364</v>
      </c>
    </row>
    <row r="17169" spans="1:8" ht="15" x14ac:dyDescent="0.2">
      <c r="A17169" s="747">
        <v>45223</v>
      </c>
      <c r="B17169" s="43" t="s">
        <v>10096</v>
      </c>
      <c r="C17169" s="679" t="s">
        <v>9883</v>
      </c>
      <c r="D17169" s="928" t="s">
        <v>11664</v>
      </c>
      <c r="E17169" s="594">
        <v>73600</v>
      </c>
      <c r="F17169" s="60"/>
      <c r="G17169" s="132">
        <f t="shared" si="323"/>
        <v>-73600</v>
      </c>
      <c r="H17169" s="718" t="s">
        <v>11364</v>
      </c>
    </row>
    <row r="17170" spans="1:8" ht="15" x14ac:dyDescent="0.2">
      <c r="A17170" s="747">
        <v>45223</v>
      </c>
      <c r="B17170" s="43" t="s">
        <v>10077</v>
      </c>
      <c r="C17170" s="679" t="s">
        <v>9883</v>
      </c>
      <c r="D17170" s="928" t="s">
        <v>11664</v>
      </c>
      <c r="E17170" s="594">
        <v>181880</v>
      </c>
      <c r="F17170" s="60"/>
      <c r="G17170" s="132">
        <f t="shared" si="323"/>
        <v>-181880</v>
      </c>
      <c r="H17170" s="718" t="s">
        <v>11364</v>
      </c>
    </row>
    <row r="17171" spans="1:8" ht="15" x14ac:dyDescent="0.2">
      <c r="A17171" s="747">
        <v>45223</v>
      </c>
      <c r="B17171" s="43" t="s">
        <v>10096</v>
      </c>
      <c r="C17171" s="65" t="s">
        <v>11577</v>
      </c>
      <c r="D17171" s="807" t="s">
        <v>11500</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11578</v>
      </c>
      <c r="E17173" s="60">
        <v>28000</v>
      </c>
      <c r="F17173" s="60"/>
      <c r="G17173" s="132">
        <f t="shared" si="324"/>
        <v>-28000</v>
      </c>
      <c r="H17173" s="718" t="s">
        <v>11364</v>
      </c>
    </row>
    <row r="17174" spans="1:8" ht="15" x14ac:dyDescent="0.2">
      <c r="A17174" s="747">
        <v>45224</v>
      </c>
      <c r="B17174" s="43" t="s">
        <v>10342</v>
      </c>
      <c r="C17174" s="65" t="s">
        <v>11108</v>
      </c>
      <c r="D17174" s="807" t="s">
        <v>11579</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11580</v>
      </c>
      <c r="E17177" s="60">
        <v>25380</v>
      </c>
      <c r="F17177" s="60"/>
      <c r="G17177" s="132">
        <f t="shared" si="324"/>
        <v>-25380</v>
      </c>
      <c r="H17177" s="718" t="s">
        <v>11364</v>
      </c>
    </row>
    <row r="17178" spans="1:8" ht="15" x14ac:dyDescent="0.2">
      <c r="A17178" s="747">
        <v>45224</v>
      </c>
      <c r="B17178" s="43" t="s">
        <v>10688</v>
      </c>
      <c r="C17178" s="65" t="s">
        <v>11108</v>
      </c>
      <c r="D17178" s="807" t="s">
        <v>11581</v>
      </c>
      <c r="E17178" s="60">
        <v>34000</v>
      </c>
      <c r="F17178" s="60"/>
      <c r="G17178" s="132">
        <f t="shared" si="324"/>
        <v>-34000</v>
      </c>
      <c r="H17178" s="718" t="s">
        <v>11364</v>
      </c>
    </row>
    <row r="17179" spans="1:8" ht="15" x14ac:dyDescent="0.2">
      <c r="A17179" s="747">
        <v>45224</v>
      </c>
      <c r="B17179" s="43" t="s">
        <v>11211</v>
      </c>
      <c r="C17179" s="65" t="s">
        <v>11108</v>
      </c>
      <c r="D17179" s="807" t="s">
        <v>11544</v>
      </c>
      <c r="E17179" s="60">
        <v>14025</v>
      </c>
      <c r="F17179" s="60"/>
      <c r="G17179" s="132">
        <f t="shared" si="324"/>
        <v>-14025</v>
      </c>
      <c r="H17179" s="718" t="s">
        <v>11364</v>
      </c>
    </row>
    <row r="17180" spans="1:8" ht="15" x14ac:dyDescent="0.2">
      <c r="A17180" s="747">
        <v>45224</v>
      </c>
      <c r="B17180" s="43" t="s">
        <v>11022</v>
      </c>
      <c r="C17180" s="65" t="s">
        <v>11108</v>
      </c>
      <c r="D17180" s="807" t="s">
        <v>11580</v>
      </c>
      <c r="E17180" s="60">
        <v>4485</v>
      </c>
      <c r="F17180" s="60"/>
      <c r="G17180" s="132">
        <f t="shared" si="324"/>
        <v>-4485</v>
      </c>
      <c r="H17180" s="718" t="s">
        <v>11364</v>
      </c>
    </row>
    <row r="17181" spans="1:8" ht="15" x14ac:dyDescent="0.2">
      <c r="A17181" s="747">
        <v>45224</v>
      </c>
      <c r="B17181" s="43" t="s">
        <v>11427</v>
      </c>
      <c r="C17181" s="65" t="s">
        <v>11108</v>
      </c>
      <c r="D17181" s="807" t="s">
        <v>11582</v>
      </c>
      <c r="E17181" s="60">
        <v>19500</v>
      </c>
      <c r="F17181" s="60"/>
      <c r="G17181" s="132">
        <f t="shared" si="324"/>
        <v>-19500</v>
      </c>
      <c r="H17181" s="718" t="s">
        <v>11364</v>
      </c>
    </row>
    <row r="17182" spans="1:8" ht="15" x14ac:dyDescent="0.2">
      <c r="A17182" s="747">
        <v>45224</v>
      </c>
      <c r="B17182" s="43" t="s">
        <v>11568</v>
      </c>
      <c r="C17182" s="65" t="s">
        <v>11108</v>
      </c>
      <c r="D17182" s="807" t="s">
        <v>11583</v>
      </c>
      <c r="E17182" s="60">
        <v>8400</v>
      </c>
      <c r="F17182" s="60"/>
      <c r="G17182" s="132">
        <f t="shared" si="324"/>
        <v>-8400</v>
      </c>
      <c r="H17182" s="718" t="s">
        <v>11364</v>
      </c>
    </row>
    <row r="17183" spans="1:8" ht="15" x14ac:dyDescent="0.2">
      <c r="A17183" s="747">
        <v>45224</v>
      </c>
      <c r="B17183" s="43" t="s">
        <v>11022</v>
      </c>
      <c r="C17183" s="65" t="s">
        <v>11108</v>
      </c>
      <c r="D17183" s="807" t="s">
        <v>11584</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11585</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11587</v>
      </c>
      <c r="D17190" s="807" t="s">
        <v>11588</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11589</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11592</v>
      </c>
      <c r="E17197" s="592">
        <v>13600</v>
      </c>
      <c r="F17197" s="60"/>
      <c r="G17197" s="132">
        <f t="shared" si="328"/>
        <v>-13600</v>
      </c>
      <c r="H17197" s="718" t="s">
        <v>11364</v>
      </c>
    </row>
    <row r="17198" spans="1:8" ht="15" x14ac:dyDescent="0.2">
      <c r="A17198" s="747">
        <v>45225</v>
      </c>
      <c r="B17198" s="43" t="s">
        <v>11023</v>
      </c>
      <c r="C17198" s="560" t="s">
        <v>674</v>
      </c>
      <c r="D17198" s="920" t="s">
        <v>11592</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11592</v>
      </c>
      <c r="E17199" s="592">
        <v>13600</v>
      </c>
      <c r="F17199" s="60"/>
      <c r="G17199" s="132">
        <f t="shared" si="329"/>
        <v>-13600</v>
      </c>
      <c r="H17199" s="718" t="s">
        <v>11364</v>
      </c>
    </row>
    <row r="17200" spans="1:8" ht="15" x14ac:dyDescent="0.2">
      <c r="A17200" s="747">
        <v>45225</v>
      </c>
      <c r="B17200" s="43" t="s">
        <v>10342</v>
      </c>
      <c r="C17200" s="65" t="s">
        <v>11590</v>
      </c>
      <c r="D17200" s="807" t="s">
        <v>11591</v>
      </c>
      <c r="E17200" s="60">
        <v>80000</v>
      </c>
      <c r="F17200" s="60"/>
      <c r="G17200" s="132">
        <f t="shared" si="328"/>
        <v>-80000</v>
      </c>
      <c r="H17200" s="718" t="s">
        <v>11364</v>
      </c>
    </row>
    <row r="17201" spans="1:8" ht="15" x14ac:dyDescent="0.2">
      <c r="A17201" s="747">
        <v>45225</v>
      </c>
      <c r="B17201" s="43" t="s">
        <v>11568</v>
      </c>
      <c r="C17201" s="65" t="s">
        <v>11108</v>
      </c>
      <c r="D17201" s="807" t="s">
        <v>11593</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11595</v>
      </c>
      <c r="E17208" s="60">
        <v>30000</v>
      </c>
      <c r="F17208" s="60"/>
      <c r="G17208" s="132">
        <f t="shared" si="330"/>
        <v>-30000</v>
      </c>
      <c r="H17208" s="718" t="s">
        <v>11364</v>
      </c>
    </row>
    <row r="17209" spans="1:8" ht="15" x14ac:dyDescent="0.2">
      <c r="A17209" s="747">
        <v>45225</v>
      </c>
      <c r="B17209" s="43" t="s">
        <v>25</v>
      </c>
      <c r="C17209" s="65" t="s">
        <v>7669</v>
      </c>
      <c r="D17209" s="807" t="s">
        <v>11596</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11627</v>
      </c>
      <c r="E17211" s="60">
        <v>20000</v>
      </c>
      <c r="F17211" s="60"/>
      <c r="G17211" s="132">
        <f t="shared" si="331"/>
        <v>-20000</v>
      </c>
      <c r="H17211" s="718" t="s">
        <v>11364</v>
      </c>
    </row>
    <row r="17212" spans="1:8" ht="15" x14ac:dyDescent="0.2">
      <c r="A17212" s="747">
        <v>45227</v>
      </c>
      <c r="B17212" s="43" t="s">
        <v>2957</v>
      </c>
      <c r="C17212" s="65" t="s">
        <v>5457</v>
      </c>
      <c r="D17212" s="807" t="s">
        <v>11628</v>
      </c>
      <c r="E17212" s="60">
        <v>10000</v>
      </c>
      <c r="F17212" s="60"/>
      <c r="G17212" s="132">
        <f t="shared" si="331"/>
        <v>-10000</v>
      </c>
      <c r="H17212" s="718" t="s">
        <v>11364</v>
      </c>
    </row>
    <row r="17213" spans="1:8" ht="15" x14ac:dyDescent="0.2">
      <c r="A17213" s="747">
        <v>45227</v>
      </c>
      <c r="B17213" s="43" t="s">
        <v>9463</v>
      </c>
      <c r="C17213" s="65" t="s">
        <v>14</v>
      </c>
      <c r="D17213" s="807" t="s">
        <v>11629</v>
      </c>
      <c r="E17213" s="60">
        <v>3000</v>
      </c>
      <c r="F17213" s="60"/>
      <c r="G17213" s="132">
        <f t="shared" si="331"/>
        <v>-3000</v>
      </c>
      <c r="H17213" s="718" t="s">
        <v>11364</v>
      </c>
    </row>
    <row r="17214" spans="1:8" ht="15" x14ac:dyDescent="0.2">
      <c r="A17214" s="747">
        <v>45227</v>
      </c>
      <c r="B17214" s="43" t="s">
        <v>11568</v>
      </c>
      <c r="C17214" s="65" t="s">
        <v>11108</v>
      </c>
      <c r="D17214" s="807" t="s">
        <v>11630</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11631</v>
      </c>
      <c r="E17217" s="60">
        <v>10500</v>
      </c>
      <c r="F17217" s="60"/>
      <c r="G17217" s="132">
        <f t="shared" si="331"/>
        <v>-10500</v>
      </c>
      <c r="H17217" s="718" t="s">
        <v>11364</v>
      </c>
    </row>
    <row r="17218" spans="1:8" ht="15" x14ac:dyDescent="0.2">
      <c r="A17218" s="747">
        <v>45227</v>
      </c>
      <c r="B17218" s="43" t="s">
        <v>11427</v>
      </c>
      <c r="C17218" s="65" t="s">
        <v>11108</v>
      </c>
      <c r="D17218" s="807" t="s">
        <v>11632</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11633</v>
      </c>
      <c r="C17222" s="65" t="s">
        <v>11108</v>
      </c>
      <c r="D17222" s="807" t="s">
        <v>11634</v>
      </c>
      <c r="E17222" s="60">
        <v>35150</v>
      </c>
      <c r="F17222" s="60"/>
      <c r="G17222" s="132">
        <f t="shared" ref="G17222" si="332">F17222-E17222</f>
        <v>-35150</v>
      </c>
      <c r="H17222" s="718" t="s">
        <v>11364</v>
      </c>
    </row>
    <row r="17223" spans="1:8" ht="15" x14ac:dyDescent="0.2">
      <c r="A17223" s="747">
        <v>45227</v>
      </c>
      <c r="B17223" s="43" t="s">
        <v>11141</v>
      </c>
      <c r="C17223" s="65" t="s">
        <v>11540</v>
      </c>
      <c r="D17223" s="807" t="s">
        <v>11635</v>
      </c>
      <c r="E17223" s="60">
        <v>850</v>
      </c>
      <c r="F17223" s="60"/>
      <c r="G17223" s="132">
        <f t="shared" ref="G17223:G17228" si="333">F17223-E17223</f>
        <v>-850</v>
      </c>
      <c r="H17223" s="718" t="s">
        <v>11364</v>
      </c>
    </row>
    <row r="17224" spans="1:8" ht="15" x14ac:dyDescent="0.2">
      <c r="A17224" s="747">
        <v>45227</v>
      </c>
      <c r="B17224" s="43" t="s">
        <v>11568</v>
      </c>
      <c r="C17224" s="65" t="s">
        <v>11540</v>
      </c>
      <c r="D17224" s="807" t="s">
        <v>11636</v>
      </c>
      <c r="E17224" s="60">
        <v>2340</v>
      </c>
      <c r="F17224" s="60"/>
      <c r="G17224" s="132">
        <f t="shared" si="333"/>
        <v>-2340</v>
      </c>
      <c r="H17224" s="718" t="s">
        <v>11364</v>
      </c>
    </row>
    <row r="17225" spans="1:8" ht="15" x14ac:dyDescent="0.2">
      <c r="A17225" s="747">
        <v>45227</v>
      </c>
      <c r="B17225" s="43" t="s">
        <v>11568</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11637</v>
      </c>
      <c r="E17226" s="60">
        <v>600</v>
      </c>
      <c r="F17226" s="60"/>
      <c r="G17226" s="132">
        <f t="shared" si="333"/>
        <v>-600</v>
      </c>
      <c r="H17226" s="718" t="s">
        <v>11364</v>
      </c>
    </row>
    <row r="17227" spans="1:8" ht="15" x14ac:dyDescent="0.2">
      <c r="A17227" s="747">
        <v>45227</v>
      </c>
      <c r="B17227" s="43" t="s">
        <v>11568</v>
      </c>
      <c r="C17227" s="560" t="s">
        <v>11108</v>
      </c>
      <c r="D17227" s="920" t="s">
        <v>11638</v>
      </c>
      <c r="E17227" s="592">
        <v>100900</v>
      </c>
      <c r="F17227" s="60"/>
      <c r="G17227" s="132">
        <f t="shared" si="333"/>
        <v>-100900</v>
      </c>
      <c r="H17227" s="718" t="s">
        <v>11364</v>
      </c>
    </row>
    <row r="17228" spans="1:8" ht="15" x14ac:dyDescent="0.2">
      <c r="A17228" s="747">
        <v>45227</v>
      </c>
      <c r="B17228" s="43" t="s">
        <v>10096</v>
      </c>
      <c r="C17228" s="560" t="s">
        <v>11108</v>
      </c>
      <c r="D17228" s="920" t="s">
        <v>11638</v>
      </c>
      <c r="E17228" s="592">
        <v>51240</v>
      </c>
      <c r="F17228" s="60"/>
      <c r="G17228" s="132">
        <f t="shared" si="333"/>
        <v>-51240</v>
      </c>
      <c r="H17228" s="718" t="s">
        <v>11364</v>
      </c>
    </row>
    <row r="17229" spans="1:8" ht="15" x14ac:dyDescent="0.2">
      <c r="A17229" s="747">
        <v>45227</v>
      </c>
      <c r="B17229" s="43" t="s">
        <v>10582</v>
      </c>
      <c r="C17229" s="65" t="s">
        <v>11108</v>
      </c>
      <c r="D17229" s="807" t="s">
        <v>11639</v>
      </c>
      <c r="E17229" s="60">
        <v>5450</v>
      </c>
      <c r="F17229" s="60"/>
      <c r="G17229" s="132">
        <f t="shared" ref="G17229:G17233" si="334">F17229-E17229</f>
        <v>-5450</v>
      </c>
      <c r="H17229" s="718" t="s">
        <v>11364</v>
      </c>
    </row>
    <row r="17230" spans="1:8" ht="15" x14ac:dyDescent="0.2">
      <c r="A17230" s="747">
        <v>45227</v>
      </c>
      <c r="B17230" s="43" t="s">
        <v>11568</v>
      </c>
      <c r="C17230" s="65" t="s">
        <v>11640</v>
      </c>
      <c r="D17230" s="807" t="s">
        <v>11641</v>
      </c>
      <c r="E17230" s="60">
        <v>1300</v>
      </c>
      <c r="F17230" s="60"/>
      <c r="G17230" s="132">
        <f t="shared" si="334"/>
        <v>-1300</v>
      </c>
      <c r="H17230" s="718" t="s">
        <v>11364</v>
      </c>
    </row>
    <row r="17231" spans="1:8" ht="15" x14ac:dyDescent="0.2">
      <c r="A17231" s="747">
        <v>45227</v>
      </c>
      <c r="B17231" s="43" t="s">
        <v>3979</v>
      </c>
      <c r="C17231" s="560" t="s">
        <v>302</v>
      </c>
      <c r="D17231" s="920" t="s">
        <v>11642</v>
      </c>
      <c r="E17231" s="592">
        <v>48000</v>
      </c>
      <c r="F17231" s="60"/>
      <c r="G17231" s="132">
        <f t="shared" si="334"/>
        <v>-48000</v>
      </c>
      <c r="H17231" s="718" t="s">
        <v>11364</v>
      </c>
    </row>
    <row r="17232" spans="1:8" ht="15" x14ac:dyDescent="0.2">
      <c r="A17232" s="747">
        <v>45227</v>
      </c>
      <c r="B17232" s="43" t="s">
        <v>3978</v>
      </c>
      <c r="C17232" s="560" t="s">
        <v>302</v>
      </c>
      <c r="D17232" s="920" t="s">
        <v>11642</v>
      </c>
      <c r="E17232" s="592">
        <v>48000</v>
      </c>
      <c r="F17232" s="60"/>
      <c r="G17232" s="132">
        <f t="shared" si="334"/>
        <v>-48000</v>
      </c>
      <c r="H17232" s="718" t="s">
        <v>11364</v>
      </c>
    </row>
    <row r="17233" spans="1:8" ht="15" x14ac:dyDescent="0.2">
      <c r="A17233" s="747">
        <v>45227</v>
      </c>
      <c r="B17233" s="43" t="s">
        <v>37</v>
      </c>
      <c r="C17233" s="560" t="s">
        <v>302</v>
      </c>
      <c r="D17233" s="920" t="s">
        <v>11642</v>
      </c>
      <c r="E17233" s="592">
        <v>22301</v>
      </c>
      <c r="F17233" s="60"/>
      <c r="G17233" s="132">
        <f t="shared" si="334"/>
        <v>-22301</v>
      </c>
      <c r="H17233" s="718" t="s">
        <v>11364</v>
      </c>
    </row>
    <row r="17234" spans="1:8" ht="15" x14ac:dyDescent="0.2">
      <c r="A17234" s="747">
        <v>45229</v>
      </c>
      <c r="B17234" s="43" t="s">
        <v>11122</v>
      </c>
      <c r="C17234" s="65" t="s">
        <v>14</v>
      </c>
      <c r="D17234" s="807" t="s">
        <v>11643</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11568</v>
      </c>
      <c r="C17237" s="65" t="s">
        <v>11108</v>
      </c>
      <c r="D17237" s="807" t="s">
        <v>11646</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11647</v>
      </c>
      <c r="E17238" s="60">
        <v>16000</v>
      </c>
      <c r="F17238" s="60"/>
      <c r="G17238" s="132">
        <f t="shared" si="336"/>
        <v>-16000</v>
      </c>
      <c r="H17238" s="718" t="s">
        <v>11364</v>
      </c>
    </row>
    <row r="17239" spans="1:8" ht="15" x14ac:dyDescent="0.2">
      <c r="A17239" s="747">
        <v>45229</v>
      </c>
      <c r="B17239" s="43" t="s">
        <v>11022</v>
      </c>
      <c r="C17239" s="65" t="s">
        <v>11108</v>
      </c>
      <c r="D17239" s="807" t="s">
        <v>11647</v>
      </c>
      <c r="E17239" s="60">
        <v>39000</v>
      </c>
      <c r="F17239" s="60"/>
      <c r="G17239" s="132">
        <f t="shared" si="336"/>
        <v>-39000</v>
      </c>
      <c r="H17239" s="718" t="s">
        <v>11364</v>
      </c>
    </row>
    <row r="17240" spans="1:8" ht="15" x14ac:dyDescent="0.2">
      <c r="A17240" s="747">
        <v>45229</v>
      </c>
      <c r="B17240" s="43" t="s">
        <v>11568</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11656</v>
      </c>
      <c r="E17243" s="592">
        <v>9100</v>
      </c>
      <c r="F17243" s="60"/>
      <c r="G17243" s="132">
        <f t="shared" si="336"/>
        <v>-9100</v>
      </c>
      <c r="H17243" s="718" t="s">
        <v>11364</v>
      </c>
    </row>
    <row r="17244" spans="1:8" ht="15" x14ac:dyDescent="0.2">
      <c r="A17244" s="747">
        <v>45229</v>
      </c>
      <c r="B17244" s="43" t="s">
        <v>11022</v>
      </c>
      <c r="C17244" s="560" t="s">
        <v>11108</v>
      </c>
      <c r="D17244" s="920" t="s">
        <v>11656</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11656</v>
      </c>
      <c r="E17245" s="592">
        <v>9100</v>
      </c>
      <c r="F17245" s="60"/>
      <c r="G17245" s="132">
        <f t="shared" si="337"/>
        <v>-9100</v>
      </c>
      <c r="H17245" s="718" t="s">
        <v>11364</v>
      </c>
    </row>
    <row r="17246" spans="1:8" ht="15" x14ac:dyDescent="0.2">
      <c r="A17246" s="747">
        <v>45229</v>
      </c>
      <c r="B17246" s="43" t="s">
        <v>10688</v>
      </c>
      <c r="C17246" s="643" t="s">
        <v>11108</v>
      </c>
      <c r="D17246" s="1084" t="s">
        <v>11657</v>
      </c>
      <c r="E17246" s="748">
        <v>4800</v>
      </c>
      <c r="F17246" s="60"/>
      <c r="G17246" s="132">
        <f t="shared" si="336"/>
        <v>-4800</v>
      </c>
      <c r="H17246" s="718" t="s">
        <v>11364</v>
      </c>
    </row>
    <row r="17247" spans="1:8" ht="15" x14ac:dyDescent="0.2">
      <c r="A17247" s="747">
        <v>45229</v>
      </c>
      <c r="B17247" s="43" t="s">
        <v>11022</v>
      </c>
      <c r="C17247" s="643" t="s">
        <v>11108</v>
      </c>
      <c r="D17247" s="1084" t="s">
        <v>11657</v>
      </c>
      <c r="E17247" s="748">
        <v>4800</v>
      </c>
      <c r="F17247" s="60"/>
      <c r="G17247" s="132">
        <f t="shared" si="336"/>
        <v>-4800</v>
      </c>
      <c r="H17247" s="718" t="s">
        <v>11364</v>
      </c>
    </row>
    <row r="17248" spans="1:8" ht="15" x14ac:dyDescent="0.2">
      <c r="A17248" s="747">
        <v>45229</v>
      </c>
      <c r="B17248" s="43" t="s">
        <v>10342</v>
      </c>
      <c r="C17248" s="643" t="s">
        <v>11108</v>
      </c>
      <c r="D17248" s="1084" t="s">
        <v>11657</v>
      </c>
      <c r="E17248" s="748">
        <v>4800</v>
      </c>
      <c r="F17248" s="60"/>
      <c r="G17248" s="132">
        <f t="shared" si="336"/>
        <v>-4800</v>
      </c>
      <c r="H17248" s="718" t="s">
        <v>11364</v>
      </c>
    </row>
    <row r="17249" spans="1:8" ht="15" x14ac:dyDescent="0.2">
      <c r="A17249" s="747">
        <v>45229</v>
      </c>
      <c r="B17249" s="43" t="s">
        <v>11122</v>
      </c>
      <c r="C17249" s="65" t="s">
        <v>6683</v>
      </c>
      <c r="D17249" s="807" t="s">
        <v>11648</v>
      </c>
      <c r="E17249" s="60">
        <v>20000</v>
      </c>
      <c r="F17249" s="60"/>
      <c r="G17249" s="132">
        <f t="shared" si="336"/>
        <v>-20000</v>
      </c>
      <c r="H17249" s="718" t="s">
        <v>11364</v>
      </c>
    </row>
    <row r="17250" spans="1:8" ht="15" x14ac:dyDescent="0.2">
      <c r="A17250" s="747">
        <v>45229</v>
      </c>
      <c r="B17250" s="43" t="s">
        <v>10582</v>
      </c>
      <c r="C17250" s="65" t="s">
        <v>14</v>
      </c>
      <c r="D17250" s="807" t="s">
        <v>11655</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11649</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11650</v>
      </c>
      <c r="E17254" s="60">
        <v>10000</v>
      </c>
      <c r="F17254" s="60"/>
      <c r="G17254" s="132">
        <f t="shared" si="336"/>
        <v>-10000</v>
      </c>
      <c r="H17254" s="718" t="s">
        <v>11364</v>
      </c>
    </row>
    <row r="17255" spans="1:8" ht="15" x14ac:dyDescent="0.2">
      <c r="A17255" s="747">
        <v>45230</v>
      </c>
      <c r="B17255" s="43" t="s">
        <v>10342</v>
      </c>
      <c r="C17255" s="679" t="s">
        <v>11108</v>
      </c>
      <c r="D17255" s="928" t="s">
        <v>11694</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11694</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11694</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11651</v>
      </c>
      <c r="E17259" s="60">
        <v>4180</v>
      </c>
      <c r="F17259" s="60"/>
      <c r="G17259" s="132">
        <f t="shared" si="336"/>
        <v>-4180</v>
      </c>
      <c r="H17259" s="718" t="s">
        <v>11364</v>
      </c>
    </row>
    <row r="17260" spans="1:8" ht="15" x14ac:dyDescent="0.2">
      <c r="A17260" s="747">
        <v>45230</v>
      </c>
      <c r="B17260" s="43" t="s">
        <v>10582</v>
      </c>
      <c r="C17260" s="65" t="s">
        <v>11108</v>
      </c>
      <c r="D17260" s="807" t="s">
        <v>11652</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11687</v>
      </c>
      <c r="E17265" s="60">
        <v>43000</v>
      </c>
      <c r="F17265" s="60"/>
      <c r="G17265" s="132">
        <f t="shared" si="339"/>
        <v>-43000</v>
      </c>
      <c r="H17265" s="718" t="s">
        <v>11364</v>
      </c>
    </row>
    <row r="17266" spans="1:8" ht="15" x14ac:dyDescent="0.2">
      <c r="A17266" s="747">
        <v>45230</v>
      </c>
      <c r="B17266" s="43" t="s">
        <v>103</v>
      </c>
      <c r="C17266" s="65" t="s">
        <v>799</v>
      </c>
      <c r="D17266" s="807" t="s">
        <v>11688</v>
      </c>
      <c r="E17266" s="60">
        <v>65000</v>
      </c>
      <c r="F17266" s="60"/>
      <c r="G17266" s="132">
        <f t="shared" si="339"/>
        <v>-65000</v>
      </c>
      <c r="H17266" s="718" t="s">
        <v>11364</v>
      </c>
    </row>
    <row r="17267" spans="1:8" ht="15" x14ac:dyDescent="0.2">
      <c r="A17267" s="747">
        <v>45230</v>
      </c>
      <c r="B17267" s="43" t="s">
        <v>103</v>
      </c>
      <c r="C17267" s="65" t="s">
        <v>799</v>
      </c>
      <c r="D17267" s="807" t="s">
        <v>11689</v>
      </c>
      <c r="E17267" s="60">
        <v>22000</v>
      </c>
      <c r="F17267" s="60"/>
      <c r="G17267" s="132">
        <f t="shared" si="339"/>
        <v>-22000</v>
      </c>
      <c r="H17267" s="718" t="s">
        <v>11364</v>
      </c>
    </row>
    <row r="17268" spans="1:8" ht="15" x14ac:dyDescent="0.2">
      <c r="A17268" s="747">
        <v>45230</v>
      </c>
      <c r="B17268" s="43" t="s">
        <v>9463</v>
      </c>
      <c r="C17268" s="65" t="s">
        <v>799</v>
      </c>
      <c r="D17268" s="807" t="s">
        <v>11690</v>
      </c>
      <c r="E17268" s="60">
        <v>40800</v>
      </c>
      <c r="F17268" s="60"/>
      <c r="G17268" s="132">
        <f t="shared" si="339"/>
        <v>-40800</v>
      </c>
      <c r="H17268" s="718" t="s">
        <v>11364</v>
      </c>
    </row>
    <row r="17269" spans="1:8" ht="15" x14ac:dyDescent="0.2">
      <c r="A17269" s="747">
        <v>45230</v>
      </c>
      <c r="B17269" s="43" t="s">
        <v>10688</v>
      </c>
      <c r="C17269" s="65" t="s">
        <v>799</v>
      </c>
      <c r="D17269" s="807" t="s">
        <v>11719</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11722</v>
      </c>
      <c r="E17271" s="60">
        <v>120084.67741935485</v>
      </c>
      <c r="F17271" s="60"/>
      <c r="G17271" s="132">
        <f t="shared" si="339"/>
        <v>-120084.67741935485</v>
      </c>
      <c r="H17271" s="718" t="s">
        <v>11364</v>
      </c>
    </row>
    <row r="17272" spans="1:8" ht="15" x14ac:dyDescent="0.2">
      <c r="A17272" s="747">
        <v>45230</v>
      </c>
      <c r="B17272" s="43" t="s">
        <v>3979</v>
      </c>
      <c r="C17272" s="65" t="s">
        <v>799</v>
      </c>
      <c r="D17272" s="807" t="s">
        <v>11723</v>
      </c>
      <c r="E17272" s="60">
        <v>20000</v>
      </c>
      <c r="F17272" s="60"/>
      <c r="G17272" s="132">
        <f t="shared" si="339"/>
        <v>-20000</v>
      </c>
      <c r="H17272" s="718" t="s">
        <v>11364</v>
      </c>
    </row>
    <row r="17273" spans="1:8" ht="15" x14ac:dyDescent="0.2">
      <c r="A17273" s="747">
        <v>45230</v>
      </c>
      <c r="B17273" s="43" t="s">
        <v>10096</v>
      </c>
      <c r="C17273" s="65" t="s">
        <v>799</v>
      </c>
      <c r="D17273" s="807" t="s">
        <v>11728</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11731</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11737</v>
      </c>
      <c r="E17282" s="60">
        <v>39000</v>
      </c>
      <c r="F17282" s="60"/>
      <c r="G17282" s="132">
        <f t="shared" si="341"/>
        <v>-39000</v>
      </c>
      <c r="H17282" s="718" t="s">
        <v>11364</v>
      </c>
    </row>
    <row r="17283" spans="1:8" ht="15" x14ac:dyDescent="0.2">
      <c r="A17283" s="747">
        <v>45230</v>
      </c>
      <c r="B17283" s="43" t="s">
        <v>10096</v>
      </c>
      <c r="C17283" s="65" t="s">
        <v>799</v>
      </c>
      <c r="D17283" s="807" t="s">
        <v>11741</v>
      </c>
      <c r="E17283" s="60">
        <v>200000</v>
      </c>
      <c r="F17283" s="60"/>
      <c r="G17283" s="132">
        <f t="shared" si="341"/>
        <v>-200000</v>
      </c>
      <c r="H17283" s="718" t="s">
        <v>11364</v>
      </c>
    </row>
    <row r="17284" spans="1:8" ht="15" x14ac:dyDescent="0.2">
      <c r="A17284" s="747">
        <v>45230</v>
      </c>
      <c r="B17284" s="43" t="s">
        <v>9516</v>
      </c>
      <c r="C17284" s="65" t="s">
        <v>799</v>
      </c>
      <c r="D17284" s="807" t="s">
        <v>11736</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11746</v>
      </c>
      <c r="C17286" s="65" t="s">
        <v>799</v>
      </c>
      <c r="D17286" s="807" t="s">
        <v>11747</v>
      </c>
      <c r="E17286" s="60">
        <v>65000</v>
      </c>
      <c r="F17286" s="60"/>
      <c r="G17286" s="132">
        <f t="shared" si="341"/>
        <v>-65000</v>
      </c>
      <c r="H17286" s="718" t="s">
        <v>11364</v>
      </c>
    </row>
    <row r="17287" spans="1:8" ht="15" x14ac:dyDescent="0.2">
      <c r="A17287" s="747">
        <v>45230</v>
      </c>
      <c r="B17287" s="43" t="s">
        <v>10096</v>
      </c>
      <c r="C17287" s="65" t="s">
        <v>799</v>
      </c>
      <c r="D17287" s="807" t="s">
        <v>11751</v>
      </c>
      <c r="E17287" s="60">
        <v>5000</v>
      </c>
      <c r="F17287" s="60"/>
      <c r="G17287" s="132">
        <f t="shared" si="341"/>
        <v>-5000</v>
      </c>
      <c r="H17287" s="718" t="s">
        <v>11364</v>
      </c>
    </row>
    <row r="17288" spans="1:8" ht="15" x14ac:dyDescent="0.2">
      <c r="A17288" s="747">
        <v>45230</v>
      </c>
      <c r="B17288" s="43" t="s">
        <v>103</v>
      </c>
      <c r="C17288" s="65" t="s">
        <v>799</v>
      </c>
      <c r="D17288" s="807" t="s">
        <v>11752</v>
      </c>
      <c r="E17288" s="60">
        <v>60000</v>
      </c>
      <c r="F17288" s="60"/>
      <c r="G17288" s="132">
        <f t="shared" si="341"/>
        <v>-60000</v>
      </c>
      <c r="H17288" s="718" t="s">
        <v>11364</v>
      </c>
    </row>
    <row r="17289" spans="1:8" ht="15" x14ac:dyDescent="0.2">
      <c r="A17289" s="747">
        <v>45230</v>
      </c>
      <c r="B17289" s="43" t="s">
        <v>9463</v>
      </c>
      <c r="C17289" s="65" t="s">
        <v>799</v>
      </c>
      <c r="D17289" s="807" t="s">
        <v>11753</v>
      </c>
      <c r="E17289" s="60">
        <v>33450</v>
      </c>
      <c r="F17289" s="60"/>
      <c r="G17289" s="132">
        <f t="shared" si="341"/>
        <v>-33450</v>
      </c>
      <c r="H17289" s="718" t="s">
        <v>11364</v>
      </c>
    </row>
    <row r="17290" spans="1:8" ht="15" x14ac:dyDescent="0.2">
      <c r="A17290" s="747">
        <v>45230</v>
      </c>
      <c r="B17290" s="43" t="s">
        <v>11633</v>
      </c>
      <c r="C17290" s="65" t="s">
        <v>799</v>
      </c>
      <c r="D17290" s="807" t="s">
        <v>11801</v>
      </c>
      <c r="E17290" s="60">
        <v>170000</v>
      </c>
      <c r="F17290" s="60"/>
      <c r="G17290" s="132">
        <f t="shared" ref="G17290" si="342">F17290-E17290</f>
        <v>-170000</v>
      </c>
      <c r="H17290" s="718" t="s">
        <v>11364</v>
      </c>
    </row>
    <row r="17291" spans="1:8" ht="15" x14ac:dyDescent="0.2">
      <c r="A17291" s="747">
        <v>45230</v>
      </c>
      <c r="B17291" s="43" t="s">
        <v>3978</v>
      </c>
      <c r="C17291" s="65" t="s">
        <v>799</v>
      </c>
      <c r="D17291" s="807" t="s">
        <v>11761</v>
      </c>
      <c r="E17291" s="60">
        <v>135890</v>
      </c>
      <c r="F17291" s="60"/>
      <c r="G17291" s="132">
        <f>F17291-E17291</f>
        <v>-135890</v>
      </c>
      <c r="H17291" s="718" t="s">
        <v>11364</v>
      </c>
    </row>
    <row r="17292" spans="1:8" ht="15" x14ac:dyDescent="0.2">
      <c r="A17292" s="747">
        <v>45230</v>
      </c>
      <c r="B17292" s="43" t="s">
        <v>9463</v>
      </c>
      <c r="C17292" s="65" t="s">
        <v>799</v>
      </c>
      <c r="D17292" s="807" t="s">
        <v>11764</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11518</v>
      </c>
      <c r="E17303" s="561">
        <v>142000</v>
      </c>
      <c r="F17303" s="242"/>
      <c r="G17303" s="242">
        <f t="shared" si="304"/>
        <v>-142000</v>
      </c>
      <c r="H17303" s="722" t="s">
        <v>11364</v>
      </c>
    </row>
    <row r="17304" spans="1:8" ht="15" x14ac:dyDescent="0.2">
      <c r="A17304" s="746">
        <v>45211</v>
      </c>
      <c r="B17304" s="180" t="s">
        <v>8974</v>
      </c>
      <c r="C17304" s="560" t="s">
        <v>9657</v>
      </c>
      <c r="D17304" s="753" t="s">
        <v>11518</v>
      </c>
      <c r="E17304" s="561">
        <v>10000</v>
      </c>
      <c r="F17304" s="242"/>
      <c r="G17304" s="242">
        <f t="shared" si="304"/>
        <v>-10000</v>
      </c>
      <c r="H17304" s="722" t="s">
        <v>11364</v>
      </c>
    </row>
    <row r="17305" spans="1:8" ht="15" x14ac:dyDescent="0.2">
      <c r="A17305" s="746">
        <v>45217</v>
      </c>
      <c r="B17305" s="180" t="s">
        <v>9877</v>
      </c>
      <c r="C17305" s="180" t="s">
        <v>9006</v>
      </c>
      <c r="D17305" s="234" t="s">
        <v>11519</v>
      </c>
      <c r="E17305" s="242">
        <v>200000</v>
      </c>
      <c r="F17305" s="242"/>
      <c r="G17305" s="242">
        <f t="shared" si="304"/>
        <v>-200000</v>
      </c>
      <c r="H17305" s="722" t="s">
        <v>11364</v>
      </c>
    </row>
    <row r="17306" spans="1:8" ht="15" x14ac:dyDescent="0.2">
      <c r="A17306" s="746">
        <v>45217</v>
      </c>
      <c r="B17306" s="180" t="s">
        <v>10342</v>
      </c>
      <c r="C17306" s="180" t="s">
        <v>11522</v>
      </c>
      <c r="D17306" s="234" t="s">
        <v>11523</v>
      </c>
      <c r="E17306" s="242">
        <v>130000</v>
      </c>
      <c r="F17306" s="242"/>
      <c r="G17306" s="242">
        <f t="shared" si="304"/>
        <v>-130000</v>
      </c>
      <c r="H17306" s="722" t="s">
        <v>11364</v>
      </c>
    </row>
    <row r="17307" spans="1:8" ht="15" x14ac:dyDescent="0.2">
      <c r="A17307" s="746">
        <v>45219</v>
      </c>
      <c r="B17307" s="180" t="s">
        <v>10688</v>
      </c>
      <c r="C17307" s="180" t="s">
        <v>11144</v>
      </c>
      <c r="D17307" s="234" t="s">
        <v>11537</v>
      </c>
      <c r="E17307" s="242">
        <v>100000</v>
      </c>
      <c r="F17307" s="242"/>
      <c r="G17307" s="242">
        <f t="shared" si="304"/>
        <v>-100000</v>
      </c>
      <c r="H17307" s="722" t="s">
        <v>11364</v>
      </c>
    </row>
    <row r="17308" spans="1:8" ht="15" x14ac:dyDescent="0.2">
      <c r="A17308" s="746">
        <v>45219</v>
      </c>
      <c r="B17308" s="180" t="s">
        <v>9877</v>
      </c>
      <c r="C17308" s="180" t="s">
        <v>11550</v>
      </c>
      <c r="D17308" s="234" t="s">
        <v>11561</v>
      </c>
      <c r="E17308" s="242">
        <v>200000</v>
      </c>
      <c r="F17308" s="242"/>
      <c r="G17308" s="242">
        <f t="shared" si="304"/>
        <v>-200000</v>
      </c>
      <c r="H17308" s="722" t="s">
        <v>11364</v>
      </c>
    </row>
    <row r="17309" spans="1:8" ht="15" x14ac:dyDescent="0.2">
      <c r="A17309" s="746">
        <v>45224</v>
      </c>
      <c r="B17309" s="180" t="s">
        <v>11122</v>
      </c>
      <c r="C17309" s="180" t="s">
        <v>9582</v>
      </c>
      <c r="D17309" s="234" t="s">
        <v>11598</v>
      </c>
      <c r="E17309" s="242">
        <v>39000</v>
      </c>
      <c r="F17309" s="242"/>
      <c r="G17309" s="242">
        <f t="shared" si="304"/>
        <v>-39000</v>
      </c>
      <c r="H17309" s="722" t="s">
        <v>11364</v>
      </c>
    </row>
    <row r="17310" spans="1:8" ht="24" x14ac:dyDescent="0.2">
      <c r="A17310" s="746">
        <v>45225</v>
      </c>
      <c r="B17310" s="180" t="s">
        <v>10342</v>
      </c>
      <c r="C17310" s="560" t="s">
        <v>3174</v>
      </c>
      <c r="D17310" s="753" t="s">
        <v>11600</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11600</v>
      </c>
      <c r="E17311" s="561">
        <v>46667</v>
      </c>
      <c r="F17311" s="242"/>
      <c r="G17311" s="242">
        <f t="shared" si="343"/>
        <v>-46667</v>
      </c>
      <c r="H17311" s="722" t="s">
        <v>11364</v>
      </c>
    </row>
    <row r="17312" spans="1:8" ht="24" x14ac:dyDescent="0.2">
      <c r="A17312" s="746">
        <v>45225</v>
      </c>
      <c r="B17312" s="180" t="s">
        <v>10688</v>
      </c>
      <c r="C17312" s="560" t="s">
        <v>3174</v>
      </c>
      <c r="D17312" s="753" t="s">
        <v>11600</v>
      </c>
      <c r="E17312" s="561">
        <v>46666</v>
      </c>
      <c r="F17312" s="242"/>
      <c r="G17312" s="242">
        <f t="shared" si="343"/>
        <v>-46666</v>
      </c>
      <c r="H17312" s="722" t="s">
        <v>11364</v>
      </c>
    </row>
    <row r="17313" spans="1:8" ht="15" x14ac:dyDescent="0.2">
      <c r="A17313" s="746">
        <v>45227</v>
      </c>
      <c r="B17313" s="180" t="s">
        <v>10490</v>
      </c>
      <c r="C17313" s="180" t="s">
        <v>5731</v>
      </c>
      <c r="D17313" s="234" t="s">
        <v>11623</v>
      </c>
      <c r="E17313" s="242">
        <v>200000</v>
      </c>
      <c r="F17313" s="242"/>
      <c r="G17313" s="242">
        <f t="shared" si="343"/>
        <v>-200000</v>
      </c>
      <c r="H17313" s="722" t="s">
        <v>11364</v>
      </c>
    </row>
    <row r="17314" spans="1:8" ht="15" x14ac:dyDescent="0.2">
      <c r="A17314" s="746">
        <v>45227</v>
      </c>
      <c r="B17314" s="180" t="s">
        <v>10342</v>
      </c>
      <c r="C17314" s="180" t="s">
        <v>11314</v>
      </c>
      <c r="D17314" s="234" t="s">
        <v>11624</v>
      </c>
      <c r="E17314" s="242">
        <v>100000</v>
      </c>
      <c r="F17314" s="242"/>
      <c r="G17314" s="242">
        <f t="shared" si="343"/>
        <v>-100000</v>
      </c>
      <c r="H17314" s="722" t="s">
        <v>11364</v>
      </c>
    </row>
    <row r="17315" spans="1:8" ht="15" x14ac:dyDescent="0.2">
      <c r="A17315" s="746">
        <v>45230</v>
      </c>
      <c r="B17315" s="180" t="s">
        <v>11022</v>
      </c>
      <c r="C17315" s="180" t="s">
        <v>11658</v>
      </c>
      <c r="D17315" s="234" t="s">
        <v>11659</v>
      </c>
      <c r="E17315" s="242">
        <v>300000</v>
      </c>
      <c r="F17315" s="242"/>
      <c r="G17315" s="242">
        <f t="shared" si="343"/>
        <v>-300000</v>
      </c>
      <c r="H17315" s="722" t="s">
        <v>11364</v>
      </c>
    </row>
    <row r="17316" spans="1:8" ht="15" x14ac:dyDescent="0.2">
      <c r="A17316" s="746">
        <v>45230</v>
      </c>
      <c r="B17316" s="180" t="s">
        <v>10582</v>
      </c>
      <c r="C17316" s="180" t="s">
        <v>9568</v>
      </c>
      <c r="D17316" s="234" t="s">
        <v>11660</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11491</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11495</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11496</v>
      </c>
      <c r="E17325" s="95"/>
      <c r="F17325" s="95">
        <v>8710033</v>
      </c>
      <c r="G17325" s="182">
        <f t="shared" si="349"/>
        <v>8710033</v>
      </c>
      <c r="H17325" s="715" t="s">
        <v>11364</v>
      </c>
    </row>
    <row r="17326" spans="1:8" ht="15" x14ac:dyDescent="0.2">
      <c r="A17326" s="743">
        <v>45223</v>
      </c>
      <c r="B17326" s="94" t="s">
        <v>9463</v>
      </c>
      <c r="C17326" s="97" t="s">
        <v>561</v>
      </c>
      <c r="D17326" s="908" t="s">
        <v>11565</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11575</v>
      </c>
      <c r="E17327" s="182"/>
      <c r="F17327" s="182">
        <v>2352000</v>
      </c>
      <c r="G17327" s="182">
        <f t="shared" si="350"/>
        <v>2352000</v>
      </c>
      <c r="H17327" s="715" t="s">
        <v>11364</v>
      </c>
    </row>
    <row r="17328" spans="1:8" ht="15" x14ac:dyDescent="0.2">
      <c r="A17328" s="743">
        <v>45225</v>
      </c>
      <c r="B17328" s="94" t="s">
        <v>10688</v>
      </c>
      <c r="C17328" s="97" t="s">
        <v>561</v>
      </c>
      <c r="D17328" s="908" t="s">
        <v>11594</v>
      </c>
      <c r="E17328" s="95"/>
      <c r="F17328" s="95">
        <v>16172173</v>
      </c>
      <c r="G17328" s="182">
        <f t="shared" si="350"/>
        <v>16172173</v>
      </c>
      <c r="H17328" s="715" t="s">
        <v>11364</v>
      </c>
    </row>
    <row r="17329" spans="1:8" ht="15" x14ac:dyDescent="0.2">
      <c r="A17329" s="743">
        <v>45230</v>
      </c>
      <c r="B17329" s="94" t="s">
        <v>10582</v>
      </c>
      <c r="C17329" s="97" t="s">
        <v>561</v>
      </c>
      <c r="D17329" s="908" t="s">
        <v>11626</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11653</v>
      </c>
      <c r="E17330" s="60">
        <v>1820</v>
      </c>
      <c r="F17330" s="60"/>
      <c r="G17330" s="132">
        <f t="shared" si="351"/>
        <v>-1820</v>
      </c>
      <c r="H17330" s="718" t="s">
        <v>11645</v>
      </c>
    </row>
    <row r="17331" spans="1:8" ht="15" x14ac:dyDescent="0.2">
      <c r="A17331" s="747">
        <v>45231</v>
      </c>
      <c r="B17331" s="43" t="s">
        <v>11211</v>
      </c>
      <c r="C17331" s="65" t="s">
        <v>5791</v>
      </c>
      <c r="D17331" s="807" t="s">
        <v>11654</v>
      </c>
      <c r="E17331" s="60">
        <v>1500</v>
      </c>
      <c r="F17331" s="60"/>
      <c r="G17331" s="132">
        <f t="shared" si="351"/>
        <v>-1500</v>
      </c>
      <c r="H17331" s="718" t="s">
        <v>11645</v>
      </c>
    </row>
    <row r="17332" spans="1:8" ht="15" x14ac:dyDescent="0.2">
      <c r="A17332" s="747">
        <v>45231</v>
      </c>
      <c r="B17332" s="43" t="s">
        <v>25</v>
      </c>
      <c r="C17332" s="65" t="s">
        <v>14</v>
      </c>
      <c r="D17332" s="807" t="s">
        <v>11673</v>
      </c>
      <c r="E17332" s="60">
        <v>15000</v>
      </c>
      <c r="F17332" s="60"/>
      <c r="G17332" s="132">
        <f t="shared" ref="G17332" si="352">F17332-E17332</f>
        <v>-15000</v>
      </c>
      <c r="H17332" s="718" t="s">
        <v>11645</v>
      </c>
    </row>
    <row r="17333" spans="1:8" ht="15" x14ac:dyDescent="0.2">
      <c r="A17333" s="747">
        <v>45231</v>
      </c>
      <c r="B17333" s="43" t="s">
        <v>11211</v>
      </c>
      <c r="C17333" s="65" t="s">
        <v>11674</v>
      </c>
      <c r="D17333" s="807" t="s">
        <v>11675</v>
      </c>
      <c r="E17333" s="60">
        <v>8000</v>
      </c>
      <c r="F17333" s="60"/>
      <c r="G17333" s="132">
        <f t="shared" ref="G17333:G17340" si="353">F17333-E17333</f>
        <v>-8000</v>
      </c>
      <c r="H17333" s="718" t="s">
        <v>11645</v>
      </c>
    </row>
    <row r="17334" spans="1:8" ht="15" x14ac:dyDescent="0.2">
      <c r="A17334" s="747">
        <v>45231</v>
      </c>
      <c r="B17334" s="43" t="s">
        <v>11568</v>
      </c>
      <c r="C17334" s="65" t="s">
        <v>5791</v>
      </c>
      <c r="D17334" s="807" t="s">
        <v>372</v>
      </c>
      <c r="E17334" s="60">
        <v>3000</v>
      </c>
      <c r="F17334" s="60"/>
      <c r="G17334" s="132">
        <f t="shared" si="353"/>
        <v>-3000</v>
      </c>
      <c r="H17334" s="718" t="s">
        <v>11645</v>
      </c>
    </row>
    <row r="17335" spans="1:8" ht="15" x14ac:dyDescent="0.2">
      <c r="A17335" s="747">
        <v>45231</v>
      </c>
      <c r="B17335" s="43" t="s">
        <v>103</v>
      </c>
      <c r="C17335" s="65" t="s">
        <v>103</v>
      </c>
      <c r="D17335" s="807" t="s">
        <v>10321</v>
      </c>
      <c r="E17335" s="60">
        <v>3000</v>
      </c>
      <c r="F17335" s="60"/>
      <c r="G17335" s="132">
        <f t="shared" si="353"/>
        <v>-3000</v>
      </c>
      <c r="H17335" s="718" t="s">
        <v>11645</v>
      </c>
    </row>
    <row r="17336" spans="1:8" ht="15" x14ac:dyDescent="0.2">
      <c r="A17336" s="747">
        <v>45231</v>
      </c>
      <c r="B17336" s="43" t="s">
        <v>10096</v>
      </c>
      <c r="C17336" s="65" t="s">
        <v>11108</v>
      </c>
      <c r="D17336" s="807" t="s">
        <v>6110</v>
      </c>
      <c r="E17336" s="60">
        <v>14370</v>
      </c>
      <c r="F17336" s="60"/>
      <c r="G17336" s="132">
        <f t="shared" si="353"/>
        <v>-14370</v>
      </c>
      <c r="H17336" s="718" t="s">
        <v>11645</v>
      </c>
    </row>
    <row r="17337" spans="1:8" ht="15" x14ac:dyDescent="0.2">
      <c r="A17337" s="747">
        <v>45231</v>
      </c>
      <c r="B17337" s="43" t="s">
        <v>10096</v>
      </c>
      <c r="C17337" s="65" t="s">
        <v>11108</v>
      </c>
      <c r="D17337" s="807" t="s">
        <v>6110</v>
      </c>
      <c r="E17337" s="60">
        <v>7440</v>
      </c>
      <c r="F17337" s="60"/>
      <c r="G17337" s="132">
        <f t="shared" si="353"/>
        <v>-7440</v>
      </c>
      <c r="H17337" s="718" t="s">
        <v>11645</v>
      </c>
    </row>
    <row r="17338" spans="1:8" ht="15" x14ac:dyDescent="0.2">
      <c r="A17338" s="747">
        <v>45231</v>
      </c>
      <c r="B17338" s="43" t="s">
        <v>10096</v>
      </c>
      <c r="C17338" s="65" t="s">
        <v>11108</v>
      </c>
      <c r="D17338" s="807" t="s">
        <v>6110</v>
      </c>
      <c r="E17338" s="60">
        <v>15360</v>
      </c>
      <c r="F17338" s="60"/>
      <c r="G17338" s="132">
        <f t="shared" si="353"/>
        <v>-15360</v>
      </c>
      <c r="H17338" s="718" t="s">
        <v>11645</v>
      </c>
    </row>
    <row r="17339" spans="1:8" ht="15" x14ac:dyDescent="0.2">
      <c r="A17339" s="747">
        <v>45231</v>
      </c>
      <c r="B17339" s="43" t="s">
        <v>10096</v>
      </c>
      <c r="C17339" s="65" t="s">
        <v>11108</v>
      </c>
      <c r="D17339" s="807" t="s">
        <v>6110</v>
      </c>
      <c r="E17339" s="60">
        <v>18350</v>
      </c>
      <c r="F17339" s="60"/>
      <c r="G17339" s="132">
        <f t="shared" si="353"/>
        <v>-18350</v>
      </c>
      <c r="H17339" s="718" t="s">
        <v>11645</v>
      </c>
    </row>
    <row r="17340" spans="1:8" ht="15" x14ac:dyDescent="0.2">
      <c r="A17340" s="747">
        <v>45231</v>
      </c>
      <c r="B17340" s="43" t="s">
        <v>10096</v>
      </c>
      <c r="C17340" s="65" t="s">
        <v>11108</v>
      </c>
      <c r="D17340" s="807" t="s">
        <v>6110</v>
      </c>
      <c r="E17340" s="60">
        <v>139900</v>
      </c>
      <c r="F17340" s="60"/>
      <c r="G17340" s="132">
        <f t="shared" si="353"/>
        <v>-139900</v>
      </c>
      <c r="H17340" s="718" t="s">
        <v>11645</v>
      </c>
    </row>
    <row r="17341" spans="1:8" ht="15" x14ac:dyDescent="0.2">
      <c r="A17341" s="747">
        <v>45232</v>
      </c>
      <c r="B17341" s="43" t="s">
        <v>11676</v>
      </c>
      <c r="C17341" s="65"/>
      <c r="D17341" s="807" t="s">
        <v>11677</v>
      </c>
      <c r="E17341" s="60">
        <v>12500</v>
      </c>
      <c r="F17341" s="60"/>
      <c r="G17341" s="132">
        <f t="shared" ref="G17341:G17350" si="354">F17341-E17341</f>
        <v>-12500</v>
      </c>
      <c r="H17341" s="718" t="s">
        <v>11645</v>
      </c>
    </row>
    <row r="17342" spans="1:8" ht="15" x14ac:dyDescent="0.2">
      <c r="A17342" s="747">
        <v>45232</v>
      </c>
      <c r="B17342" s="43" t="s">
        <v>10490</v>
      </c>
      <c r="C17342" s="65" t="s">
        <v>394</v>
      </c>
      <c r="D17342" s="807" t="s">
        <v>11678</v>
      </c>
      <c r="E17342" s="60">
        <v>650</v>
      </c>
      <c r="F17342" s="60"/>
      <c r="G17342" s="132">
        <f t="shared" si="354"/>
        <v>-650</v>
      </c>
      <c r="H17342" s="718" t="s">
        <v>11645</v>
      </c>
    </row>
    <row r="17343" spans="1:8" ht="15" x14ac:dyDescent="0.2">
      <c r="A17343" s="747">
        <v>45232</v>
      </c>
      <c r="B17343" s="43" t="s">
        <v>9877</v>
      </c>
      <c r="C17343" s="65" t="s">
        <v>5791</v>
      </c>
      <c r="D17343" s="807" t="s">
        <v>11678</v>
      </c>
      <c r="E17343" s="60">
        <v>600</v>
      </c>
      <c r="F17343" s="60"/>
      <c r="G17343" s="132">
        <f t="shared" si="354"/>
        <v>-600</v>
      </c>
      <c r="H17343" s="718" t="s">
        <v>11645</v>
      </c>
    </row>
    <row r="17344" spans="1:8" ht="15" x14ac:dyDescent="0.2">
      <c r="A17344" s="747">
        <v>45232</v>
      </c>
      <c r="B17344" s="43" t="s">
        <v>11568</v>
      </c>
      <c r="C17344" s="65" t="s">
        <v>11108</v>
      </c>
      <c r="D17344" s="807" t="s">
        <v>11679</v>
      </c>
      <c r="E17344" s="60">
        <v>2350</v>
      </c>
      <c r="F17344" s="60"/>
      <c r="G17344" s="132">
        <f t="shared" si="354"/>
        <v>-2350</v>
      </c>
      <c r="H17344" s="718" t="s">
        <v>11645</v>
      </c>
    </row>
    <row r="17345" spans="1:8" ht="15" x14ac:dyDescent="0.2">
      <c r="A17345" s="747">
        <v>45232</v>
      </c>
      <c r="B17345" s="43" t="s">
        <v>11568</v>
      </c>
      <c r="C17345" s="65" t="s">
        <v>11108</v>
      </c>
      <c r="D17345" s="807" t="s">
        <v>10982</v>
      </c>
      <c r="E17345" s="60">
        <v>9000</v>
      </c>
      <c r="F17345" s="60"/>
      <c r="G17345" s="132">
        <f t="shared" si="354"/>
        <v>-9000</v>
      </c>
      <c r="H17345" s="718" t="s">
        <v>11645</v>
      </c>
    </row>
    <row r="17346" spans="1:8" ht="15" x14ac:dyDescent="0.2">
      <c r="A17346" s="747">
        <v>45232</v>
      </c>
      <c r="B17346" s="43" t="s">
        <v>10096</v>
      </c>
      <c r="C17346" s="65" t="s">
        <v>5791</v>
      </c>
      <c r="D17346" s="807" t="s">
        <v>372</v>
      </c>
      <c r="E17346" s="60">
        <v>3000</v>
      </c>
      <c r="F17346" s="60"/>
      <c r="G17346" s="132">
        <f t="shared" si="354"/>
        <v>-3000</v>
      </c>
      <c r="H17346" s="718" t="s">
        <v>11645</v>
      </c>
    </row>
    <row r="17347" spans="1:8" ht="15" x14ac:dyDescent="0.2">
      <c r="A17347" s="747">
        <v>45232</v>
      </c>
      <c r="B17347" s="43" t="s">
        <v>10096</v>
      </c>
      <c r="C17347" s="65" t="s">
        <v>5791</v>
      </c>
      <c r="D17347" s="807" t="s">
        <v>372</v>
      </c>
      <c r="E17347" s="60">
        <v>200</v>
      </c>
      <c r="F17347" s="60"/>
      <c r="G17347" s="132">
        <f t="shared" si="354"/>
        <v>-200</v>
      </c>
      <c r="H17347" s="718" t="s">
        <v>11645</v>
      </c>
    </row>
    <row r="17348" spans="1:8" ht="15" x14ac:dyDescent="0.2">
      <c r="A17348" s="747">
        <v>45232</v>
      </c>
      <c r="B17348" s="43" t="s">
        <v>11022</v>
      </c>
      <c r="C17348" s="65" t="s">
        <v>11680</v>
      </c>
      <c r="D17348" s="807" t="s">
        <v>11681</v>
      </c>
      <c r="E17348" s="60">
        <v>147310</v>
      </c>
      <c r="F17348" s="60"/>
      <c r="G17348" s="132">
        <f t="shared" si="354"/>
        <v>-147310</v>
      </c>
      <c r="H17348" s="718" t="s">
        <v>11645</v>
      </c>
    </row>
    <row r="17349" spans="1:8" ht="15" x14ac:dyDescent="0.2">
      <c r="A17349" s="747">
        <v>45232</v>
      </c>
      <c r="B17349" s="43" t="s">
        <v>11568</v>
      </c>
      <c r="C17349" s="65" t="s">
        <v>11682</v>
      </c>
      <c r="D17349" s="807" t="s">
        <v>10833</v>
      </c>
      <c r="E17349" s="60">
        <v>100000</v>
      </c>
      <c r="F17349" s="60"/>
      <c r="G17349" s="132">
        <f t="shared" si="354"/>
        <v>-100000</v>
      </c>
      <c r="H17349" s="718" t="s">
        <v>11645</v>
      </c>
    </row>
    <row r="17350" spans="1:8" ht="15" x14ac:dyDescent="0.2">
      <c r="A17350" s="747">
        <v>45232</v>
      </c>
      <c r="B17350" s="43" t="s">
        <v>10096</v>
      </c>
      <c r="C17350" s="65" t="s">
        <v>9883</v>
      </c>
      <c r="D17350" s="807" t="s">
        <v>11683</v>
      </c>
      <c r="E17350" s="60">
        <v>56840</v>
      </c>
      <c r="F17350" s="60"/>
      <c r="G17350" s="132">
        <f t="shared" si="354"/>
        <v>-56840</v>
      </c>
      <c r="H17350" s="718" t="s">
        <v>11645</v>
      </c>
    </row>
    <row r="17351" spans="1:8" ht="15" x14ac:dyDescent="0.2">
      <c r="A17351" s="747">
        <v>45233</v>
      </c>
      <c r="B17351" s="43" t="s">
        <v>10342</v>
      </c>
      <c r="C17351" s="65" t="s">
        <v>11108</v>
      </c>
      <c r="D17351" s="807" t="s">
        <v>11685</v>
      </c>
      <c r="E17351" s="60">
        <v>2880</v>
      </c>
      <c r="F17351" s="60"/>
      <c r="G17351" s="132">
        <f t="shared" ref="G17351:G17355" si="355">F17351-E17351</f>
        <v>-2880</v>
      </c>
      <c r="H17351" s="718" t="s">
        <v>11645</v>
      </c>
    </row>
    <row r="17352" spans="1:8" ht="15" x14ac:dyDescent="0.2">
      <c r="A17352" s="747">
        <v>45233</v>
      </c>
      <c r="B17352" s="43" t="s">
        <v>103</v>
      </c>
      <c r="C17352" s="65" t="s">
        <v>103</v>
      </c>
      <c r="D17352" s="807" t="s">
        <v>10321</v>
      </c>
      <c r="E17352" s="60">
        <v>3000</v>
      </c>
      <c r="F17352" s="60"/>
      <c r="G17352" s="132">
        <f t="shared" si="355"/>
        <v>-3000</v>
      </c>
      <c r="H17352" s="718" t="s">
        <v>11645</v>
      </c>
    </row>
    <row r="17353" spans="1:8" ht="15" x14ac:dyDescent="0.2">
      <c r="A17353" s="747">
        <v>45233</v>
      </c>
      <c r="B17353" s="43" t="s">
        <v>11391</v>
      </c>
      <c r="C17353" s="65" t="s">
        <v>5434</v>
      </c>
      <c r="D17353" s="807" t="s">
        <v>11686</v>
      </c>
      <c r="E17353" s="60">
        <v>4500</v>
      </c>
      <c r="F17353" s="60"/>
      <c r="G17353" s="132">
        <f t="shared" si="355"/>
        <v>-4500</v>
      </c>
      <c r="H17353" s="718" t="s">
        <v>11645</v>
      </c>
    </row>
    <row r="17354" spans="1:8" ht="15" x14ac:dyDescent="0.2">
      <c r="A17354" s="747">
        <v>45233</v>
      </c>
      <c r="B17354" s="43" t="s">
        <v>10342</v>
      </c>
      <c r="C17354" s="65" t="s">
        <v>5791</v>
      </c>
      <c r="D17354" s="807"/>
      <c r="E17354" s="60">
        <v>3500</v>
      </c>
      <c r="F17354" s="60"/>
      <c r="G17354" s="132">
        <f t="shared" si="355"/>
        <v>-3500</v>
      </c>
      <c r="H17354" s="718" t="s">
        <v>11645</v>
      </c>
    </row>
    <row r="17355" spans="1:8" ht="15" x14ac:dyDescent="0.2">
      <c r="A17355" s="747">
        <v>45233</v>
      </c>
      <c r="B17355" s="43" t="s">
        <v>2957</v>
      </c>
      <c r="C17355" s="65" t="s">
        <v>394</v>
      </c>
      <c r="D17355" s="807" t="s">
        <v>6441</v>
      </c>
      <c r="E17355" s="60">
        <v>3000</v>
      </c>
      <c r="F17355" s="60"/>
      <c r="G17355" s="132">
        <f t="shared" si="355"/>
        <v>-3000</v>
      </c>
      <c r="H17355" s="718" t="s">
        <v>11645</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11645</v>
      </c>
    </row>
    <row r="17357" spans="1:8" ht="15" x14ac:dyDescent="0.2">
      <c r="A17357" s="747">
        <v>45233</v>
      </c>
      <c r="B17357" s="43" t="s">
        <v>11391</v>
      </c>
      <c r="C17357" s="65" t="s">
        <v>5791</v>
      </c>
      <c r="D17357" s="807" t="s">
        <v>372</v>
      </c>
      <c r="E17357" s="60">
        <v>250</v>
      </c>
      <c r="F17357" s="60"/>
      <c r="G17357" s="132">
        <f t="shared" si="356"/>
        <v>-250</v>
      </c>
      <c r="H17357" s="718" t="s">
        <v>11645</v>
      </c>
    </row>
    <row r="17358" spans="1:8" ht="15" x14ac:dyDescent="0.2">
      <c r="A17358" s="747">
        <v>45233</v>
      </c>
      <c r="B17358" s="43" t="s">
        <v>11391</v>
      </c>
      <c r="C17358" s="65" t="s">
        <v>11108</v>
      </c>
      <c r="D17358" s="807" t="s">
        <v>11691</v>
      </c>
      <c r="E17358" s="60">
        <v>4200</v>
      </c>
      <c r="F17358" s="60"/>
      <c r="G17358" s="132">
        <f t="shared" si="356"/>
        <v>-4200</v>
      </c>
      <c r="H17358" s="718" t="s">
        <v>11645</v>
      </c>
    </row>
    <row r="17359" spans="1:8" ht="15" x14ac:dyDescent="0.2">
      <c r="A17359" s="747">
        <v>45234</v>
      </c>
      <c r="B17359" s="43" t="s">
        <v>10096</v>
      </c>
      <c r="C17359" s="65" t="s">
        <v>11692</v>
      </c>
      <c r="D17359" s="807" t="s">
        <v>11693</v>
      </c>
      <c r="E17359" s="60">
        <v>2000</v>
      </c>
      <c r="F17359" s="60"/>
      <c r="G17359" s="132">
        <f t="shared" si="356"/>
        <v>-2000</v>
      </c>
      <c r="H17359" s="718" t="s">
        <v>11645</v>
      </c>
    </row>
    <row r="17360" spans="1:8" ht="15" x14ac:dyDescent="0.2">
      <c r="A17360" s="747">
        <v>45234</v>
      </c>
      <c r="B17360" s="43" t="s">
        <v>11391</v>
      </c>
      <c r="C17360" s="65" t="s">
        <v>5434</v>
      </c>
      <c r="D17360" s="807" t="s">
        <v>11684</v>
      </c>
      <c r="E17360" s="60">
        <v>2500</v>
      </c>
      <c r="F17360" s="60"/>
      <c r="G17360" s="132">
        <f t="shared" si="356"/>
        <v>-2500</v>
      </c>
      <c r="H17360" s="718" t="s">
        <v>11645</v>
      </c>
    </row>
    <row r="17361" spans="1:8" ht="15" x14ac:dyDescent="0.2">
      <c r="A17361" s="747">
        <v>45234</v>
      </c>
      <c r="B17361" s="43" t="s">
        <v>10688</v>
      </c>
      <c r="C17361" s="65" t="s">
        <v>8483</v>
      </c>
      <c r="D17361" s="807" t="s">
        <v>11718</v>
      </c>
      <c r="E17361" s="60">
        <v>1300000</v>
      </c>
      <c r="F17361" s="60"/>
      <c r="G17361" s="132">
        <f t="shared" si="356"/>
        <v>-1300000</v>
      </c>
      <c r="H17361" s="718" t="s">
        <v>11645</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11645</v>
      </c>
    </row>
    <row r="17363" spans="1:8" ht="15" x14ac:dyDescent="0.2">
      <c r="A17363" s="747">
        <v>45234</v>
      </c>
      <c r="B17363" s="43" t="s">
        <v>10688</v>
      </c>
      <c r="C17363" s="65" t="s">
        <v>14</v>
      </c>
      <c r="D17363" s="807" t="s">
        <v>11720</v>
      </c>
      <c r="E17363" s="60">
        <v>400</v>
      </c>
      <c r="F17363" s="60"/>
      <c r="G17363" s="132">
        <f t="shared" si="357"/>
        <v>-400</v>
      </c>
      <c r="H17363" s="718" t="s">
        <v>11645</v>
      </c>
    </row>
    <row r="17364" spans="1:8" ht="15" x14ac:dyDescent="0.2">
      <c r="A17364" s="747">
        <v>45234</v>
      </c>
      <c r="B17364" s="43" t="s">
        <v>11391</v>
      </c>
      <c r="C17364" s="65" t="s">
        <v>5791</v>
      </c>
      <c r="D17364" s="807" t="s">
        <v>11721</v>
      </c>
      <c r="E17364" s="60">
        <v>1600</v>
      </c>
      <c r="F17364" s="60"/>
      <c r="G17364" s="132">
        <f t="shared" si="357"/>
        <v>-1600</v>
      </c>
      <c r="H17364" s="718" t="s">
        <v>11645</v>
      </c>
    </row>
    <row r="17365" spans="1:8" ht="15" x14ac:dyDescent="0.2">
      <c r="A17365" s="747">
        <v>45234</v>
      </c>
      <c r="B17365" s="43" t="s">
        <v>37</v>
      </c>
      <c r="C17365" s="65" t="s">
        <v>14</v>
      </c>
      <c r="D17365" s="807" t="s">
        <v>11724</v>
      </c>
      <c r="E17365" s="60">
        <v>3000</v>
      </c>
      <c r="F17365" s="60"/>
      <c r="G17365" s="132">
        <f t="shared" si="357"/>
        <v>-3000</v>
      </c>
      <c r="H17365" s="718" t="s">
        <v>11645</v>
      </c>
    </row>
    <row r="17366" spans="1:8" ht="15" x14ac:dyDescent="0.2">
      <c r="A17366" s="747">
        <v>45234</v>
      </c>
      <c r="B17366" s="43" t="s">
        <v>2957</v>
      </c>
      <c r="C17366" s="65" t="s">
        <v>11108</v>
      </c>
      <c r="D17366" s="807" t="s">
        <v>6543</v>
      </c>
      <c r="E17366" s="60">
        <v>4880</v>
      </c>
      <c r="F17366" s="60"/>
      <c r="G17366" s="132">
        <f t="shared" si="357"/>
        <v>-4880</v>
      </c>
      <c r="H17366" s="718" t="s">
        <v>11645</v>
      </c>
    </row>
    <row r="17367" spans="1:8" ht="15" x14ac:dyDescent="0.2">
      <c r="A17367" s="747">
        <v>45234</v>
      </c>
      <c r="B17367" s="43" t="s">
        <v>11122</v>
      </c>
      <c r="C17367" s="65" t="s">
        <v>14</v>
      </c>
      <c r="D17367" s="807" t="s">
        <v>11725</v>
      </c>
      <c r="E17367" s="60">
        <v>730</v>
      </c>
      <c r="F17367" s="60"/>
      <c r="G17367" s="132">
        <f t="shared" si="357"/>
        <v>-730</v>
      </c>
      <c r="H17367" s="718" t="s">
        <v>11645</v>
      </c>
    </row>
    <row r="17368" spans="1:8" ht="15" x14ac:dyDescent="0.2">
      <c r="A17368" s="747">
        <v>45234</v>
      </c>
      <c r="B17368" s="43" t="s">
        <v>10342</v>
      </c>
      <c r="C17368" s="65" t="s">
        <v>14</v>
      </c>
      <c r="D17368" s="807" t="s">
        <v>11726</v>
      </c>
      <c r="E17368" s="60">
        <v>2000</v>
      </c>
      <c r="F17368" s="60"/>
      <c r="G17368" s="132">
        <f t="shared" si="357"/>
        <v>-2000</v>
      </c>
      <c r="H17368" s="718" t="s">
        <v>11645</v>
      </c>
    </row>
    <row r="17369" spans="1:8" ht="15" x14ac:dyDescent="0.2">
      <c r="A17369" s="747">
        <v>45234</v>
      </c>
      <c r="B17369" s="43" t="s">
        <v>10688</v>
      </c>
      <c r="C17369" s="65" t="s">
        <v>11108</v>
      </c>
      <c r="D17369" s="807" t="s">
        <v>11727</v>
      </c>
      <c r="E17369" s="60">
        <v>24400</v>
      </c>
      <c r="F17369" s="60"/>
      <c r="G17369" s="132">
        <f t="shared" ref="G17369:G17378" si="358">F17369-E17369</f>
        <v>-24400</v>
      </c>
      <c r="H17369" s="718" t="s">
        <v>11645</v>
      </c>
    </row>
    <row r="17370" spans="1:8" ht="15" x14ac:dyDescent="0.2">
      <c r="A17370" s="747">
        <v>45234</v>
      </c>
      <c r="B17370" s="43" t="s">
        <v>10096</v>
      </c>
      <c r="C17370" s="65" t="s">
        <v>5791</v>
      </c>
      <c r="D17370" s="807" t="s">
        <v>372</v>
      </c>
      <c r="E17370" s="60">
        <v>400</v>
      </c>
      <c r="F17370" s="60"/>
      <c r="G17370" s="132">
        <f t="shared" si="358"/>
        <v>-400</v>
      </c>
      <c r="H17370" s="718" t="s">
        <v>11645</v>
      </c>
    </row>
    <row r="17371" spans="1:8" ht="15" x14ac:dyDescent="0.2">
      <c r="A17371" s="747">
        <v>45234</v>
      </c>
      <c r="B17371" s="43" t="s">
        <v>11391</v>
      </c>
      <c r="C17371" s="65" t="s">
        <v>5791</v>
      </c>
      <c r="D17371" s="807" t="s">
        <v>372</v>
      </c>
      <c r="E17371" s="60">
        <v>270</v>
      </c>
      <c r="F17371" s="60"/>
      <c r="G17371" s="132">
        <f t="shared" si="358"/>
        <v>-270</v>
      </c>
      <c r="H17371" s="718" t="s">
        <v>11645</v>
      </c>
    </row>
    <row r="17372" spans="1:8" ht="15" x14ac:dyDescent="0.2">
      <c r="A17372" s="747">
        <v>45236</v>
      </c>
      <c r="B17372" s="43" t="s">
        <v>11427</v>
      </c>
      <c r="C17372" s="65" t="s">
        <v>11108</v>
      </c>
      <c r="D17372" s="807" t="s">
        <v>11729</v>
      </c>
      <c r="E17372" s="60">
        <v>2480</v>
      </c>
      <c r="F17372" s="60"/>
      <c r="G17372" s="132">
        <f t="shared" si="358"/>
        <v>-2480</v>
      </c>
      <c r="H17372" s="718" t="s">
        <v>11645</v>
      </c>
    </row>
    <row r="17373" spans="1:8" ht="15" x14ac:dyDescent="0.2">
      <c r="A17373" s="747">
        <v>45236</v>
      </c>
      <c r="B17373" s="43" t="s">
        <v>10688</v>
      </c>
      <c r="C17373" s="65" t="s">
        <v>11108</v>
      </c>
      <c r="D17373" s="807" t="s">
        <v>11730</v>
      </c>
      <c r="E17373" s="60">
        <v>18850</v>
      </c>
      <c r="F17373" s="60"/>
      <c r="G17373" s="132">
        <f t="shared" si="358"/>
        <v>-18850</v>
      </c>
      <c r="H17373" s="718" t="s">
        <v>11645</v>
      </c>
    </row>
    <row r="17374" spans="1:8" ht="15" x14ac:dyDescent="0.2">
      <c r="A17374" s="747">
        <v>45236</v>
      </c>
      <c r="B17374" s="43" t="s">
        <v>10688</v>
      </c>
      <c r="C17374" s="65" t="s">
        <v>11108</v>
      </c>
      <c r="D17374" s="807" t="s">
        <v>2289</v>
      </c>
      <c r="E17374" s="60">
        <v>1850</v>
      </c>
      <c r="F17374" s="60"/>
      <c r="G17374" s="132">
        <f t="shared" si="358"/>
        <v>-1850</v>
      </c>
      <c r="H17374" s="718" t="s">
        <v>11645</v>
      </c>
    </row>
    <row r="17375" spans="1:8" ht="15" x14ac:dyDescent="0.2">
      <c r="A17375" s="747">
        <v>45236</v>
      </c>
      <c r="B17375" s="43" t="s">
        <v>11391</v>
      </c>
      <c r="C17375" s="65" t="s">
        <v>11108</v>
      </c>
      <c r="D17375" s="807" t="s">
        <v>2289</v>
      </c>
      <c r="E17375" s="60">
        <v>7560</v>
      </c>
      <c r="F17375" s="60"/>
      <c r="G17375" s="132">
        <f t="shared" si="358"/>
        <v>-7560</v>
      </c>
      <c r="H17375" s="718" t="s">
        <v>11645</v>
      </c>
    </row>
    <row r="17376" spans="1:8" ht="15" x14ac:dyDescent="0.2">
      <c r="A17376" s="747">
        <v>45236</v>
      </c>
      <c r="B17376" s="43" t="s">
        <v>11391</v>
      </c>
      <c r="C17376" s="65" t="s">
        <v>11108</v>
      </c>
      <c r="D17376" s="807" t="s">
        <v>2289</v>
      </c>
      <c r="E17376" s="60">
        <v>1500</v>
      </c>
      <c r="F17376" s="60"/>
      <c r="G17376" s="132">
        <f t="shared" si="358"/>
        <v>-1500</v>
      </c>
      <c r="H17376" s="718" t="s">
        <v>11645</v>
      </c>
    </row>
    <row r="17377" spans="1:8" ht="15" x14ac:dyDescent="0.2">
      <c r="A17377" s="747">
        <v>45236</v>
      </c>
      <c r="B17377" s="43" t="s">
        <v>10688</v>
      </c>
      <c r="C17377" s="65" t="s">
        <v>5791</v>
      </c>
      <c r="D17377" s="807" t="s">
        <v>372</v>
      </c>
      <c r="E17377" s="60">
        <v>700</v>
      </c>
      <c r="F17377" s="60"/>
      <c r="G17377" s="132">
        <f t="shared" si="358"/>
        <v>-700</v>
      </c>
      <c r="H17377" s="718" t="s">
        <v>11645</v>
      </c>
    </row>
    <row r="17378" spans="1:8" ht="15" x14ac:dyDescent="0.2">
      <c r="A17378" s="747">
        <v>45236</v>
      </c>
      <c r="B17378" s="43" t="s">
        <v>11391</v>
      </c>
      <c r="C17378" s="65" t="s">
        <v>14</v>
      </c>
      <c r="D17378" s="807" t="s">
        <v>394</v>
      </c>
      <c r="E17378" s="60">
        <v>4100</v>
      </c>
      <c r="F17378" s="60"/>
      <c r="G17378" s="132">
        <f t="shared" si="358"/>
        <v>-4100</v>
      </c>
      <c r="H17378" s="718" t="s">
        <v>11645</v>
      </c>
    </row>
    <row r="17379" spans="1:8" ht="15" x14ac:dyDescent="0.2">
      <c r="A17379" s="747">
        <v>45236</v>
      </c>
      <c r="B17379" s="43" t="s">
        <v>11568</v>
      </c>
      <c r="C17379" s="65" t="s">
        <v>11108</v>
      </c>
      <c r="D17379" s="807" t="s">
        <v>11732</v>
      </c>
      <c r="E17379" s="60">
        <v>9000</v>
      </c>
      <c r="F17379" s="60"/>
      <c r="G17379" s="132">
        <f t="shared" ref="G17379:G17389" si="359">F17379-E17379</f>
        <v>-9000</v>
      </c>
      <c r="H17379" s="718" t="s">
        <v>11645</v>
      </c>
    </row>
    <row r="17380" spans="1:8" ht="15" x14ac:dyDescent="0.2">
      <c r="A17380" s="747">
        <v>45236</v>
      </c>
      <c r="B17380" s="43" t="s">
        <v>11022</v>
      </c>
      <c r="C17380" s="65" t="s">
        <v>11108</v>
      </c>
      <c r="D17380" s="807" t="s">
        <v>11733</v>
      </c>
      <c r="E17380" s="60">
        <v>9000</v>
      </c>
      <c r="F17380" s="60"/>
      <c r="G17380" s="132">
        <f t="shared" si="359"/>
        <v>-9000</v>
      </c>
      <c r="H17380" s="718" t="s">
        <v>11645</v>
      </c>
    </row>
    <row r="17381" spans="1:8" ht="15" x14ac:dyDescent="0.2">
      <c r="A17381" s="747">
        <v>45236</v>
      </c>
      <c r="B17381" s="43" t="s">
        <v>11022</v>
      </c>
      <c r="C17381" s="65" t="s">
        <v>5791</v>
      </c>
      <c r="D17381" s="807" t="s">
        <v>372</v>
      </c>
      <c r="E17381" s="60">
        <v>1600</v>
      </c>
      <c r="F17381" s="60"/>
      <c r="G17381" s="132">
        <f t="shared" si="359"/>
        <v>-1600</v>
      </c>
      <c r="H17381" s="718" t="s">
        <v>11645</v>
      </c>
    </row>
    <row r="17382" spans="1:8" ht="15" x14ac:dyDescent="0.2">
      <c r="A17382" s="747">
        <v>45236</v>
      </c>
      <c r="B17382" s="43" t="s">
        <v>10688</v>
      </c>
      <c r="C17382" s="65" t="s">
        <v>11108</v>
      </c>
      <c r="D17382" s="807" t="s">
        <v>10276</v>
      </c>
      <c r="E17382" s="60">
        <v>9750</v>
      </c>
      <c r="F17382" s="60"/>
      <c r="G17382" s="132">
        <f t="shared" si="359"/>
        <v>-9750</v>
      </c>
      <c r="H17382" s="718" t="s">
        <v>11645</v>
      </c>
    </row>
    <row r="17383" spans="1:8" ht="15" x14ac:dyDescent="0.2">
      <c r="A17383" s="747">
        <v>45236</v>
      </c>
      <c r="B17383" s="43" t="s">
        <v>10342</v>
      </c>
      <c r="C17383" s="65" t="s">
        <v>11108</v>
      </c>
      <c r="D17383" s="807" t="s">
        <v>10276</v>
      </c>
      <c r="E17383" s="60">
        <v>9750</v>
      </c>
      <c r="F17383" s="60"/>
      <c r="G17383" s="132">
        <f t="shared" si="359"/>
        <v>-9750</v>
      </c>
      <c r="H17383" s="718" t="s">
        <v>11645</v>
      </c>
    </row>
    <row r="17384" spans="1:8" ht="15" x14ac:dyDescent="0.2">
      <c r="A17384" s="747">
        <v>45236</v>
      </c>
      <c r="B17384" s="43" t="s">
        <v>11734</v>
      </c>
      <c r="C17384" s="65" t="s">
        <v>11735</v>
      </c>
      <c r="D17384" s="807" t="s">
        <v>1164</v>
      </c>
      <c r="E17384" s="60">
        <v>25000</v>
      </c>
      <c r="F17384" s="60"/>
      <c r="G17384" s="132">
        <f t="shared" si="359"/>
        <v>-25000</v>
      </c>
      <c r="H17384" s="718" t="s">
        <v>11645</v>
      </c>
    </row>
    <row r="17385" spans="1:8" ht="15" x14ac:dyDescent="0.2">
      <c r="A17385" s="747">
        <v>45236</v>
      </c>
      <c r="B17385" s="43" t="s">
        <v>103</v>
      </c>
      <c r="C17385" s="65" t="s">
        <v>103</v>
      </c>
      <c r="D17385" s="807" t="s">
        <v>10321</v>
      </c>
      <c r="E17385" s="60">
        <v>3000</v>
      </c>
      <c r="F17385" s="60"/>
      <c r="G17385" s="132">
        <f t="shared" si="359"/>
        <v>-3000</v>
      </c>
      <c r="H17385" s="718" t="s">
        <v>11645</v>
      </c>
    </row>
    <row r="17386" spans="1:8" ht="15" x14ac:dyDescent="0.2">
      <c r="A17386" s="747">
        <v>45237</v>
      </c>
      <c r="B17386" s="43" t="s">
        <v>10342</v>
      </c>
      <c r="C17386" s="65" t="s">
        <v>11108</v>
      </c>
      <c r="D17386" s="807" t="s">
        <v>11738</v>
      </c>
      <c r="E17386" s="60">
        <v>3100</v>
      </c>
      <c r="F17386" s="60"/>
      <c r="G17386" s="132">
        <f t="shared" si="359"/>
        <v>-3100</v>
      </c>
      <c r="H17386" s="718" t="s">
        <v>11645</v>
      </c>
    </row>
    <row r="17387" spans="1:8" ht="15" x14ac:dyDescent="0.2">
      <c r="A17387" s="747">
        <v>45237</v>
      </c>
      <c r="B17387" s="43" t="s">
        <v>10688</v>
      </c>
      <c r="C17387" s="65" t="s">
        <v>14</v>
      </c>
      <c r="D17387" s="807" t="s">
        <v>11739</v>
      </c>
      <c r="E17387" s="60">
        <v>2000</v>
      </c>
      <c r="F17387" s="60"/>
      <c r="G17387" s="132">
        <f t="shared" si="359"/>
        <v>-2000</v>
      </c>
      <c r="H17387" s="718" t="s">
        <v>11645</v>
      </c>
    </row>
    <row r="17388" spans="1:8" ht="15" x14ac:dyDescent="0.2">
      <c r="A17388" s="747">
        <v>45237</v>
      </c>
      <c r="B17388" s="43" t="s">
        <v>2957</v>
      </c>
      <c r="C17388" s="65" t="s">
        <v>11108</v>
      </c>
      <c r="D17388" s="807" t="s">
        <v>7447</v>
      </c>
      <c r="E17388" s="60">
        <v>8110</v>
      </c>
      <c r="F17388" s="60"/>
      <c r="G17388" s="132">
        <f t="shared" si="359"/>
        <v>-8110</v>
      </c>
      <c r="H17388" s="718" t="s">
        <v>11645</v>
      </c>
    </row>
    <row r="17389" spans="1:8" ht="15" x14ac:dyDescent="0.2">
      <c r="A17389" s="747">
        <v>45237</v>
      </c>
      <c r="B17389" s="43" t="s">
        <v>11740</v>
      </c>
      <c r="C17389" s="65" t="s">
        <v>11108</v>
      </c>
      <c r="D17389" s="807" t="s">
        <v>7127</v>
      </c>
      <c r="E17389" s="60">
        <v>964</v>
      </c>
      <c r="F17389" s="60"/>
      <c r="G17389" s="132">
        <f t="shared" si="359"/>
        <v>-964</v>
      </c>
      <c r="H17389" s="718" t="s">
        <v>11645</v>
      </c>
    </row>
    <row r="17390" spans="1:8" ht="15" x14ac:dyDescent="0.2">
      <c r="A17390" s="747">
        <v>45237</v>
      </c>
      <c r="B17390" s="43" t="s">
        <v>10688</v>
      </c>
      <c r="C17390" s="65" t="s">
        <v>11108</v>
      </c>
      <c r="D17390" s="807" t="s">
        <v>11743</v>
      </c>
      <c r="E17390" s="60">
        <v>59990</v>
      </c>
      <c r="F17390" s="60"/>
      <c r="G17390" s="132">
        <f t="shared" ref="G17390:G17431" si="360">F17390-E17390</f>
        <v>-59990</v>
      </c>
      <c r="H17390" s="718" t="s">
        <v>11645</v>
      </c>
    </row>
    <row r="17391" spans="1:8" ht="15" x14ac:dyDescent="0.2">
      <c r="A17391" s="747">
        <v>45237</v>
      </c>
      <c r="B17391" s="43" t="s">
        <v>11207</v>
      </c>
      <c r="C17391" s="65" t="s">
        <v>11108</v>
      </c>
      <c r="D17391" s="807" t="s">
        <v>11744</v>
      </c>
      <c r="E17391" s="60">
        <v>15500</v>
      </c>
      <c r="F17391" s="60"/>
      <c r="G17391" s="132">
        <f t="shared" si="360"/>
        <v>-15500</v>
      </c>
      <c r="H17391" s="718" t="s">
        <v>11645</v>
      </c>
    </row>
    <row r="17392" spans="1:8" ht="15" x14ac:dyDescent="0.2">
      <c r="A17392" s="747">
        <v>45237</v>
      </c>
      <c r="B17392" s="43" t="s">
        <v>11568</v>
      </c>
      <c r="C17392" s="65" t="s">
        <v>11108</v>
      </c>
      <c r="D17392" s="807" t="s">
        <v>11745</v>
      </c>
      <c r="E17392" s="60">
        <v>3750</v>
      </c>
      <c r="F17392" s="60"/>
      <c r="G17392" s="132">
        <f t="shared" si="360"/>
        <v>-3750</v>
      </c>
      <c r="H17392" s="718" t="s">
        <v>11645</v>
      </c>
    </row>
    <row r="17393" spans="1:8" ht="15" x14ac:dyDescent="0.2">
      <c r="A17393" s="747">
        <v>45237</v>
      </c>
      <c r="B17393" s="43" t="s">
        <v>103</v>
      </c>
      <c r="C17393" s="65" t="s">
        <v>1504</v>
      </c>
      <c r="D17393" s="807" t="s">
        <v>372</v>
      </c>
      <c r="E17393" s="60">
        <v>2200</v>
      </c>
      <c r="F17393" s="60"/>
      <c r="G17393" s="132">
        <f t="shared" si="360"/>
        <v>-2200</v>
      </c>
      <c r="H17393" s="718" t="s">
        <v>11645</v>
      </c>
    </row>
    <row r="17394" spans="1:8" ht="15" x14ac:dyDescent="0.2">
      <c r="A17394" s="747">
        <v>45237</v>
      </c>
      <c r="B17394" s="43" t="s">
        <v>10688</v>
      </c>
      <c r="C17394" s="65" t="s">
        <v>5791</v>
      </c>
      <c r="D17394" s="807" t="s">
        <v>372</v>
      </c>
      <c r="E17394" s="60">
        <v>1600</v>
      </c>
      <c r="F17394" s="60"/>
      <c r="G17394" s="132">
        <f t="shared" si="360"/>
        <v>-1600</v>
      </c>
      <c r="H17394" s="718" t="s">
        <v>11645</v>
      </c>
    </row>
    <row r="17395" spans="1:8" ht="15" x14ac:dyDescent="0.2">
      <c r="A17395" s="747">
        <v>45237</v>
      </c>
      <c r="B17395" s="43" t="s">
        <v>11568</v>
      </c>
      <c r="C17395" s="65" t="s">
        <v>5791</v>
      </c>
      <c r="D17395" s="807" t="s">
        <v>372</v>
      </c>
      <c r="E17395" s="60">
        <v>500</v>
      </c>
      <c r="F17395" s="60"/>
      <c r="G17395" s="132">
        <f t="shared" si="360"/>
        <v>-500</v>
      </c>
      <c r="H17395" s="718" t="s">
        <v>11645</v>
      </c>
    </row>
    <row r="17396" spans="1:8" ht="15" x14ac:dyDescent="0.2">
      <c r="A17396" s="747">
        <v>45237</v>
      </c>
      <c r="B17396" s="43" t="s">
        <v>11207</v>
      </c>
      <c r="C17396" s="65" t="s">
        <v>5791</v>
      </c>
      <c r="D17396" s="807" t="s">
        <v>372</v>
      </c>
      <c r="E17396" s="60">
        <v>250</v>
      </c>
      <c r="F17396" s="60"/>
      <c r="G17396" s="132">
        <f t="shared" si="360"/>
        <v>-250</v>
      </c>
      <c r="H17396" s="718" t="s">
        <v>11645</v>
      </c>
    </row>
    <row r="17397" spans="1:8" ht="15" x14ac:dyDescent="0.2">
      <c r="A17397" s="747">
        <v>45238</v>
      </c>
      <c r="B17397" s="43" t="s">
        <v>11748</v>
      </c>
      <c r="C17397" s="65" t="s">
        <v>11749</v>
      </c>
      <c r="D17397" s="807" t="s">
        <v>11750</v>
      </c>
      <c r="E17397" s="60">
        <v>20000</v>
      </c>
      <c r="F17397" s="60"/>
      <c r="G17397" s="132">
        <f t="shared" si="360"/>
        <v>-20000</v>
      </c>
      <c r="H17397" s="718" t="s">
        <v>11645</v>
      </c>
    </row>
    <row r="17398" spans="1:8" ht="15" x14ac:dyDescent="0.2">
      <c r="A17398" s="747">
        <v>45238</v>
      </c>
      <c r="B17398" s="43" t="s">
        <v>103</v>
      </c>
      <c r="C17398" s="65" t="s">
        <v>103</v>
      </c>
      <c r="D17398" s="807" t="s">
        <v>10321</v>
      </c>
      <c r="E17398" s="60">
        <v>3000</v>
      </c>
      <c r="F17398" s="60"/>
      <c r="G17398" s="132">
        <f t="shared" si="360"/>
        <v>-3000</v>
      </c>
      <c r="H17398" s="718" t="s">
        <v>11645</v>
      </c>
    </row>
    <row r="17399" spans="1:8" ht="15" x14ac:dyDescent="0.2">
      <c r="A17399" s="747">
        <v>45238</v>
      </c>
      <c r="B17399" s="43" t="s">
        <v>9463</v>
      </c>
      <c r="C17399" s="65" t="s">
        <v>14</v>
      </c>
      <c r="D17399" s="807" t="s">
        <v>11754</v>
      </c>
      <c r="E17399" s="60">
        <v>1000</v>
      </c>
      <c r="F17399" s="60"/>
      <c r="G17399" s="132">
        <f t="shared" si="360"/>
        <v>-1000</v>
      </c>
      <c r="H17399" s="718" t="s">
        <v>11645</v>
      </c>
    </row>
    <row r="17400" spans="1:8" ht="15" x14ac:dyDescent="0.2">
      <c r="A17400" s="747">
        <v>45238</v>
      </c>
      <c r="B17400" s="43" t="s">
        <v>11391</v>
      </c>
      <c r="C17400" s="65" t="s">
        <v>11108</v>
      </c>
      <c r="D17400" s="807" t="s">
        <v>11755</v>
      </c>
      <c r="E17400" s="60">
        <v>4920</v>
      </c>
      <c r="F17400" s="60"/>
      <c r="G17400" s="132">
        <f t="shared" si="360"/>
        <v>-4920</v>
      </c>
      <c r="H17400" s="718" t="s">
        <v>11645</v>
      </c>
    </row>
    <row r="17401" spans="1:8" ht="15" x14ac:dyDescent="0.2">
      <c r="A17401" s="747">
        <v>45238</v>
      </c>
      <c r="B17401" s="43" t="s">
        <v>10688</v>
      </c>
      <c r="C17401" s="65" t="s">
        <v>11108</v>
      </c>
      <c r="D17401" s="807" t="s">
        <v>11755</v>
      </c>
      <c r="E17401" s="60">
        <v>6120</v>
      </c>
      <c r="F17401" s="60"/>
      <c r="G17401" s="132">
        <f t="shared" si="360"/>
        <v>-6120</v>
      </c>
      <c r="H17401" s="718" t="s">
        <v>11645</v>
      </c>
    </row>
    <row r="17402" spans="1:8" ht="15" x14ac:dyDescent="0.2">
      <c r="A17402" s="747">
        <v>45238</v>
      </c>
      <c r="B17402" s="43" t="s">
        <v>11427</v>
      </c>
      <c r="C17402" s="65" t="s">
        <v>11756</v>
      </c>
      <c r="D17402" s="807" t="s">
        <v>11757</v>
      </c>
      <c r="E17402" s="60">
        <v>7200</v>
      </c>
      <c r="F17402" s="60"/>
      <c r="G17402" s="132">
        <f t="shared" si="360"/>
        <v>-7200</v>
      </c>
      <c r="H17402" s="718" t="s">
        <v>11645</v>
      </c>
    </row>
    <row r="17403" spans="1:8" ht="15" x14ac:dyDescent="0.2">
      <c r="A17403" s="747">
        <v>45238</v>
      </c>
      <c r="C17403" s="65" t="s">
        <v>5457</v>
      </c>
      <c r="D17403" s="807" t="s">
        <v>11414</v>
      </c>
      <c r="E17403" s="60">
        <v>5000</v>
      </c>
      <c r="F17403" s="60"/>
      <c r="G17403" s="132">
        <f t="shared" si="360"/>
        <v>-5000</v>
      </c>
      <c r="H17403" s="718" t="s">
        <v>11645</v>
      </c>
    </row>
    <row r="17404" spans="1:8" ht="15" x14ac:dyDescent="0.2">
      <c r="A17404" s="747">
        <v>45238</v>
      </c>
      <c r="B17404" s="43" t="s">
        <v>11758</v>
      </c>
      <c r="C17404" s="65" t="s">
        <v>5791</v>
      </c>
      <c r="D17404" s="807" t="s">
        <v>372</v>
      </c>
      <c r="E17404" s="60">
        <v>2700</v>
      </c>
      <c r="F17404" s="60"/>
      <c r="G17404" s="132">
        <f t="shared" si="360"/>
        <v>-2700</v>
      </c>
      <c r="H17404" s="718" t="s">
        <v>11645</v>
      </c>
    </row>
    <row r="17405" spans="1:8" ht="15" x14ac:dyDescent="0.2">
      <c r="A17405" s="747">
        <v>45238</v>
      </c>
      <c r="B17405" s="43" t="s">
        <v>11391</v>
      </c>
      <c r="C17405" s="65" t="s">
        <v>5791</v>
      </c>
      <c r="D17405" s="807" t="s">
        <v>11759</v>
      </c>
      <c r="E17405" s="60">
        <v>770</v>
      </c>
      <c r="F17405" s="60"/>
      <c r="G17405" s="132">
        <f t="shared" si="360"/>
        <v>-770</v>
      </c>
      <c r="H17405" s="718" t="s">
        <v>11645</v>
      </c>
    </row>
    <row r="17406" spans="1:8" ht="15" x14ac:dyDescent="0.2">
      <c r="A17406" s="747">
        <v>45240</v>
      </c>
      <c r="B17406" s="43" t="s">
        <v>11207</v>
      </c>
      <c r="C17406" s="65" t="s">
        <v>5791</v>
      </c>
      <c r="D17406" s="807" t="s">
        <v>372</v>
      </c>
      <c r="E17406" s="60">
        <v>2400</v>
      </c>
      <c r="F17406" s="60"/>
      <c r="G17406" s="132">
        <f t="shared" si="360"/>
        <v>-2400</v>
      </c>
      <c r="H17406" s="718" t="s">
        <v>11645</v>
      </c>
    </row>
    <row r="17407" spans="1:8" ht="15" x14ac:dyDescent="0.2">
      <c r="A17407" s="747">
        <v>45240</v>
      </c>
      <c r="C17407" s="65" t="s">
        <v>3738</v>
      </c>
      <c r="D17407" s="807" t="s">
        <v>11762</v>
      </c>
      <c r="E17407" s="60">
        <v>65600</v>
      </c>
      <c r="F17407" s="60"/>
      <c r="G17407" s="132">
        <f t="shared" si="360"/>
        <v>-65600</v>
      </c>
      <c r="H17407" s="718" t="s">
        <v>11645</v>
      </c>
    </row>
    <row r="17408" spans="1:8" ht="15" x14ac:dyDescent="0.2">
      <c r="A17408" s="747">
        <v>45240</v>
      </c>
      <c r="B17408" s="43" t="s">
        <v>11427</v>
      </c>
      <c r="C17408" s="65" t="s">
        <v>10173</v>
      </c>
      <c r="D17408" s="807" t="s">
        <v>6987</v>
      </c>
      <c r="E17408" s="60">
        <v>50000</v>
      </c>
      <c r="F17408" s="60"/>
      <c r="G17408" s="132">
        <f t="shared" si="360"/>
        <v>-50000</v>
      </c>
      <c r="H17408" s="718" t="s">
        <v>11645</v>
      </c>
    </row>
    <row r="17409" spans="1:8" ht="15" x14ac:dyDescent="0.2">
      <c r="A17409" s="747">
        <v>45240</v>
      </c>
      <c r="B17409" s="43" t="s">
        <v>10688</v>
      </c>
      <c r="C17409" s="65" t="s">
        <v>2206</v>
      </c>
      <c r="D17409" s="807" t="s">
        <v>11763</v>
      </c>
      <c r="E17409" s="60">
        <v>9500</v>
      </c>
      <c r="F17409" s="60"/>
      <c r="G17409" s="132">
        <f t="shared" si="360"/>
        <v>-9500</v>
      </c>
      <c r="H17409" s="718" t="s">
        <v>11645</v>
      </c>
    </row>
    <row r="17410" spans="1:8" ht="15" x14ac:dyDescent="0.2">
      <c r="A17410" s="747">
        <v>45240</v>
      </c>
      <c r="B17410" s="43" t="s">
        <v>11022</v>
      </c>
      <c r="C17410" s="65" t="s">
        <v>288</v>
      </c>
      <c r="D17410" s="807" t="s">
        <v>8758</v>
      </c>
      <c r="E17410" s="60">
        <v>1000</v>
      </c>
      <c r="F17410" s="60"/>
      <c r="G17410" s="132">
        <f t="shared" si="360"/>
        <v>-1000</v>
      </c>
      <c r="H17410" s="718" t="s">
        <v>11645</v>
      </c>
    </row>
    <row r="17411" spans="1:8" ht="15" x14ac:dyDescent="0.2">
      <c r="A17411" s="747">
        <v>45240</v>
      </c>
      <c r="B17411" s="43" t="s">
        <v>10688</v>
      </c>
      <c r="C17411" s="65" t="s">
        <v>10448</v>
      </c>
      <c r="D17411" s="807" t="s">
        <v>372</v>
      </c>
      <c r="E17411" s="60">
        <v>750</v>
      </c>
      <c r="F17411" s="60"/>
      <c r="G17411" s="132">
        <f t="shared" si="360"/>
        <v>-750</v>
      </c>
      <c r="H17411" s="718" t="s">
        <v>11645</v>
      </c>
    </row>
    <row r="17412" spans="1:8" ht="15" x14ac:dyDescent="0.2">
      <c r="A17412" s="747">
        <v>45240</v>
      </c>
      <c r="B17412" s="43" t="s">
        <v>10342</v>
      </c>
      <c r="C17412" s="65" t="s">
        <v>5791</v>
      </c>
      <c r="D17412" s="807" t="s">
        <v>372</v>
      </c>
      <c r="E17412" s="60">
        <v>4200</v>
      </c>
      <c r="F17412" s="60"/>
      <c r="G17412" s="132">
        <f t="shared" si="360"/>
        <v>-4200</v>
      </c>
      <c r="H17412" s="718" t="s">
        <v>11645</v>
      </c>
    </row>
    <row r="17413" spans="1:8" ht="15" x14ac:dyDescent="0.2">
      <c r="A17413" s="747">
        <v>45240</v>
      </c>
      <c r="B17413" s="43" t="s">
        <v>10096</v>
      </c>
      <c r="C17413" s="65" t="s">
        <v>9568</v>
      </c>
      <c r="D17413" s="807" t="s">
        <v>5911</v>
      </c>
      <c r="E17413" s="60">
        <v>1000</v>
      </c>
      <c r="F17413" s="60"/>
      <c r="G17413" s="132">
        <f t="shared" si="360"/>
        <v>-1000</v>
      </c>
      <c r="H17413" s="718" t="s">
        <v>11645</v>
      </c>
    </row>
    <row r="17414" spans="1:8" ht="15" x14ac:dyDescent="0.2">
      <c r="A17414" s="747">
        <v>45240</v>
      </c>
      <c r="B17414" s="43" t="s">
        <v>11022</v>
      </c>
      <c r="C17414" s="65" t="s">
        <v>5791</v>
      </c>
      <c r="D17414" s="807" t="s">
        <v>372</v>
      </c>
      <c r="E17414" s="60">
        <v>1500</v>
      </c>
      <c r="F17414" s="60"/>
      <c r="G17414" s="132">
        <f t="shared" si="360"/>
        <v>-1500</v>
      </c>
      <c r="H17414" s="718" t="s">
        <v>11645</v>
      </c>
    </row>
    <row r="17415" spans="1:8" ht="15" x14ac:dyDescent="0.2">
      <c r="A17415" s="747">
        <v>45240</v>
      </c>
      <c r="B17415" s="43" t="s">
        <v>11758</v>
      </c>
      <c r="C17415" s="65" t="s">
        <v>288</v>
      </c>
      <c r="D17415" s="807" t="s">
        <v>10004</v>
      </c>
      <c r="E17415" s="60">
        <v>800</v>
      </c>
      <c r="F17415" s="60"/>
      <c r="G17415" s="132">
        <f t="shared" si="360"/>
        <v>-800</v>
      </c>
      <c r="H17415" s="718" t="s">
        <v>11645</v>
      </c>
    </row>
    <row r="17416" spans="1:8" ht="15" x14ac:dyDescent="0.2">
      <c r="A17416" s="747">
        <v>45240</v>
      </c>
      <c r="B17416" s="43" t="s">
        <v>11022</v>
      </c>
      <c r="C17416" s="65" t="s">
        <v>5434</v>
      </c>
      <c r="D17416" s="807" t="s">
        <v>11765</v>
      </c>
      <c r="E17416" s="60">
        <v>10100</v>
      </c>
      <c r="F17416" s="60"/>
      <c r="G17416" s="132">
        <f t="shared" si="360"/>
        <v>-10100</v>
      </c>
      <c r="H17416" s="718" t="s">
        <v>11645</v>
      </c>
    </row>
    <row r="17417" spans="1:8" ht="15" x14ac:dyDescent="0.2">
      <c r="A17417" s="747">
        <v>45240</v>
      </c>
      <c r="B17417" s="43" t="s">
        <v>11022</v>
      </c>
      <c r="C17417" s="65" t="s">
        <v>11108</v>
      </c>
      <c r="D17417" s="807" t="s">
        <v>11766</v>
      </c>
      <c r="E17417" s="60">
        <v>14630</v>
      </c>
      <c r="F17417" s="60"/>
      <c r="G17417" s="132">
        <f t="shared" si="360"/>
        <v>-14630</v>
      </c>
      <c r="H17417" s="718" t="s">
        <v>11645</v>
      </c>
    </row>
    <row r="17418" spans="1:8" ht="15" x14ac:dyDescent="0.2">
      <c r="A17418" s="747">
        <v>45241</v>
      </c>
      <c r="B17418" s="43" t="s">
        <v>103</v>
      </c>
      <c r="C17418" s="65" t="s">
        <v>103</v>
      </c>
      <c r="D17418" s="807" t="s">
        <v>10321</v>
      </c>
      <c r="E17418" s="60">
        <v>1000</v>
      </c>
      <c r="F17418" s="60"/>
      <c r="G17418" s="132">
        <f t="shared" si="360"/>
        <v>-1000</v>
      </c>
      <c r="H17418" s="718" t="s">
        <v>11645</v>
      </c>
    </row>
    <row r="17419" spans="1:8" ht="15" x14ac:dyDescent="0.2">
      <c r="A17419" s="747">
        <v>45241</v>
      </c>
      <c r="B17419" s="43" t="s">
        <v>11740</v>
      </c>
      <c r="C17419" s="65" t="s">
        <v>5791</v>
      </c>
      <c r="D17419" s="807" t="s">
        <v>372</v>
      </c>
      <c r="E17419" s="60">
        <v>1200</v>
      </c>
      <c r="F17419" s="60"/>
      <c r="G17419" s="132">
        <f t="shared" si="360"/>
        <v>-1200</v>
      </c>
      <c r="H17419" s="718" t="s">
        <v>11645</v>
      </c>
    </row>
    <row r="17420" spans="1:8" ht="15" x14ac:dyDescent="0.2">
      <c r="A17420" s="747">
        <v>45241</v>
      </c>
      <c r="B17420" s="43" t="s">
        <v>2957</v>
      </c>
      <c r="C17420" s="65" t="s">
        <v>11108</v>
      </c>
      <c r="D17420" s="807" t="s">
        <v>7447</v>
      </c>
      <c r="E17420" s="60">
        <v>8000</v>
      </c>
      <c r="F17420" s="60"/>
      <c r="G17420" s="132">
        <f t="shared" si="360"/>
        <v>-8000</v>
      </c>
      <c r="H17420" s="718" t="s">
        <v>11645</v>
      </c>
    </row>
    <row r="17421" spans="1:8" ht="15" x14ac:dyDescent="0.2">
      <c r="A17421" s="747">
        <v>45241</v>
      </c>
      <c r="B17421" s="43" t="s">
        <v>11391</v>
      </c>
      <c r="C17421" s="65" t="s">
        <v>11108</v>
      </c>
      <c r="D17421" s="807" t="s">
        <v>7447</v>
      </c>
      <c r="E17421" s="60">
        <v>1750</v>
      </c>
      <c r="F17421" s="60"/>
      <c r="G17421" s="132">
        <f t="shared" si="360"/>
        <v>-1750</v>
      </c>
      <c r="H17421" s="718" t="s">
        <v>11645</v>
      </c>
    </row>
    <row r="17422" spans="1:8" ht="15" x14ac:dyDescent="0.2">
      <c r="A17422" s="747">
        <v>45241</v>
      </c>
      <c r="B17422" s="43" t="s">
        <v>103</v>
      </c>
      <c r="C17422" s="65" t="s">
        <v>10173</v>
      </c>
      <c r="D17422" s="807" t="s">
        <v>11767</v>
      </c>
      <c r="E17422" s="60">
        <v>3000</v>
      </c>
      <c r="F17422" s="60"/>
      <c r="G17422" s="132">
        <f t="shared" si="360"/>
        <v>-3000</v>
      </c>
      <c r="H17422" s="718" t="s">
        <v>11645</v>
      </c>
    </row>
    <row r="17423" spans="1:8" ht="15" x14ac:dyDescent="0.2">
      <c r="A17423" s="747">
        <v>45241</v>
      </c>
      <c r="B17423" s="43" t="s">
        <v>11427</v>
      </c>
      <c r="C17423" s="65" t="s">
        <v>14</v>
      </c>
      <c r="D17423" s="807" t="s">
        <v>11768</v>
      </c>
      <c r="E17423" s="60">
        <v>2080</v>
      </c>
      <c r="F17423" s="60"/>
      <c r="G17423" s="132">
        <f t="shared" si="360"/>
        <v>-2080</v>
      </c>
      <c r="H17423" s="718" t="s">
        <v>11645</v>
      </c>
    </row>
    <row r="17424" spans="1:8" ht="15" x14ac:dyDescent="0.2">
      <c r="A17424" s="747">
        <v>45241</v>
      </c>
      <c r="B17424" s="43" t="s">
        <v>103</v>
      </c>
      <c r="C17424" s="65" t="s">
        <v>3024</v>
      </c>
      <c r="D17424" s="807" t="s">
        <v>372</v>
      </c>
      <c r="E17424" s="60">
        <v>5000</v>
      </c>
      <c r="F17424" s="60"/>
      <c r="G17424" s="132">
        <f t="shared" si="360"/>
        <v>-5000</v>
      </c>
      <c r="H17424" s="718" t="s">
        <v>11645</v>
      </c>
    </row>
    <row r="17425" spans="1:8" ht="15" x14ac:dyDescent="0.2">
      <c r="A17425" s="747">
        <v>45241</v>
      </c>
      <c r="B17425" s="43" t="s">
        <v>10096</v>
      </c>
      <c r="C17425" s="65" t="s">
        <v>11108</v>
      </c>
      <c r="D17425" s="807" t="s">
        <v>11769</v>
      </c>
      <c r="E17425" s="60">
        <v>4500</v>
      </c>
      <c r="F17425" s="60"/>
      <c r="G17425" s="132">
        <f t="shared" si="360"/>
        <v>-4500</v>
      </c>
      <c r="H17425" s="718" t="s">
        <v>11645</v>
      </c>
    </row>
    <row r="17426" spans="1:8" ht="15" x14ac:dyDescent="0.2">
      <c r="A17426" s="747">
        <v>45241</v>
      </c>
      <c r="B17426" s="43" t="s">
        <v>103</v>
      </c>
      <c r="C17426" s="65" t="s">
        <v>11108</v>
      </c>
      <c r="D17426" s="807" t="s">
        <v>11769</v>
      </c>
      <c r="E17426" s="60">
        <v>5440</v>
      </c>
      <c r="F17426" s="60"/>
      <c r="G17426" s="132">
        <f t="shared" si="360"/>
        <v>-5440</v>
      </c>
      <c r="H17426" s="718" t="s">
        <v>11645</v>
      </c>
    </row>
    <row r="17427" spans="1:8" ht="15" x14ac:dyDescent="0.2">
      <c r="A17427" s="747">
        <v>45241</v>
      </c>
      <c r="B17427" s="43" t="s">
        <v>11391</v>
      </c>
      <c r="C17427" s="65" t="s">
        <v>11108</v>
      </c>
      <c r="D17427" s="807" t="s">
        <v>11769</v>
      </c>
      <c r="E17427" s="60">
        <v>3500</v>
      </c>
      <c r="F17427" s="60"/>
      <c r="G17427" s="132">
        <f t="shared" si="360"/>
        <v>-3500</v>
      </c>
      <c r="H17427" s="718" t="s">
        <v>11645</v>
      </c>
    </row>
    <row r="17428" spans="1:8" ht="15" x14ac:dyDescent="0.2">
      <c r="A17428" s="747">
        <v>45241</v>
      </c>
      <c r="B17428" s="43" t="s">
        <v>11633</v>
      </c>
      <c r="C17428" s="65" t="s">
        <v>11108</v>
      </c>
      <c r="D17428" s="807" t="s">
        <v>11769</v>
      </c>
      <c r="E17428" s="60">
        <v>10000</v>
      </c>
      <c r="F17428" s="60"/>
      <c r="G17428" s="132">
        <f t="shared" si="360"/>
        <v>-10000</v>
      </c>
      <c r="H17428" s="718" t="s">
        <v>11645</v>
      </c>
    </row>
    <row r="17429" spans="1:8" ht="15" x14ac:dyDescent="0.2">
      <c r="A17429" s="747">
        <v>45241</v>
      </c>
      <c r="B17429" s="43" t="s">
        <v>11207</v>
      </c>
      <c r="C17429" s="65" t="s">
        <v>11108</v>
      </c>
      <c r="D17429" s="807" t="s">
        <v>11769</v>
      </c>
      <c r="E17429" s="60">
        <v>5000</v>
      </c>
      <c r="F17429" s="60"/>
      <c r="G17429" s="132">
        <f t="shared" si="360"/>
        <v>-5000</v>
      </c>
      <c r="H17429" s="718" t="s">
        <v>11645</v>
      </c>
    </row>
    <row r="17430" spans="1:8" ht="15" x14ac:dyDescent="0.2">
      <c r="A17430" s="747">
        <v>45241</v>
      </c>
      <c r="B17430" s="43" t="s">
        <v>11568</v>
      </c>
      <c r="C17430" s="560" t="s">
        <v>9883</v>
      </c>
      <c r="D17430" s="920" t="s">
        <v>11785</v>
      </c>
      <c r="E17430" s="592">
        <v>17600</v>
      </c>
      <c r="F17430" s="60"/>
      <c r="G17430" s="132">
        <f t="shared" si="360"/>
        <v>-17600</v>
      </c>
      <c r="H17430" s="718" t="s">
        <v>11645</v>
      </c>
    </row>
    <row r="17431" spans="1:8" ht="15" x14ac:dyDescent="0.2">
      <c r="A17431" s="747">
        <v>45241</v>
      </c>
      <c r="B17431" s="43" t="s">
        <v>10096</v>
      </c>
      <c r="C17431" s="560" t="s">
        <v>9883</v>
      </c>
      <c r="D17431" s="920" t="s">
        <v>11785</v>
      </c>
      <c r="E17431" s="592">
        <v>46320</v>
      </c>
      <c r="F17431" s="60"/>
      <c r="G17431" s="132">
        <f t="shared" si="360"/>
        <v>-46320</v>
      </c>
      <c r="H17431" s="718" t="s">
        <v>11645</v>
      </c>
    </row>
    <row r="17432" spans="1:8" ht="15" x14ac:dyDescent="0.2">
      <c r="A17432" s="747">
        <v>45241</v>
      </c>
      <c r="B17432" s="43" t="s">
        <v>10096</v>
      </c>
      <c r="C17432" s="65" t="s">
        <v>11786</v>
      </c>
      <c r="D17432" s="807" t="s">
        <v>11787</v>
      </c>
      <c r="E17432" s="60">
        <v>60200</v>
      </c>
      <c r="F17432" s="60"/>
      <c r="G17432" s="132">
        <f t="shared" ref="G17432:G17444" si="361">F17432-E17432</f>
        <v>-60200</v>
      </c>
      <c r="H17432" s="718" t="s">
        <v>11645</v>
      </c>
    </row>
    <row r="17433" spans="1:8" ht="15" x14ac:dyDescent="0.2">
      <c r="A17433" s="747">
        <v>45241</v>
      </c>
      <c r="B17433" s="43" t="s">
        <v>3979</v>
      </c>
      <c r="C17433" s="65" t="s">
        <v>394</v>
      </c>
      <c r="D17433" s="807" t="s">
        <v>11788</v>
      </c>
      <c r="E17433" s="60">
        <v>5000</v>
      </c>
      <c r="F17433" s="60"/>
      <c r="G17433" s="132">
        <f t="shared" si="361"/>
        <v>-5000</v>
      </c>
      <c r="H17433" s="718" t="s">
        <v>11645</v>
      </c>
    </row>
    <row r="17434" spans="1:8" ht="15" x14ac:dyDescent="0.2">
      <c r="A17434" s="747">
        <v>45241</v>
      </c>
      <c r="B17434" s="43" t="s">
        <v>11022</v>
      </c>
      <c r="C17434" s="65" t="s">
        <v>11108</v>
      </c>
      <c r="D17434" s="807" t="s">
        <v>11789</v>
      </c>
      <c r="E17434" s="60">
        <v>16000</v>
      </c>
      <c r="F17434" s="60"/>
      <c r="G17434" s="132">
        <f t="shared" si="361"/>
        <v>-16000</v>
      </c>
      <c r="H17434" s="718" t="s">
        <v>11645</v>
      </c>
    </row>
    <row r="17435" spans="1:8" ht="15" x14ac:dyDescent="0.2">
      <c r="A17435" s="747">
        <v>45241</v>
      </c>
      <c r="B17435" s="43" t="s">
        <v>10688</v>
      </c>
      <c r="C17435" s="65" t="s">
        <v>10448</v>
      </c>
      <c r="D17435" s="807" t="s">
        <v>372</v>
      </c>
      <c r="E17435" s="60">
        <v>500</v>
      </c>
      <c r="F17435" s="60"/>
      <c r="G17435" s="132">
        <f t="shared" si="361"/>
        <v>-500</v>
      </c>
      <c r="H17435" s="718" t="s">
        <v>11645</v>
      </c>
    </row>
    <row r="17436" spans="1:8" ht="15" x14ac:dyDescent="0.2">
      <c r="A17436" s="747">
        <v>45241</v>
      </c>
      <c r="B17436" s="43" t="s">
        <v>11568</v>
      </c>
      <c r="C17436" s="65" t="s">
        <v>11108</v>
      </c>
      <c r="D17436" s="807" t="s">
        <v>12001</v>
      </c>
      <c r="E17436" s="60">
        <v>44000</v>
      </c>
      <c r="F17436" s="60"/>
      <c r="G17436" s="132">
        <f t="shared" ref="G17436:G17437" si="362">F17436-E17436</f>
        <v>-44000</v>
      </c>
      <c r="H17436" s="718" t="s">
        <v>11645</v>
      </c>
    </row>
    <row r="17437" spans="1:8" ht="15" x14ac:dyDescent="0.2">
      <c r="A17437" s="747">
        <v>45243</v>
      </c>
      <c r="B17437" s="43" t="s">
        <v>11568</v>
      </c>
      <c r="C17437" s="65" t="s">
        <v>11108</v>
      </c>
      <c r="D17437" s="807" t="s">
        <v>11790</v>
      </c>
      <c r="E17437" s="60">
        <v>46500</v>
      </c>
      <c r="F17437" s="60"/>
      <c r="G17437" s="132">
        <f t="shared" si="362"/>
        <v>-46500</v>
      </c>
      <c r="H17437" s="718" t="s">
        <v>11645</v>
      </c>
    </row>
    <row r="17438" spans="1:8" ht="15" x14ac:dyDescent="0.2">
      <c r="A17438" s="747">
        <v>45243</v>
      </c>
      <c r="B17438" s="43" t="s">
        <v>11758</v>
      </c>
      <c r="C17438" s="65" t="s">
        <v>11314</v>
      </c>
      <c r="D17438" s="807" t="s">
        <v>11428</v>
      </c>
      <c r="E17438" s="60">
        <v>50000</v>
      </c>
      <c r="F17438" s="60"/>
      <c r="G17438" s="132">
        <f t="shared" si="361"/>
        <v>-50000</v>
      </c>
      <c r="H17438" s="718" t="s">
        <v>11645</v>
      </c>
    </row>
    <row r="17439" spans="1:8" ht="15" x14ac:dyDescent="0.2">
      <c r="A17439" s="747">
        <v>45243</v>
      </c>
      <c r="B17439" s="43" t="s">
        <v>11022</v>
      </c>
      <c r="C17439" s="65" t="s">
        <v>7290</v>
      </c>
      <c r="D17439" s="807" t="s">
        <v>1164</v>
      </c>
      <c r="E17439" s="60">
        <v>100000</v>
      </c>
      <c r="F17439" s="60"/>
      <c r="G17439" s="132">
        <f t="shared" si="361"/>
        <v>-100000</v>
      </c>
      <c r="H17439" s="718" t="s">
        <v>11645</v>
      </c>
    </row>
    <row r="17440" spans="1:8" ht="15" x14ac:dyDescent="0.2">
      <c r="A17440" s="747">
        <v>45243</v>
      </c>
      <c r="B17440" s="43" t="s">
        <v>11568</v>
      </c>
      <c r="C17440" s="65" t="s">
        <v>11108</v>
      </c>
      <c r="D17440" s="807" t="s">
        <v>11790</v>
      </c>
      <c r="E17440" s="60">
        <v>40000</v>
      </c>
      <c r="F17440" s="60"/>
      <c r="G17440" s="132">
        <f t="shared" si="361"/>
        <v>-40000</v>
      </c>
      <c r="H17440" s="718" t="s">
        <v>11645</v>
      </c>
    </row>
    <row r="17441" spans="1:8" ht="15" x14ac:dyDescent="0.2">
      <c r="A17441" s="747">
        <v>45243</v>
      </c>
      <c r="B17441" s="43" t="s">
        <v>11568</v>
      </c>
      <c r="C17441" s="65" t="s">
        <v>11108</v>
      </c>
      <c r="D17441" s="807" t="s">
        <v>11791</v>
      </c>
      <c r="E17441" s="60">
        <v>8600</v>
      </c>
      <c r="F17441" s="60"/>
      <c r="G17441" s="132">
        <f t="shared" si="361"/>
        <v>-8600</v>
      </c>
      <c r="H17441" s="718" t="s">
        <v>11645</v>
      </c>
    </row>
    <row r="17442" spans="1:8" ht="15" x14ac:dyDescent="0.2">
      <c r="A17442" s="747">
        <v>45243</v>
      </c>
      <c r="B17442" s="43" t="s">
        <v>11746</v>
      </c>
      <c r="C17442" s="65" t="s">
        <v>5791</v>
      </c>
      <c r="D17442" s="807" t="s">
        <v>372</v>
      </c>
      <c r="E17442" s="60">
        <v>1500</v>
      </c>
      <c r="F17442" s="60"/>
      <c r="G17442" s="132">
        <f t="shared" si="361"/>
        <v>-1500</v>
      </c>
      <c r="H17442" s="718" t="s">
        <v>11645</v>
      </c>
    </row>
    <row r="17443" spans="1:8" ht="15" x14ac:dyDescent="0.2">
      <c r="A17443" s="747">
        <v>45243</v>
      </c>
      <c r="B17443" s="43" t="s">
        <v>11022</v>
      </c>
      <c r="C17443" s="65" t="s">
        <v>5791</v>
      </c>
      <c r="D17443" s="807" t="s">
        <v>372</v>
      </c>
      <c r="E17443" s="60">
        <v>1600</v>
      </c>
      <c r="F17443" s="60"/>
      <c r="G17443" s="132">
        <f t="shared" si="361"/>
        <v>-1600</v>
      </c>
      <c r="H17443" s="718" t="s">
        <v>11645</v>
      </c>
    </row>
    <row r="17444" spans="1:8" ht="15" x14ac:dyDescent="0.2">
      <c r="A17444" s="747">
        <v>45243</v>
      </c>
      <c r="B17444" s="43" t="s">
        <v>10342</v>
      </c>
      <c r="C17444" s="65" t="s">
        <v>5791</v>
      </c>
      <c r="D17444" s="807" t="s">
        <v>372</v>
      </c>
      <c r="E17444" s="60">
        <v>1600</v>
      </c>
      <c r="F17444" s="60"/>
      <c r="G17444" s="132">
        <f t="shared" si="361"/>
        <v>-1600</v>
      </c>
      <c r="H17444" s="718" t="s">
        <v>11645</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11645</v>
      </c>
    </row>
    <row r="17446" spans="1:8" ht="15" x14ac:dyDescent="0.2">
      <c r="A17446" s="747">
        <v>45243</v>
      </c>
      <c r="B17446" s="43" t="s">
        <v>11141</v>
      </c>
      <c r="C17446" s="65" t="s">
        <v>11251</v>
      </c>
      <c r="D17446" s="807" t="s">
        <v>11792</v>
      </c>
      <c r="E17446" s="60">
        <v>20000</v>
      </c>
      <c r="F17446" s="60"/>
      <c r="G17446" s="132">
        <f t="shared" si="363"/>
        <v>-20000</v>
      </c>
      <c r="H17446" s="718" t="s">
        <v>11645</v>
      </c>
    </row>
    <row r="17447" spans="1:8" ht="15" x14ac:dyDescent="0.2">
      <c r="A17447" s="747">
        <v>45243</v>
      </c>
      <c r="B17447" s="43" t="s">
        <v>11633</v>
      </c>
      <c r="C17447" s="65" t="s">
        <v>11108</v>
      </c>
      <c r="D17447" s="807" t="s">
        <v>6543</v>
      </c>
      <c r="E17447" s="60">
        <v>3650</v>
      </c>
      <c r="F17447" s="60"/>
      <c r="G17447" s="132">
        <f t="shared" si="363"/>
        <v>-3650</v>
      </c>
      <c r="H17447" s="718" t="s">
        <v>11645</v>
      </c>
    </row>
    <row r="17448" spans="1:8" ht="15" x14ac:dyDescent="0.2">
      <c r="A17448" s="747">
        <v>45243</v>
      </c>
      <c r="B17448" s="43" t="s">
        <v>11427</v>
      </c>
      <c r="C17448" s="65" t="s">
        <v>11108</v>
      </c>
      <c r="D17448" s="807" t="s">
        <v>11150</v>
      </c>
      <c r="E17448" s="60">
        <v>1840</v>
      </c>
      <c r="F17448" s="60"/>
      <c r="G17448" s="132">
        <f t="shared" si="363"/>
        <v>-1840</v>
      </c>
      <c r="H17448" s="718" t="s">
        <v>11645</v>
      </c>
    </row>
    <row r="17449" spans="1:8" ht="15" x14ac:dyDescent="0.2">
      <c r="A17449" s="747">
        <v>45243</v>
      </c>
      <c r="B17449" s="43" t="s">
        <v>11022</v>
      </c>
      <c r="C17449" s="65" t="s">
        <v>11108</v>
      </c>
      <c r="D17449" s="807" t="s">
        <v>11793</v>
      </c>
      <c r="E17449" s="60">
        <v>58000</v>
      </c>
      <c r="F17449" s="60"/>
      <c r="G17449" s="132">
        <f t="shared" si="363"/>
        <v>-58000</v>
      </c>
      <c r="H17449" s="718" t="s">
        <v>11645</v>
      </c>
    </row>
    <row r="17450" spans="1:8" ht="15" x14ac:dyDescent="0.2">
      <c r="A17450" s="747">
        <v>45243</v>
      </c>
      <c r="B17450" s="43" t="s">
        <v>11568</v>
      </c>
      <c r="C17450" s="65" t="s">
        <v>5791</v>
      </c>
      <c r="D17450" s="807" t="s">
        <v>372</v>
      </c>
      <c r="E17450" s="60">
        <v>1000</v>
      </c>
      <c r="F17450" s="60"/>
      <c r="G17450" s="132">
        <f t="shared" si="363"/>
        <v>-1000</v>
      </c>
      <c r="H17450" s="718" t="s">
        <v>11645</v>
      </c>
    </row>
    <row r="17451" spans="1:8" ht="15" x14ac:dyDescent="0.2">
      <c r="A17451" s="747">
        <v>45243</v>
      </c>
      <c r="B17451" s="43" t="s">
        <v>11022</v>
      </c>
      <c r="C17451" s="65" t="s">
        <v>5791</v>
      </c>
      <c r="D17451" s="807" t="s">
        <v>372</v>
      </c>
      <c r="E17451" s="60">
        <v>1600</v>
      </c>
      <c r="F17451" s="60"/>
      <c r="G17451" s="132">
        <f t="shared" si="363"/>
        <v>-1600</v>
      </c>
      <c r="H17451" s="718" t="s">
        <v>11645</v>
      </c>
    </row>
    <row r="17452" spans="1:8" ht="15" x14ac:dyDescent="0.2">
      <c r="A17452" s="747">
        <v>45243</v>
      </c>
      <c r="B17452" s="43" t="s">
        <v>11022</v>
      </c>
      <c r="C17452" s="65" t="s">
        <v>11172</v>
      </c>
      <c r="D17452" s="807" t="s">
        <v>11794</v>
      </c>
      <c r="E17452" s="60">
        <v>20000</v>
      </c>
      <c r="F17452" s="60"/>
      <c r="G17452" s="132">
        <f t="shared" si="363"/>
        <v>-20000</v>
      </c>
      <c r="H17452" s="718" t="s">
        <v>11645</v>
      </c>
    </row>
    <row r="17453" spans="1:8" ht="15" x14ac:dyDescent="0.2">
      <c r="A17453" s="747">
        <v>45243</v>
      </c>
      <c r="B17453" s="43" t="s">
        <v>9516</v>
      </c>
      <c r="C17453" s="65" t="s">
        <v>11108</v>
      </c>
      <c r="D17453" s="807" t="s">
        <v>11795</v>
      </c>
      <c r="E17453" s="60">
        <v>8000</v>
      </c>
      <c r="F17453" s="60"/>
      <c r="G17453" s="132">
        <f t="shared" si="363"/>
        <v>-8000</v>
      </c>
      <c r="H17453" s="718" t="s">
        <v>11645</v>
      </c>
    </row>
    <row r="17454" spans="1:8" ht="15" x14ac:dyDescent="0.2">
      <c r="A17454" s="747">
        <v>45243</v>
      </c>
      <c r="B17454" s="43" t="s">
        <v>11427</v>
      </c>
      <c r="C17454" s="65" t="s">
        <v>11108</v>
      </c>
      <c r="D17454" s="807" t="s">
        <v>11795</v>
      </c>
      <c r="E17454" s="60">
        <v>47470</v>
      </c>
      <c r="F17454" s="60"/>
      <c r="G17454" s="132">
        <f t="shared" si="363"/>
        <v>-47470</v>
      </c>
      <c r="H17454" s="718" t="s">
        <v>11645</v>
      </c>
    </row>
    <row r="17455" spans="1:8" ht="15" x14ac:dyDescent="0.2">
      <c r="A17455" s="747">
        <v>45243</v>
      </c>
      <c r="B17455" s="43" t="s">
        <v>25</v>
      </c>
      <c r="C17455" s="65" t="s">
        <v>7669</v>
      </c>
      <c r="D17455" s="807" t="s">
        <v>11802</v>
      </c>
      <c r="E17455" s="60">
        <v>80000</v>
      </c>
      <c r="F17455" s="60"/>
      <c r="G17455" s="132">
        <f t="shared" si="363"/>
        <v>-80000</v>
      </c>
      <c r="H17455" s="718" t="s">
        <v>11645</v>
      </c>
    </row>
    <row r="17456" spans="1:8" ht="15" x14ac:dyDescent="0.2">
      <c r="A17456" s="747">
        <v>45244</v>
      </c>
      <c r="B17456" s="43" t="s">
        <v>11254</v>
      </c>
      <c r="C17456" s="65" t="s">
        <v>11815</v>
      </c>
      <c r="D17456" s="807" t="s">
        <v>10025</v>
      </c>
      <c r="E17456" s="60">
        <v>10000</v>
      </c>
      <c r="F17456" s="60"/>
      <c r="G17456" s="132">
        <f t="shared" ref="G17456:G17479" si="364">F17456-E17456</f>
        <v>-10000</v>
      </c>
      <c r="H17456" s="718" t="s">
        <v>11645</v>
      </c>
    </row>
    <row r="17457" spans="1:8" ht="15" x14ac:dyDescent="0.2">
      <c r="A17457" s="747">
        <v>45244</v>
      </c>
      <c r="B17457" s="43" t="s">
        <v>11207</v>
      </c>
      <c r="C17457" s="65" t="s">
        <v>11108</v>
      </c>
      <c r="D17457" s="807" t="s">
        <v>11816</v>
      </c>
      <c r="E17457" s="60">
        <v>1500</v>
      </c>
      <c r="F17457" s="60"/>
      <c r="G17457" s="132">
        <f t="shared" si="364"/>
        <v>-1500</v>
      </c>
      <c r="H17457" s="718" t="s">
        <v>11645</v>
      </c>
    </row>
    <row r="17458" spans="1:8" ht="15" x14ac:dyDescent="0.2">
      <c r="A17458" s="747">
        <v>45244</v>
      </c>
      <c r="B17458" s="43" t="s">
        <v>10582</v>
      </c>
      <c r="C17458" s="65" t="s">
        <v>11108</v>
      </c>
      <c r="D17458" s="807" t="s">
        <v>11817</v>
      </c>
      <c r="E17458" s="60">
        <v>750</v>
      </c>
      <c r="F17458" s="60"/>
      <c r="G17458" s="132">
        <f t="shared" si="364"/>
        <v>-750</v>
      </c>
      <c r="H17458" s="718" t="s">
        <v>11645</v>
      </c>
    </row>
    <row r="17459" spans="1:8" ht="15" x14ac:dyDescent="0.2">
      <c r="A17459" s="747">
        <v>45244</v>
      </c>
      <c r="B17459" s="43" t="s">
        <v>10582</v>
      </c>
      <c r="C17459" s="65" t="s">
        <v>11108</v>
      </c>
      <c r="D17459" s="807" t="s">
        <v>11818</v>
      </c>
      <c r="E17459" s="60">
        <v>1500</v>
      </c>
      <c r="F17459" s="60"/>
      <c r="G17459" s="132">
        <f t="shared" si="364"/>
        <v>-1500</v>
      </c>
      <c r="H17459" s="718" t="s">
        <v>11645</v>
      </c>
    </row>
    <row r="17460" spans="1:8" ht="15" x14ac:dyDescent="0.2">
      <c r="A17460" s="747">
        <v>45244</v>
      </c>
      <c r="B17460" s="43" t="s">
        <v>103</v>
      </c>
      <c r="C17460" s="65" t="s">
        <v>103</v>
      </c>
      <c r="D17460" s="807" t="s">
        <v>10321</v>
      </c>
      <c r="E17460" s="60">
        <v>4000</v>
      </c>
      <c r="F17460" s="60"/>
      <c r="G17460" s="132">
        <f t="shared" si="364"/>
        <v>-4000</v>
      </c>
      <c r="H17460" s="718" t="s">
        <v>11645</v>
      </c>
    </row>
    <row r="17461" spans="1:8" ht="15" x14ac:dyDescent="0.2">
      <c r="A17461" s="747">
        <v>45244</v>
      </c>
      <c r="B17461" s="43" t="s">
        <v>11022</v>
      </c>
      <c r="C17461" s="65" t="s">
        <v>5791</v>
      </c>
      <c r="D17461" s="807" t="s">
        <v>372</v>
      </c>
      <c r="E17461" s="60">
        <v>800</v>
      </c>
      <c r="F17461" s="60"/>
      <c r="G17461" s="132">
        <f t="shared" si="364"/>
        <v>-800</v>
      </c>
      <c r="H17461" s="718" t="s">
        <v>11645</v>
      </c>
    </row>
    <row r="17462" spans="1:8" ht="15" x14ac:dyDescent="0.2">
      <c r="A17462" s="747">
        <v>45244</v>
      </c>
      <c r="B17462" s="43" t="s">
        <v>11022</v>
      </c>
      <c r="C17462" s="65" t="s">
        <v>5791</v>
      </c>
      <c r="D17462" s="807" t="s">
        <v>372</v>
      </c>
      <c r="E17462" s="60">
        <v>2000</v>
      </c>
      <c r="F17462" s="60"/>
      <c r="G17462" s="132">
        <f t="shared" si="364"/>
        <v>-2000</v>
      </c>
      <c r="H17462" s="718" t="s">
        <v>11645</v>
      </c>
    </row>
    <row r="17463" spans="1:8" ht="15" x14ac:dyDescent="0.2">
      <c r="A17463" s="747">
        <v>45244</v>
      </c>
      <c r="B17463" s="43" t="s">
        <v>11022</v>
      </c>
      <c r="C17463" s="65" t="s">
        <v>5791</v>
      </c>
      <c r="D17463" s="807" t="s">
        <v>10448</v>
      </c>
      <c r="E17463" s="60">
        <v>950</v>
      </c>
      <c r="F17463" s="60"/>
      <c r="G17463" s="132">
        <f t="shared" si="364"/>
        <v>-950</v>
      </c>
      <c r="H17463" s="718" t="s">
        <v>11645</v>
      </c>
    </row>
    <row r="17464" spans="1:8" ht="15" x14ac:dyDescent="0.2">
      <c r="A17464" s="747">
        <v>45244</v>
      </c>
      <c r="B17464" s="43" t="s">
        <v>11022</v>
      </c>
      <c r="C17464" s="65" t="s">
        <v>11108</v>
      </c>
      <c r="D17464" s="807" t="s">
        <v>11819</v>
      </c>
      <c r="E17464" s="60">
        <v>1200</v>
      </c>
      <c r="F17464" s="60"/>
      <c r="G17464" s="132">
        <f t="shared" si="364"/>
        <v>-1200</v>
      </c>
      <c r="H17464" s="718" t="s">
        <v>11645</v>
      </c>
    </row>
    <row r="17465" spans="1:8" ht="15" x14ac:dyDescent="0.2">
      <c r="A17465" s="747">
        <v>45244</v>
      </c>
      <c r="B17465" s="43" t="s">
        <v>10342</v>
      </c>
      <c r="C17465" s="65" t="s">
        <v>5791</v>
      </c>
      <c r="D17465" s="807" t="s">
        <v>372</v>
      </c>
      <c r="E17465" s="60">
        <v>3000</v>
      </c>
      <c r="F17465" s="60"/>
      <c r="G17465" s="132">
        <f t="shared" si="364"/>
        <v>-3000</v>
      </c>
      <c r="H17465" s="718" t="s">
        <v>11645</v>
      </c>
    </row>
    <row r="17466" spans="1:8" ht="15" x14ac:dyDescent="0.2">
      <c r="A17466" s="747">
        <v>45244</v>
      </c>
      <c r="B17466" s="43" t="s">
        <v>11758</v>
      </c>
      <c r="C17466" s="65" t="s">
        <v>11108</v>
      </c>
      <c r="D17466" s="807" t="s">
        <v>11820</v>
      </c>
      <c r="E17466" s="60">
        <v>11200</v>
      </c>
      <c r="F17466" s="60"/>
      <c r="G17466" s="132">
        <f t="shared" si="364"/>
        <v>-11200</v>
      </c>
      <c r="H17466" s="718" t="s">
        <v>11645</v>
      </c>
    </row>
    <row r="17467" spans="1:8" ht="15" x14ac:dyDescent="0.2">
      <c r="A17467" s="747">
        <v>45245</v>
      </c>
      <c r="B17467" s="43" t="s">
        <v>25</v>
      </c>
      <c r="C17467" s="65" t="s">
        <v>394</v>
      </c>
      <c r="D17467" s="807" t="s">
        <v>11821</v>
      </c>
      <c r="E17467" s="60">
        <v>1500</v>
      </c>
      <c r="F17467" s="60"/>
      <c r="G17467" s="132">
        <f t="shared" si="364"/>
        <v>-1500</v>
      </c>
      <c r="H17467" s="718" t="s">
        <v>11645</v>
      </c>
    </row>
    <row r="17468" spans="1:8" ht="15" x14ac:dyDescent="0.2">
      <c r="A17468" s="747">
        <v>45245</v>
      </c>
      <c r="B17468" s="43" t="s">
        <v>11427</v>
      </c>
      <c r="C17468" s="65" t="s">
        <v>10173</v>
      </c>
      <c r="D17468" s="807" t="s">
        <v>6987</v>
      </c>
      <c r="E17468" s="60">
        <v>50000</v>
      </c>
      <c r="F17468" s="60"/>
      <c r="G17468" s="132">
        <f t="shared" si="364"/>
        <v>-50000</v>
      </c>
      <c r="H17468" s="718" t="s">
        <v>11645</v>
      </c>
    </row>
    <row r="17469" spans="1:8" ht="15" x14ac:dyDescent="0.2">
      <c r="A17469" s="747">
        <v>45245</v>
      </c>
      <c r="B17469" s="43" t="s">
        <v>11022</v>
      </c>
      <c r="C17469" s="65" t="s">
        <v>5791</v>
      </c>
      <c r="D17469" s="807" t="s">
        <v>372</v>
      </c>
      <c r="E17469" s="60">
        <v>3000</v>
      </c>
      <c r="F17469" s="60"/>
      <c r="G17469" s="132">
        <f t="shared" si="364"/>
        <v>-3000</v>
      </c>
      <c r="H17469" s="718" t="s">
        <v>11645</v>
      </c>
    </row>
    <row r="17470" spans="1:8" ht="15" x14ac:dyDescent="0.2">
      <c r="A17470" s="747">
        <v>45245</v>
      </c>
      <c r="B17470" s="43" t="s">
        <v>103</v>
      </c>
      <c r="C17470" s="65" t="s">
        <v>103</v>
      </c>
      <c r="D17470" s="807" t="s">
        <v>10321</v>
      </c>
      <c r="E17470" s="60">
        <v>4000</v>
      </c>
      <c r="F17470" s="60"/>
      <c r="G17470" s="132">
        <f t="shared" si="364"/>
        <v>-4000</v>
      </c>
      <c r="H17470" s="718" t="s">
        <v>11645</v>
      </c>
    </row>
    <row r="17471" spans="1:8" ht="15" x14ac:dyDescent="0.2">
      <c r="A17471" s="747">
        <v>45245</v>
      </c>
      <c r="B17471" s="43" t="s">
        <v>11022</v>
      </c>
      <c r="C17471" s="65" t="s">
        <v>11108</v>
      </c>
      <c r="D17471" s="807" t="s">
        <v>11822</v>
      </c>
      <c r="E17471" s="60">
        <v>15000</v>
      </c>
      <c r="F17471" s="60"/>
      <c r="G17471" s="132">
        <f t="shared" si="364"/>
        <v>-15000</v>
      </c>
      <c r="H17471" s="718" t="s">
        <v>11645</v>
      </c>
    </row>
    <row r="17472" spans="1:8" ht="15" x14ac:dyDescent="0.2">
      <c r="A17472" s="747">
        <v>45245</v>
      </c>
      <c r="B17472" s="43" t="s">
        <v>11022</v>
      </c>
      <c r="C17472" s="65" t="s">
        <v>11108</v>
      </c>
      <c r="D17472" s="807" t="s">
        <v>11820</v>
      </c>
      <c r="E17472" s="60">
        <v>13500</v>
      </c>
      <c r="F17472" s="60"/>
      <c r="G17472" s="132">
        <f t="shared" si="364"/>
        <v>-13500</v>
      </c>
      <c r="H17472" s="718" t="s">
        <v>11645</v>
      </c>
    </row>
    <row r="17473" spans="1:8" ht="15" x14ac:dyDescent="0.2">
      <c r="A17473" s="747">
        <v>45245</v>
      </c>
      <c r="B17473" s="43" t="s">
        <v>11022</v>
      </c>
      <c r="C17473" s="65" t="s">
        <v>11108</v>
      </c>
      <c r="D17473" s="807" t="s">
        <v>11823</v>
      </c>
      <c r="E17473" s="60">
        <v>7200</v>
      </c>
      <c r="F17473" s="60"/>
      <c r="G17473" s="132">
        <f t="shared" si="364"/>
        <v>-7200</v>
      </c>
      <c r="H17473" s="718" t="s">
        <v>11645</v>
      </c>
    </row>
    <row r="17474" spans="1:8" ht="15" x14ac:dyDescent="0.2">
      <c r="A17474" s="747">
        <v>45245</v>
      </c>
      <c r="B17474" s="43" t="s">
        <v>10342</v>
      </c>
      <c r="C17474" s="65" t="s">
        <v>11108</v>
      </c>
      <c r="D17474" s="807" t="s">
        <v>3601</v>
      </c>
      <c r="E17474" s="60">
        <v>600</v>
      </c>
      <c r="F17474" s="60"/>
      <c r="G17474" s="132">
        <f t="shared" si="364"/>
        <v>-600</v>
      </c>
      <c r="H17474" s="718" t="s">
        <v>11645</v>
      </c>
    </row>
    <row r="17475" spans="1:8" ht="15" x14ac:dyDescent="0.2">
      <c r="A17475" s="747">
        <v>45245</v>
      </c>
      <c r="B17475" s="43" t="s">
        <v>11022</v>
      </c>
      <c r="C17475" s="65" t="s">
        <v>11108</v>
      </c>
      <c r="D17475" s="807" t="s">
        <v>11824</v>
      </c>
      <c r="E17475" s="60">
        <v>2250</v>
      </c>
      <c r="F17475" s="60"/>
      <c r="G17475" s="132">
        <f t="shared" si="364"/>
        <v>-2250</v>
      </c>
      <c r="H17475" s="718" t="s">
        <v>11645</v>
      </c>
    </row>
    <row r="17476" spans="1:8" ht="15" x14ac:dyDescent="0.2">
      <c r="A17476" s="747">
        <v>45245</v>
      </c>
      <c r="B17476" s="43" t="s">
        <v>11748</v>
      </c>
      <c r="C17476" s="65" t="s">
        <v>11749</v>
      </c>
      <c r="D17476" s="807" t="s">
        <v>1164</v>
      </c>
      <c r="E17476" s="60">
        <v>15000</v>
      </c>
      <c r="F17476" s="60"/>
      <c r="G17476" s="132">
        <f t="shared" si="364"/>
        <v>-15000</v>
      </c>
      <c r="H17476" s="718" t="s">
        <v>11645</v>
      </c>
    </row>
    <row r="17477" spans="1:8" ht="15" x14ac:dyDescent="0.2">
      <c r="A17477" s="747">
        <v>45245</v>
      </c>
      <c r="B17477" s="43" t="s">
        <v>11758</v>
      </c>
      <c r="C17477" s="65" t="s">
        <v>5791</v>
      </c>
      <c r="D17477" s="807" t="s">
        <v>372</v>
      </c>
      <c r="E17477" s="60">
        <v>3000</v>
      </c>
      <c r="F17477" s="60"/>
      <c r="G17477" s="132">
        <f t="shared" si="364"/>
        <v>-3000</v>
      </c>
      <c r="H17477" s="718" t="s">
        <v>11645</v>
      </c>
    </row>
    <row r="17478" spans="1:8" ht="15" x14ac:dyDescent="0.2">
      <c r="A17478" s="747">
        <v>45245</v>
      </c>
      <c r="B17478" s="43" t="s">
        <v>11022</v>
      </c>
      <c r="C17478" s="65" t="s">
        <v>11658</v>
      </c>
      <c r="D17478" s="807" t="s">
        <v>10833</v>
      </c>
      <c r="E17478" s="60">
        <v>150000</v>
      </c>
      <c r="F17478" s="60"/>
      <c r="G17478" s="132">
        <f t="shared" si="364"/>
        <v>-150000</v>
      </c>
      <c r="H17478" s="718" t="s">
        <v>11645</v>
      </c>
    </row>
    <row r="17479" spans="1:8" ht="15" x14ac:dyDescent="0.2">
      <c r="A17479" s="747">
        <v>45245</v>
      </c>
      <c r="B17479" s="43" t="s">
        <v>11633</v>
      </c>
      <c r="C17479" s="65" t="s">
        <v>11108</v>
      </c>
      <c r="D17479" s="807" t="s">
        <v>11825</v>
      </c>
      <c r="E17479" s="60">
        <v>22600</v>
      </c>
      <c r="F17479" s="60"/>
      <c r="G17479" s="132">
        <f t="shared" si="364"/>
        <v>-22600</v>
      </c>
      <c r="H17479" s="718" t="s">
        <v>11645</v>
      </c>
    </row>
    <row r="17480" spans="1:8" ht="15" x14ac:dyDescent="0.2">
      <c r="A17480" s="747">
        <v>45246</v>
      </c>
      <c r="B17480" s="43" t="s">
        <v>25</v>
      </c>
      <c r="C17480" s="65" t="s">
        <v>8230</v>
      </c>
      <c r="D17480" s="807" t="s">
        <v>11826</v>
      </c>
      <c r="E17480" s="60">
        <v>2000</v>
      </c>
      <c r="F17480" s="60"/>
      <c r="G17480" s="132">
        <f t="shared" ref="G17480:G17483" si="365">F17480-E17480</f>
        <v>-2000</v>
      </c>
      <c r="H17480" s="718" t="s">
        <v>11645</v>
      </c>
    </row>
    <row r="17481" spans="1:8" ht="15" x14ac:dyDescent="0.2">
      <c r="A17481" s="747">
        <v>45246</v>
      </c>
      <c r="B17481" s="43" t="s">
        <v>103</v>
      </c>
      <c r="C17481" s="65" t="s">
        <v>8230</v>
      </c>
      <c r="D17481" s="807" t="s">
        <v>11826</v>
      </c>
      <c r="E17481" s="60">
        <v>8700</v>
      </c>
      <c r="F17481" s="60"/>
      <c r="G17481" s="132">
        <f t="shared" si="365"/>
        <v>-8700</v>
      </c>
      <c r="H17481" s="718" t="s">
        <v>11645</v>
      </c>
    </row>
    <row r="17482" spans="1:8" ht="15" x14ac:dyDescent="0.2">
      <c r="A17482" s="747">
        <v>45246</v>
      </c>
      <c r="B17482" s="43" t="s">
        <v>10096</v>
      </c>
      <c r="C17482" s="65" t="s">
        <v>10448</v>
      </c>
      <c r="D17482" s="807" t="s">
        <v>372</v>
      </c>
      <c r="E17482" s="60">
        <v>350</v>
      </c>
      <c r="F17482" s="60"/>
      <c r="G17482" s="132">
        <f t="shared" si="365"/>
        <v>-350</v>
      </c>
      <c r="H17482" s="718" t="s">
        <v>11645</v>
      </c>
    </row>
    <row r="17483" spans="1:8" ht="15" x14ac:dyDescent="0.2">
      <c r="A17483" s="747">
        <v>45247</v>
      </c>
      <c r="B17483" s="43" t="s">
        <v>11254</v>
      </c>
      <c r="C17483" s="65" t="s">
        <v>11815</v>
      </c>
      <c r="D17483" s="807" t="s">
        <v>10025</v>
      </c>
      <c r="E17483" s="60">
        <v>10000</v>
      </c>
      <c r="F17483" s="60"/>
      <c r="G17483" s="132">
        <f t="shared" si="365"/>
        <v>-10000</v>
      </c>
      <c r="H17483" s="718" t="s">
        <v>11645</v>
      </c>
    </row>
    <row r="17484" spans="1:8" ht="15" x14ac:dyDescent="0.2">
      <c r="A17484" s="747">
        <v>45247</v>
      </c>
      <c r="B17484" s="43" t="s">
        <v>11022</v>
      </c>
      <c r="C17484" s="65" t="s">
        <v>11108</v>
      </c>
      <c r="D17484" s="807" t="s">
        <v>11845</v>
      </c>
      <c r="E17484" s="60">
        <v>65000</v>
      </c>
      <c r="F17484" s="60"/>
      <c r="G17484" s="132">
        <f t="shared" ref="G17484:G17495" si="366">F17484-E17484</f>
        <v>-65000</v>
      </c>
      <c r="H17484" s="718" t="s">
        <v>11645</v>
      </c>
    </row>
    <row r="17485" spans="1:8" ht="15" x14ac:dyDescent="0.2">
      <c r="A17485" s="747">
        <v>45247</v>
      </c>
      <c r="B17485" s="43" t="s">
        <v>11022</v>
      </c>
      <c r="C17485" s="65" t="s">
        <v>11108</v>
      </c>
      <c r="D17485" s="807" t="s">
        <v>11846</v>
      </c>
      <c r="E17485" s="60">
        <v>4000</v>
      </c>
      <c r="F17485" s="60"/>
      <c r="G17485" s="132">
        <f t="shared" si="366"/>
        <v>-4000</v>
      </c>
      <c r="H17485" s="718" t="s">
        <v>11645</v>
      </c>
    </row>
    <row r="17486" spans="1:8" ht="15" x14ac:dyDescent="0.2">
      <c r="A17486" s="747">
        <v>45247</v>
      </c>
      <c r="B17486" s="43" t="s">
        <v>11022</v>
      </c>
      <c r="C17486" s="65" t="s">
        <v>11108</v>
      </c>
      <c r="D17486" s="807" t="s">
        <v>11847</v>
      </c>
      <c r="E17486" s="60">
        <v>11200</v>
      </c>
      <c r="F17486" s="60"/>
      <c r="G17486" s="132">
        <f t="shared" si="366"/>
        <v>-11200</v>
      </c>
      <c r="H17486" s="718" t="s">
        <v>11645</v>
      </c>
    </row>
    <row r="17487" spans="1:8" ht="15" x14ac:dyDescent="0.2">
      <c r="A17487" s="747">
        <v>45247</v>
      </c>
      <c r="B17487" s="43" t="s">
        <v>11022</v>
      </c>
      <c r="C17487" s="65" t="s">
        <v>11108</v>
      </c>
      <c r="D17487" s="807" t="s">
        <v>11848</v>
      </c>
      <c r="E17487" s="60">
        <v>5720</v>
      </c>
      <c r="F17487" s="60"/>
      <c r="G17487" s="132">
        <f t="shared" si="366"/>
        <v>-5720</v>
      </c>
      <c r="H17487" s="718" t="s">
        <v>11645</v>
      </c>
    </row>
    <row r="17488" spans="1:8" ht="15" x14ac:dyDescent="0.2">
      <c r="A17488" s="747">
        <v>45247</v>
      </c>
      <c r="B17488" s="43" t="s">
        <v>11746</v>
      </c>
      <c r="C17488" s="65" t="s">
        <v>11108</v>
      </c>
      <c r="D17488" s="807" t="s">
        <v>11849</v>
      </c>
      <c r="E17488" s="60">
        <v>6480</v>
      </c>
      <c r="F17488" s="60"/>
      <c r="G17488" s="132">
        <f t="shared" si="366"/>
        <v>-6480</v>
      </c>
      <c r="H17488" s="718" t="s">
        <v>11645</v>
      </c>
    </row>
    <row r="17489" spans="1:8" ht="15" x14ac:dyDescent="0.2">
      <c r="A17489" s="747">
        <v>45247</v>
      </c>
      <c r="B17489" s="43" t="s">
        <v>11746</v>
      </c>
      <c r="C17489" s="65" t="s">
        <v>11850</v>
      </c>
      <c r="D17489" s="807" t="s">
        <v>11851</v>
      </c>
      <c r="E17489" s="60">
        <v>14400</v>
      </c>
      <c r="F17489" s="60"/>
      <c r="G17489" s="132">
        <f t="shared" si="366"/>
        <v>-14400</v>
      </c>
      <c r="H17489" s="718" t="s">
        <v>11645</v>
      </c>
    </row>
    <row r="17490" spans="1:8" ht="15" x14ac:dyDescent="0.2">
      <c r="A17490" s="747">
        <v>45248</v>
      </c>
      <c r="B17490" s="43" t="s">
        <v>11746</v>
      </c>
      <c r="C17490" s="65" t="s">
        <v>5791</v>
      </c>
      <c r="D17490" s="807" t="s">
        <v>372</v>
      </c>
      <c r="E17490" s="60">
        <v>2000</v>
      </c>
      <c r="F17490" s="60"/>
      <c r="G17490" s="132">
        <f t="shared" si="366"/>
        <v>-2000</v>
      </c>
      <c r="H17490" s="718" t="s">
        <v>11645</v>
      </c>
    </row>
    <row r="17491" spans="1:8" ht="15" x14ac:dyDescent="0.2">
      <c r="A17491" s="747">
        <v>45248</v>
      </c>
      <c r="B17491" s="43" t="s">
        <v>11022</v>
      </c>
      <c r="C17491" s="65" t="s">
        <v>5791</v>
      </c>
      <c r="D17491" s="807" t="s">
        <v>372</v>
      </c>
      <c r="E17491" s="60">
        <v>1250</v>
      </c>
      <c r="F17491" s="60"/>
      <c r="G17491" s="132">
        <f t="shared" si="366"/>
        <v>-1250</v>
      </c>
      <c r="H17491" s="718" t="s">
        <v>11645</v>
      </c>
    </row>
    <row r="17492" spans="1:8" ht="15" x14ac:dyDescent="0.2">
      <c r="A17492" s="747">
        <v>45248</v>
      </c>
      <c r="B17492" s="43" t="s">
        <v>3979</v>
      </c>
      <c r="C17492" s="65" t="s">
        <v>799</v>
      </c>
      <c r="D17492" s="807" t="s">
        <v>11852</v>
      </c>
      <c r="E17492" s="60">
        <v>5000</v>
      </c>
      <c r="F17492" s="60"/>
      <c r="G17492" s="132">
        <f t="shared" si="366"/>
        <v>-5000</v>
      </c>
      <c r="H17492" s="718" t="s">
        <v>11645</v>
      </c>
    </row>
    <row r="17493" spans="1:8" ht="15" x14ac:dyDescent="0.2">
      <c r="A17493" s="747">
        <v>45248</v>
      </c>
      <c r="B17493" s="43" t="s">
        <v>10582</v>
      </c>
      <c r="C17493" s="65" t="s">
        <v>9568</v>
      </c>
      <c r="D17493" s="807" t="s">
        <v>1164</v>
      </c>
      <c r="E17493" s="60">
        <v>20000</v>
      </c>
      <c r="F17493" s="60"/>
      <c r="G17493" s="132">
        <f t="shared" si="366"/>
        <v>-20000</v>
      </c>
      <c r="H17493" s="718" t="s">
        <v>11645</v>
      </c>
    </row>
    <row r="17494" spans="1:8" ht="15" x14ac:dyDescent="0.2">
      <c r="A17494" s="747">
        <v>45248</v>
      </c>
      <c r="B17494" s="43" t="s">
        <v>11853</v>
      </c>
      <c r="C17494" s="65" t="s">
        <v>11108</v>
      </c>
      <c r="D17494" s="807" t="s">
        <v>11854</v>
      </c>
      <c r="E17494" s="60">
        <v>42000</v>
      </c>
      <c r="F17494" s="60"/>
      <c r="G17494" s="132">
        <f t="shared" si="366"/>
        <v>-42000</v>
      </c>
      <c r="H17494" s="718" t="s">
        <v>11645</v>
      </c>
    </row>
    <row r="17495" spans="1:8" ht="15" x14ac:dyDescent="0.2">
      <c r="A17495" s="747">
        <v>45248</v>
      </c>
      <c r="B17495" s="43" t="s">
        <v>11022</v>
      </c>
      <c r="C17495" s="679" t="s">
        <v>11108</v>
      </c>
      <c r="D17495" s="928" t="s">
        <v>11855</v>
      </c>
      <c r="E17495" s="594">
        <v>8640</v>
      </c>
      <c r="F17495" s="60"/>
      <c r="G17495" s="132">
        <f t="shared" si="366"/>
        <v>-8640</v>
      </c>
      <c r="H17495" s="718" t="s">
        <v>11645</v>
      </c>
    </row>
    <row r="17496" spans="1:8" ht="15" x14ac:dyDescent="0.2">
      <c r="A17496" s="747">
        <v>45248</v>
      </c>
      <c r="B17496" s="43" t="s">
        <v>10688</v>
      </c>
      <c r="C17496" s="679" t="s">
        <v>11108</v>
      </c>
      <c r="D17496" s="928" t="s">
        <v>11855</v>
      </c>
      <c r="E17496" s="594">
        <v>8640</v>
      </c>
      <c r="F17496" s="60"/>
      <c r="G17496" s="132">
        <f t="shared" ref="G17496:G17500" si="367">F17496-E17496</f>
        <v>-8640</v>
      </c>
      <c r="H17496" s="718" t="s">
        <v>11645</v>
      </c>
    </row>
    <row r="17497" spans="1:8" ht="15" x14ac:dyDescent="0.2">
      <c r="A17497" s="747">
        <v>45248</v>
      </c>
      <c r="B17497" s="43" t="s">
        <v>10342</v>
      </c>
      <c r="C17497" s="679" t="s">
        <v>11108</v>
      </c>
      <c r="D17497" s="928" t="s">
        <v>11855</v>
      </c>
      <c r="E17497" s="594">
        <v>8640</v>
      </c>
      <c r="F17497" s="60"/>
      <c r="G17497" s="132">
        <f t="shared" si="367"/>
        <v>-8640</v>
      </c>
      <c r="H17497" s="718" t="s">
        <v>11645</v>
      </c>
    </row>
    <row r="17498" spans="1:8" ht="15" x14ac:dyDescent="0.2">
      <c r="A17498" s="747">
        <v>45248</v>
      </c>
      <c r="B17498" s="43" t="s">
        <v>11022</v>
      </c>
      <c r="C17498" s="560" t="s">
        <v>11108</v>
      </c>
      <c r="D17498" s="920" t="s">
        <v>11856</v>
      </c>
      <c r="E17498" s="592">
        <v>13000</v>
      </c>
      <c r="F17498" s="60"/>
      <c r="G17498" s="132">
        <f t="shared" si="367"/>
        <v>-13000</v>
      </c>
      <c r="H17498" s="718" t="s">
        <v>11645</v>
      </c>
    </row>
    <row r="17499" spans="1:8" ht="15" x14ac:dyDescent="0.2">
      <c r="A17499" s="747">
        <v>45248</v>
      </c>
      <c r="B17499" s="43" t="s">
        <v>10688</v>
      </c>
      <c r="C17499" s="560" t="s">
        <v>11108</v>
      </c>
      <c r="D17499" s="920" t="s">
        <v>11856</v>
      </c>
      <c r="E17499" s="592">
        <v>13000</v>
      </c>
      <c r="F17499" s="60"/>
      <c r="G17499" s="132">
        <f t="shared" si="367"/>
        <v>-13000</v>
      </c>
      <c r="H17499" s="718" t="s">
        <v>11645</v>
      </c>
    </row>
    <row r="17500" spans="1:8" ht="15" x14ac:dyDescent="0.2">
      <c r="A17500" s="747">
        <v>45248</v>
      </c>
      <c r="B17500" s="43" t="s">
        <v>10342</v>
      </c>
      <c r="C17500" s="560" t="s">
        <v>11108</v>
      </c>
      <c r="D17500" s="920" t="s">
        <v>11856</v>
      </c>
      <c r="E17500" s="592">
        <v>13000</v>
      </c>
      <c r="F17500" s="60"/>
      <c r="G17500" s="132">
        <f t="shared" si="367"/>
        <v>-13000</v>
      </c>
      <c r="H17500" s="718" t="s">
        <v>11645</v>
      </c>
    </row>
    <row r="17501" spans="1:8" ht="15" x14ac:dyDescent="0.2">
      <c r="A17501" s="747">
        <v>45248</v>
      </c>
      <c r="B17501" s="43" t="s">
        <v>11022</v>
      </c>
      <c r="C17501" s="65" t="s">
        <v>11108</v>
      </c>
      <c r="D17501" s="807" t="s">
        <v>11857</v>
      </c>
      <c r="E17501" s="60">
        <v>29320</v>
      </c>
      <c r="F17501" s="60"/>
      <c r="G17501" s="132">
        <f t="shared" ref="G17501:G17507" si="368">F17501-E17501</f>
        <v>-29320</v>
      </c>
      <c r="H17501" s="718" t="s">
        <v>11645</v>
      </c>
    </row>
    <row r="17502" spans="1:8" ht="15" x14ac:dyDescent="0.2">
      <c r="A17502" s="747">
        <v>45248</v>
      </c>
      <c r="B17502" s="43" t="s">
        <v>11022</v>
      </c>
      <c r="C17502" s="65" t="s">
        <v>11108</v>
      </c>
      <c r="D17502" s="807" t="s">
        <v>11858</v>
      </c>
      <c r="E17502" s="60">
        <v>4300</v>
      </c>
      <c r="F17502" s="60"/>
      <c r="G17502" s="132">
        <f t="shared" si="368"/>
        <v>-4300</v>
      </c>
      <c r="H17502" s="718" t="s">
        <v>11645</v>
      </c>
    </row>
    <row r="17503" spans="1:8" ht="15" x14ac:dyDescent="0.2">
      <c r="A17503" s="747">
        <v>45248</v>
      </c>
      <c r="B17503" s="43" t="s">
        <v>11022</v>
      </c>
      <c r="C17503" s="65" t="s">
        <v>11108</v>
      </c>
      <c r="D17503" s="807" t="s">
        <v>11859</v>
      </c>
      <c r="E17503" s="60">
        <v>1250</v>
      </c>
      <c r="F17503" s="60"/>
      <c r="G17503" s="132">
        <f t="shared" si="368"/>
        <v>-1250</v>
      </c>
      <c r="H17503" s="718" t="s">
        <v>11645</v>
      </c>
    </row>
    <row r="17504" spans="1:8" ht="15" x14ac:dyDescent="0.2">
      <c r="A17504" s="747">
        <v>45248</v>
      </c>
      <c r="B17504" s="43" t="s">
        <v>11853</v>
      </c>
      <c r="C17504" s="65" t="s">
        <v>11108</v>
      </c>
      <c r="D17504" s="807" t="s">
        <v>11860</v>
      </c>
      <c r="E17504" s="60">
        <v>4730</v>
      </c>
      <c r="F17504" s="60"/>
      <c r="G17504" s="132">
        <f t="shared" si="368"/>
        <v>-4730</v>
      </c>
      <c r="H17504" s="718" t="s">
        <v>11645</v>
      </c>
    </row>
    <row r="17505" spans="1:8" ht="15" x14ac:dyDescent="0.2">
      <c r="A17505" s="747">
        <v>45248</v>
      </c>
      <c r="B17505" s="43" t="s">
        <v>11853</v>
      </c>
      <c r="C17505" s="65" t="s">
        <v>11108</v>
      </c>
      <c r="D17505" s="807" t="s">
        <v>11861</v>
      </c>
      <c r="E17505" s="60">
        <v>18000</v>
      </c>
      <c r="F17505" s="60"/>
      <c r="G17505" s="132">
        <f t="shared" si="368"/>
        <v>-18000</v>
      </c>
      <c r="H17505" s="718" t="s">
        <v>11645</v>
      </c>
    </row>
    <row r="17506" spans="1:8" ht="15" x14ac:dyDescent="0.2">
      <c r="A17506" s="747">
        <v>45248</v>
      </c>
      <c r="B17506" s="43" t="s">
        <v>11022</v>
      </c>
      <c r="C17506" s="65" t="s">
        <v>5791</v>
      </c>
      <c r="D17506" s="807" t="s">
        <v>10448</v>
      </c>
      <c r="E17506" s="60">
        <v>300</v>
      </c>
      <c r="F17506" s="60"/>
      <c r="G17506" s="132">
        <f t="shared" si="368"/>
        <v>-300</v>
      </c>
      <c r="H17506" s="718" t="s">
        <v>11645</v>
      </c>
    </row>
    <row r="17507" spans="1:8" ht="15" x14ac:dyDescent="0.2">
      <c r="A17507" s="747">
        <v>45250</v>
      </c>
      <c r="B17507" s="43" t="s">
        <v>11022</v>
      </c>
      <c r="C17507" s="65" t="s">
        <v>394</v>
      </c>
      <c r="D17507" s="807" t="s">
        <v>11862</v>
      </c>
      <c r="E17507" s="60">
        <v>5000</v>
      </c>
      <c r="F17507" s="60"/>
      <c r="G17507" s="132">
        <f t="shared" si="368"/>
        <v>-5000</v>
      </c>
      <c r="H17507" s="718" t="s">
        <v>11645</v>
      </c>
    </row>
    <row r="17508" spans="1:8" ht="15" x14ac:dyDescent="0.2">
      <c r="A17508" s="747">
        <v>45250</v>
      </c>
      <c r="B17508" s="43" t="s">
        <v>11863</v>
      </c>
      <c r="C17508" s="65" t="s">
        <v>799</v>
      </c>
      <c r="D17508" s="807" t="s">
        <v>11864</v>
      </c>
      <c r="E17508" s="60">
        <v>2260</v>
      </c>
      <c r="F17508" s="60"/>
      <c r="G17508" s="132">
        <f t="shared" ref="G17508:G17517" si="369">F17508-E17508</f>
        <v>-2260</v>
      </c>
      <c r="H17508" s="718" t="s">
        <v>11645</v>
      </c>
    </row>
    <row r="17509" spans="1:8" ht="15" x14ac:dyDescent="0.2">
      <c r="A17509" s="747">
        <v>45250</v>
      </c>
      <c r="B17509" s="43" t="s">
        <v>11863</v>
      </c>
      <c r="C17509" s="65" t="s">
        <v>394</v>
      </c>
      <c r="D17509" s="807" t="s">
        <v>11865</v>
      </c>
      <c r="E17509" s="60">
        <v>1350</v>
      </c>
      <c r="F17509" s="60"/>
      <c r="G17509" s="132">
        <f t="shared" si="369"/>
        <v>-1350</v>
      </c>
      <c r="H17509" s="718" t="s">
        <v>11645</v>
      </c>
    </row>
    <row r="17510" spans="1:8" ht="15" x14ac:dyDescent="0.2">
      <c r="A17510" s="747">
        <v>45250</v>
      </c>
      <c r="B17510" s="43" t="s">
        <v>11863</v>
      </c>
      <c r="C17510" s="65" t="s">
        <v>799</v>
      </c>
      <c r="D17510" s="807" t="s">
        <v>11866</v>
      </c>
      <c r="E17510" s="60">
        <v>2100</v>
      </c>
      <c r="F17510" s="60"/>
      <c r="G17510" s="132">
        <f t="shared" si="369"/>
        <v>-2100</v>
      </c>
      <c r="H17510" s="718" t="s">
        <v>11645</v>
      </c>
    </row>
    <row r="17511" spans="1:8" s="695" customFormat="1" ht="36" x14ac:dyDescent="0.25">
      <c r="A17511" s="747">
        <v>45247</v>
      </c>
      <c r="B17511" s="65" t="s">
        <v>10582</v>
      </c>
      <c r="C17511" s="560" t="s">
        <v>1519</v>
      </c>
      <c r="D17511" s="753" t="s">
        <v>11867</v>
      </c>
      <c r="E17511" s="561">
        <v>40000</v>
      </c>
      <c r="F17511" s="132"/>
      <c r="G17511" s="132">
        <f t="shared" si="369"/>
        <v>-40000</v>
      </c>
      <c r="H17511" s="718" t="s">
        <v>11645</v>
      </c>
    </row>
    <row r="17512" spans="1:8" s="695" customFormat="1" ht="36" x14ac:dyDescent="0.25">
      <c r="A17512" s="747">
        <v>45247</v>
      </c>
      <c r="B17512" s="65" t="s">
        <v>10490</v>
      </c>
      <c r="C17512" s="560" t="s">
        <v>1519</v>
      </c>
      <c r="D17512" s="753" t="s">
        <v>11867</v>
      </c>
      <c r="E17512" s="561">
        <v>30000</v>
      </c>
      <c r="F17512" s="132"/>
      <c r="G17512" s="132">
        <f t="shared" si="369"/>
        <v>-30000</v>
      </c>
      <c r="H17512" s="718" t="s">
        <v>11645</v>
      </c>
    </row>
    <row r="17513" spans="1:8" s="695" customFormat="1" ht="36" x14ac:dyDescent="0.25">
      <c r="A17513" s="747">
        <v>45247</v>
      </c>
      <c r="B17513" s="65" t="s">
        <v>11676</v>
      </c>
      <c r="C17513" s="560" t="s">
        <v>1519</v>
      </c>
      <c r="D17513" s="753" t="s">
        <v>11867</v>
      </c>
      <c r="E17513" s="561">
        <v>188000</v>
      </c>
      <c r="F17513" s="132"/>
      <c r="G17513" s="132">
        <f t="shared" si="369"/>
        <v>-188000</v>
      </c>
      <c r="H17513" s="718" t="s">
        <v>11645</v>
      </c>
    </row>
    <row r="17514" spans="1:8" ht="15" x14ac:dyDescent="0.2">
      <c r="A17514" s="747">
        <v>45247</v>
      </c>
      <c r="B17514" s="43" t="s">
        <v>11758</v>
      </c>
      <c r="C17514" s="679" t="s">
        <v>11868</v>
      </c>
      <c r="D17514" s="928" t="s">
        <v>11869</v>
      </c>
      <c r="E17514" s="594">
        <v>72000</v>
      </c>
      <c r="F17514" s="60"/>
      <c r="G17514" s="132">
        <f t="shared" si="369"/>
        <v>-72000</v>
      </c>
      <c r="H17514" s="718" t="s">
        <v>11645</v>
      </c>
    </row>
    <row r="17515" spans="1:8" ht="15" x14ac:dyDescent="0.2">
      <c r="A17515" s="747">
        <v>45247</v>
      </c>
      <c r="B17515" s="43" t="s">
        <v>11022</v>
      </c>
      <c r="C17515" s="679" t="s">
        <v>11868</v>
      </c>
      <c r="D17515" s="928" t="s">
        <v>11869</v>
      </c>
      <c r="E17515" s="594">
        <v>103000</v>
      </c>
      <c r="F17515" s="60"/>
      <c r="G17515" s="132">
        <f t="shared" si="369"/>
        <v>-103000</v>
      </c>
      <c r="H17515" s="718" t="s">
        <v>11645</v>
      </c>
    </row>
    <row r="17516" spans="1:8" ht="15" x14ac:dyDescent="0.2">
      <c r="A17516" s="747">
        <v>45247</v>
      </c>
      <c r="B17516" s="43" t="s">
        <v>11568</v>
      </c>
      <c r="C17516" s="679" t="s">
        <v>11868</v>
      </c>
      <c r="D17516" s="928" t="s">
        <v>11869</v>
      </c>
      <c r="E17516" s="594">
        <v>24000</v>
      </c>
      <c r="F17516" s="60"/>
      <c r="G17516" s="132">
        <f t="shared" si="369"/>
        <v>-24000</v>
      </c>
      <c r="H17516" s="718" t="s">
        <v>11645</v>
      </c>
    </row>
    <row r="17517" spans="1:8" ht="15" x14ac:dyDescent="0.2">
      <c r="A17517" s="747">
        <v>45247</v>
      </c>
      <c r="B17517" s="43" t="s">
        <v>10342</v>
      </c>
      <c r="C17517" s="679" t="s">
        <v>11868</v>
      </c>
      <c r="D17517" s="928" t="s">
        <v>11869</v>
      </c>
      <c r="E17517" s="594">
        <v>50000</v>
      </c>
      <c r="F17517" s="60"/>
      <c r="G17517" s="132">
        <f t="shared" si="369"/>
        <v>-50000</v>
      </c>
      <c r="H17517" s="718" t="s">
        <v>11645</v>
      </c>
    </row>
    <row r="17518" spans="1:8" ht="15" x14ac:dyDescent="0.2">
      <c r="A17518" s="747">
        <v>45248</v>
      </c>
      <c r="B17518" s="43" t="s">
        <v>11568</v>
      </c>
      <c r="C17518" s="65" t="s">
        <v>11577</v>
      </c>
      <c r="D17518" s="807" t="s">
        <v>11874</v>
      </c>
      <c r="E17518" s="60">
        <v>450000</v>
      </c>
      <c r="F17518" s="60"/>
      <c r="G17518" s="132">
        <f t="shared" ref="G17518:G17525" si="370">F17518-E17518</f>
        <v>-450000</v>
      </c>
      <c r="H17518" s="718" t="s">
        <v>11645</v>
      </c>
    </row>
    <row r="17519" spans="1:8" ht="15" x14ac:dyDescent="0.2">
      <c r="A17519" s="747">
        <v>45248</v>
      </c>
      <c r="B17519" s="43" t="s">
        <v>10582</v>
      </c>
      <c r="C17519" s="65" t="s">
        <v>11577</v>
      </c>
      <c r="D17519" s="807" t="s">
        <v>11874</v>
      </c>
      <c r="E17519" s="60">
        <v>417730</v>
      </c>
      <c r="F17519" s="60"/>
      <c r="G17519" s="132">
        <f t="shared" si="370"/>
        <v>-417730</v>
      </c>
      <c r="H17519" s="718" t="s">
        <v>11645</v>
      </c>
    </row>
    <row r="17520" spans="1:8" ht="15" x14ac:dyDescent="0.2">
      <c r="A17520" s="747">
        <v>45248</v>
      </c>
      <c r="B17520" s="43" t="s">
        <v>10096</v>
      </c>
      <c r="C17520" s="65" t="s">
        <v>11577</v>
      </c>
      <c r="D17520" s="807" t="s">
        <v>11878</v>
      </c>
      <c r="E17520" s="60">
        <v>735690</v>
      </c>
      <c r="F17520" s="60"/>
      <c r="G17520" s="132">
        <f t="shared" si="370"/>
        <v>-735690</v>
      </c>
      <c r="H17520" s="718" t="s">
        <v>11645</v>
      </c>
    </row>
    <row r="17521" spans="1:8" ht="15" x14ac:dyDescent="0.2">
      <c r="A17521" s="747">
        <v>45248</v>
      </c>
      <c r="B17521" s="43" t="s">
        <v>10342</v>
      </c>
      <c r="C17521" s="65" t="s">
        <v>11879</v>
      </c>
      <c r="D17521" s="807" t="s">
        <v>11880</v>
      </c>
      <c r="E17521" s="60">
        <v>16000</v>
      </c>
      <c r="F17521" s="60"/>
      <c r="G17521" s="132">
        <f t="shared" si="370"/>
        <v>-16000</v>
      </c>
      <c r="H17521" s="718" t="s">
        <v>11645</v>
      </c>
    </row>
    <row r="17522" spans="1:8" ht="15" x14ac:dyDescent="0.2">
      <c r="A17522" s="747">
        <v>45248</v>
      </c>
      <c r="B17522" s="43" t="s">
        <v>11758</v>
      </c>
      <c r="C17522" s="560" t="s">
        <v>11108</v>
      </c>
      <c r="D17522" s="920" t="s">
        <v>11881</v>
      </c>
      <c r="E17522" s="592">
        <v>61333</v>
      </c>
      <c r="F17522" s="60"/>
      <c r="G17522" s="132">
        <f t="shared" si="370"/>
        <v>-61333</v>
      </c>
      <c r="H17522" s="718" t="s">
        <v>11645</v>
      </c>
    </row>
    <row r="17523" spans="1:8" ht="15" x14ac:dyDescent="0.2">
      <c r="A17523" s="747">
        <v>45248</v>
      </c>
      <c r="B17523" s="43" t="s">
        <v>11022</v>
      </c>
      <c r="C17523" s="560" t="s">
        <v>11108</v>
      </c>
      <c r="D17523" s="920" t="s">
        <v>11881</v>
      </c>
      <c r="E17523" s="592">
        <v>61333</v>
      </c>
      <c r="F17523" s="60"/>
      <c r="G17523" s="132">
        <f t="shared" si="370"/>
        <v>-61333</v>
      </c>
      <c r="H17523" s="718" t="s">
        <v>11645</v>
      </c>
    </row>
    <row r="17524" spans="1:8" ht="15" x14ac:dyDescent="0.2">
      <c r="A17524" s="747">
        <v>45248</v>
      </c>
      <c r="B17524" s="43" t="s">
        <v>10342</v>
      </c>
      <c r="C17524" s="560" t="s">
        <v>11108</v>
      </c>
      <c r="D17524" s="920" t="s">
        <v>11881</v>
      </c>
      <c r="E17524" s="592">
        <v>61334</v>
      </c>
      <c r="F17524" s="60"/>
      <c r="G17524" s="132">
        <f t="shared" si="370"/>
        <v>-61334</v>
      </c>
      <c r="H17524" s="718" t="s">
        <v>11645</v>
      </c>
    </row>
    <row r="17525" spans="1:8" ht="15" x14ac:dyDescent="0.2">
      <c r="A17525" s="747">
        <v>45248</v>
      </c>
      <c r="B17525" s="43" t="s">
        <v>11022</v>
      </c>
      <c r="C17525" s="65" t="s">
        <v>11108</v>
      </c>
      <c r="D17525" s="807" t="s">
        <v>11882</v>
      </c>
      <c r="E17525" s="60">
        <v>6000</v>
      </c>
      <c r="F17525" s="60"/>
      <c r="G17525" s="132">
        <f t="shared" si="370"/>
        <v>-6000</v>
      </c>
      <c r="H17525" s="718" t="s">
        <v>11645</v>
      </c>
    </row>
    <row r="17526" spans="1:8" ht="15" x14ac:dyDescent="0.2">
      <c r="A17526" s="747">
        <v>45248</v>
      </c>
      <c r="B17526" s="43" t="s">
        <v>11758</v>
      </c>
      <c r="C17526" s="560" t="s">
        <v>11108</v>
      </c>
      <c r="D17526" s="920" t="s">
        <v>11883</v>
      </c>
      <c r="E17526" s="592">
        <v>19667</v>
      </c>
      <c r="F17526" s="60"/>
      <c r="G17526" s="132">
        <f t="shared" ref="G17526:G17529" si="371">F17526-E17526</f>
        <v>-19667</v>
      </c>
      <c r="H17526" s="718" t="s">
        <v>11645</v>
      </c>
    </row>
    <row r="17527" spans="1:8" ht="15" x14ac:dyDescent="0.2">
      <c r="A17527" s="747">
        <v>45248</v>
      </c>
      <c r="B17527" s="43" t="s">
        <v>11022</v>
      </c>
      <c r="C17527" s="560" t="s">
        <v>11108</v>
      </c>
      <c r="D17527" s="920" t="s">
        <v>11883</v>
      </c>
      <c r="E17527" s="592">
        <v>19667</v>
      </c>
      <c r="F17527" s="60"/>
      <c r="G17527" s="132">
        <f t="shared" si="371"/>
        <v>-19667</v>
      </c>
      <c r="H17527" s="718" t="s">
        <v>11645</v>
      </c>
    </row>
    <row r="17528" spans="1:8" ht="15" x14ac:dyDescent="0.2">
      <c r="A17528" s="747">
        <v>45248</v>
      </c>
      <c r="B17528" s="43" t="s">
        <v>10342</v>
      </c>
      <c r="C17528" s="560" t="s">
        <v>11108</v>
      </c>
      <c r="D17528" s="920" t="s">
        <v>11883</v>
      </c>
      <c r="E17528" s="592">
        <v>19666</v>
      </c>
      <c r="F17528" s="60"/>
      <c r="G17528" s="132">
        <f t="shared" si="371"/>
        <v>-19666</v>
      </c>
      <c r="H17528" s="718" t="s">
        <v>11645</v>
      </c>
    </row>
    <row r="17529" spans="1:8" ht="15" x14ac:dyDescent="0.2">
      <c r="A17529" s="747">
        <v>45248</v>
      </c>
      <c r="B17529" s="43" t="s">
        <v>11633</v>
      </c>
      <c r="C17529" s="65" t="s">
        <v>11884</v>
      </c>
      <c r="D17529" s="807" t="s">
        <v>6543</v>
      </c>
      <c r="E17529" s="60">
        <v>8900</v>
      </c>
      <c r="F17529" s="60"/>
      <c r="G17529" s="132">
        <f t="shared" si="371"/>
        <v>-8900</v>
      </c>
      <c r="H17529" s="718" t="s">
        <v>11645</v>
      </c>
    </row>
    <row r="17530" spans="1:8" ht="15" x14ac:dyDescent="0.2">
      <c r="A17530" s="747">
        <v>45250</v>
      </c>
      <c r="B17530" s="43" t="s">
        <v>9463</v>
      </c>
      <c r="C17530" s="560" t="s">
        <v>11888</v>
      </c>
      <c r="D17530" s="920" t="s">
        <v>11887</v>
      </c>
      <c r="E17530" s="592">
        <v>234213</v>
      </c>
      <c r="F17530" s="60"/>
      <c r="G17530" s="132">
        <f t="shared" ref="G17530:G17534" si="372">F17530-E17530</f>
        <v>-234213</v>
      </c>
      <c r="H17530" s="718" t="s">
        <v>11645</v>
      </c>
    </row>
    <row r="17531" spans="1:8" ht="15" x14ac:dyDescent="0.2">
      <c r="A17531" s="747">
        <v>45250</v>
      </c>
      <c r="B17531" s="43" t="s">
        <v>11211</v>
      </c>
      <c r="C17531" s="560" t="s">
        <v>11888</v>
      </c>
      <c r="D17531" s="920" t="s">
        <v>11887</v>
      </c>
      <c r="E17531" s="592">
        <v>163580</v>
      </c>
      <c r="F17531" s="60"/>
      <c r="G17531" s="132">
        <f t="shared" ref="G17531:G17532" si="373">F17531-E17531</f>
        <v>-163580</v>
      </c>
      <c r="H17531" s="718" t="s">
        <v>11645</v>
      </c>
    </row>
    <row r="17532" spans="1:8" ht="15" x14ac:dyDescent="0.2">
      <c r="A17532" s="747">
        <v>45250</v>
      </c>
      <c r="B17532" s="43" t="s">
        <v>10096</v>
      </c>
      <c r="C17532" s="560" t="s">
        <v>11888</v>
      </c>
      <c r="D17532" s="920" t="s">
        <v>11887</v>
      </c>
      <c r="E17532" s="592">
        <v>102207</v>
      </c>
      <c r="F17532" s="60"/>
      <c r="G17532" s="132">
        <f t="shared" si="373"/>
        <v>-102207</v>
      </c>
      <c r="H17532" s="718" t="s">
        <v>11645</v>
      </c>
    </row>
    <row r="17533" spans="1:8" ht="15" x14ac:dyDescent="0.2">
      <c r="A17533" s="747">
        <v>45250</v>
      </c>
      <c r="B17533" s="43" t="s">
        <v>103</v>
      </c>
      <c r="C17533" s="65" t="s">
        <v>103</v>
      </c>
      <c r="D17533" s="807" t="s">
        <v>11885</v>
      </c>
      <c r="E17533" s="60">
        <v>5000</v>
      </c>
      <c r="F17533" s="60"/>
      <c r="G17533" s="132">
        <f t="shared" si="372"/>
        <v>-5000</v>
      </c>
      <c r="H17533" s="718" t="s">
        <v>11645</v>
      </c>
    </row>
    <row r="17534" spans="1:8" ht="15" x14ac:dyDescent="0.2">
      <c r="A17534" s="747">
        <v>45250</v>
      </c>
      <c r="B17534" s="43" t="s">
        <v>11022</v>
      </c>
      <c r="C17534" s="65" t="s">
        <v>11108</v>
      </c>
      <c r="D17534" s="807" t="s">
        <v>11886</v>
      </c>
      <c r="E17534" s="60">
        <v>110000</v>
      </c>
      <c r="F17534" s="60"/>
      <c r="G17534" s="132">
        <f t="shared" si="372"/>
        <v>-110000</v>
      </c>
      <c r="H17534" s="718" t="s">
        <v>11645</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11645</v>
      </c>
    </row>
    <row r="17536" spans="1:8" ht="15" x14ac:dyDescent="0.2">
      <c r="A17536" s="747">
        <v>45250</v>
      </c>
      <c r="B17536" s="43" t="s">
        <v>11758</v>
      </c>
      <c r="C17536" s="65" t="s">
        <v>5791</v>
      </c>
      <c r="D17536" s="807" t="s">
        <v>372</v>
      </c>
      <c r="E17536" s="60">
        <v>5200</v>
      </c>
      <c r="F17536" s="60"/>
      <c r="G17536" s="132">
        <f t="shared" si="374"/>
        <v>-5200</v>
      </c>
      <c r="H17536" s="718" t="s">
        <v>11645</v>
      </c>
    </row>
    <row r="17537" spans="1:8" ht="15" x14ac:dyDescent="0.2">
      <c r="A17537" s="747">
        <v>45250</v>
      </c>
      <c r="B17537" s="43" t="s">
        <v>11568</v>
      </c>
      <c r="C17537" s="65" t="s">
        <v>10595</v>
      </c>
      <c r="D17537" s="807" t="s">
        <v>11889</v>
      </c>
      <c r="E17537" s="60">
        <v>760000</v>
      </c>
      <c r="F17537" s="60"/>
      <c r="G17537" s="132">
        <f t="shared" si="374"/>
        <v>-760000</v>
      </c>
      <c r="H17537" s="718" t="s">
        <v>11645</v>
      </c>
    </row>
    <row r="17538" spans="1:8" ht="15" x14ac:dyDescent="0.2">
      <c r="A17538" s="747">
        <v>45250</v>
      </c>
      <c r="B17538" s="43" t="s">
        <v>11022</v>
      </c>
      <c r="C17538" s="65" t="s">
        <v>11408</v>
      </c>
      <c r="D17538" s="807" t="s">
        <v>11889</v>
      </c>
      <c r="E17538" s="60">
        <v>50000</v>
      </c>
      <c r="F17538" s="60"/>
      <c r="G17538" s="132">
        <f t="shared" si="374"/>
        <v>-50000</v>
      </c>
      <c r="H17538" s="718" t="s">
        <v>11645</v>
      </c>
    </row>
    <row r="17539" spans="1:8" ht="15" x14ac:dyDescent="0.2">
      <c r="A17539" s="747">
        <v>45250</v>
      </c>
      <c r="B17539" s="43" t="s">
        <v>11568</v>
      </c>
      <c r="C17539" s="65" t="s">
        <v>11682</v>
      </c>
      <c r="D17539" s="807" t="s">
        <v>11905</v>
      </c>
      <c r="E17539" s="60">
        <v>50000</v>
      </c>
      <c r="F17539" s="60"/>
      <c r="G17539" s="132">
        <f t="shared" si="374"/>
        <v>-50000</v>
      </c>
      <c r="H17539" s="718" t="s">
        <v>11645</v>
      </c>
    </row>
    <row r="17540" spans="1:8" ht="15" x14ac:dyDescent="0.2">
      <c r="A17540" s="747">
        <v>45250</v>
      </c>
      <c r="B17540" s="43" t="s">
        <v>3979</v>
      </c>
      <c r="C17540" s="560" t="s">
        <v>302</v>
      </c>
      <c r="D17540" s="920" t="s">
        <v>11890</v>
      </c>
      <c r="E17540" s="592">
        <v>130000</v>
      </c>
      <c r="F17540" s="60"/>
      <c r="G17540" s="132">
        <f t="shared" ref="G17540:G17542" si="375">F17540-E17540</f>
        <v>-130000</v>
      </c>
      <c r="H17540" s="718" t="s">
        <v>11645</v>
      </c>
    </row>
    <row r="17541" spans="1:8" ht="15" x14ac:dyDescent="0.2">
      <c r="A17541" s="747">
        <v>45250</v>
      </c>
      <c r="B17541" s="43" t="s">
        <v>3978</v>
      </c>
      <c r="C17541" s="560" t="s">
        <v>302</v>
      </c>
      <c r="D17541" s="920" t="s">
        <v>11890</v>
      </c>
      <c r="E17541" s="592">
        <v>130000</v>
      </c>
      <c r="F17541" s="60"/>
      <c r="G17541" s="132">
        <f t="shared" si="375"/>
        <v>-130000</v>
      </c>
      <c r="H17541" s="718" t="s">
        <v>11645</v>
      </c>
    </row>
    <row r="17542" spans="1:8" ht="15" x14ac:dyDescent="0.2">
      <c r="A17542" s="747">
        <v>45250</v>
      </c>
      <c r="B17542" s="43" t="s">
        <v>37</v>
      </c>
      <c r="C17542" s="560" t="s">
        <v>302</v>
      </c>
      <c r="D17542" s="920" t="s">
        <v>11890</v>
      </c>
      <c r="E17542" s="592">
        <v>130000</v>
      </c>
      <c r="F17542" s="60"/>
      <c r="G17542" s="132">
        <f t="shared" si="375"/>
        <v>-130000</v>
      </c>
      <c r="H17542" s="718" t="s">
        <v>11645</v>
      </c>
    </row>
    <row r="17543" spans="1:8" ht="15" x14ac:dyDescent="0.2">
      <c r="A17543" s="747">
        <v>45251</v>
      </c>
      <c r="B17543" s="43" t="s">
        <v>25</v>
      </c>
      <c r="C17543" s="65" t="s">
        <v>7669</v>
      </c>
      <c r="D17543" s="807" t="s">
        <v>11891</v>
      </c>
      <c r="E17543" s="60">
        <v>50000</v>
      </c>
      <c r="F17543" s="60"/>
      <c r="G17543" s="132">
        <f t="shared" ref="G17543:G17544" si="376">F17543-E17543</f>
        <v>-50000</v>
      </c>
      <c r="H17543" s="718" t="s">
        <v>11645</v>
      </c>
    </row>
    <row r="17544" spans="1:8" ht="15" x14ac:dyDescent="0.2">
      <c r="A17544" s="747">
        <v>45251</v>
      </c>
      <c r="B17544" s="43" t="s">
        <v>11022</v>
      </c>
      <c r="C17544" s="65" t="s">
        <v>288</v>
      </c>
      <c r="D17544" s="807" t="s">
        <v>11892</v>
      </c>
      <c r="E17544" s="60">
        <v>15000</v>
      </c>
      <c r="F17544" s="60"/>
      <c r="G17544" s="132">
        <f t="shared" si="376"/>
        <v>-15000</v>
      </c>
      <c r="H17544" s="718" t="s">
        <v>11645</v>
      </c>
    </row>
    <row r="17545" spans="1:8" ht="15" x14ac:dyDescent="0.2">
      <c r="A17545" s="747">
        <v>45251</v>
      </c>
      <c r="B17545" s="43" t="s">
        <v>10342</v>
      </c>
      <c r="C17545" s="65" t="s">
        <v>288</v>
      </c>
      <c r="D17545" s="807" t="s">
        <v>11892</v>
      </c>
      <c r="E17545" s="60">
        <v>15000</v>
      </c>
      <c r="F17545" s="60"/>
      <c r="G17545" s="132">
        <f t="shared" ref="G17545:G17549" si="377">F17545-E17545</f>
        <v>-15000</v>
      </c>
      <c r="H17545" s="718" t="s">
        <v>11645</v>
      </c>
    </row>
    <row r="17546" spans="1:8" ht="15" x14ac:dyDescent="0.2">
      <c r="A17546" s="747">
        <v>45251</v>
      </c>
      <c r="B17546" s="43" t="s">
        <v>9463</v>
      </c>
      <c r="C17546" s="65" t="s">
        <v>288</v>
      </c>
      <c r="D17546" s="807" t="s">
        <v>11892</v>
      </c>
      <c r="E17546" s="60">
        <v>15000</v>
      </c>
      <c r="F17546" s="60"/>
      <c r="G17546" s="132">
        <f t="shared" si="377"/>
        <v>-15000</v>
      </c>
      <c r="H17546" s="718" t="s">
        <v>11645</v>
      </c>
    </row>
    <row r="17547" spans="1:8" ht="15" x14ac:dyDescent="0.2">
      <c r="A17547" s="747">
        <v>45251</v>
      </c>
      <c r="B17547" s="43" t="s">
        <v>11022</v>
      </c>
      <c r="C17547" s="65" t="s">
        <v>2819</v>
      </c>
      <c r="D17547" s="807" t="s">
        <v>11893</v>
      </c>
      <c r="E17547" s="60">
        <v>5000</v>
      </c>
      <c r="F17547" s="60"/>
      <c r="G17547" s="132">
        <f t="shared" si="377"/>
        <v>-5000</v>
      </c>
      <c r="H17547" s="718" t="s">
        <v>11645</v>
      </c>
    </row>
    <row r="17548" spans="1:8" ht="15" x14ac:dyDescent="0.2">
      <c r="A17548" s="747">
        <v>45251</v>
      </c>
      <c r="B17548" s="43" t="s">
        <v>10342</v>
      </c>
      <c r="C17548" s="65" t="s">
        <v>2819</v>
      </c>
      <c r="D17548" s="807" t="s">
        <v>11893</v>
      </c>
      <c r="E17548" s="60">
        <v>5000</v>
      </c>
      <c r="F17548" s="60"/>
      <c r="G17548" s="132">
        <f t="shared" si="377"/>
        <v>-5000</v>
      </c>
      <c r="H17548" s="718" t="s">
        <v>11645</v>
      </c>
    </row>
    <row r="17549" spans="1:8" ht="15" x14ac:dyDescent="0.2">
      <c r="A17549" s="747">
        <v>45251</v>
      </c>
      <c r="B17549" s="43" t="s">
        <v>9463</v>
      </c>
      <c r="C17549" s="65" t="s">
        <v>2819</v>
      </c>
      <c r="D17549" s="807" t="s">
        <v>11893</v>
      </c>
      <c r="E17549" s="60">
        <v>5000</v>
      </c>
      <c r="F17549" s="60"/>
      <c r="G17549" s="132">
        <f t="shared" si="377"/>
        <v>-5000</v>
      </c>
      <c r="H17549" s="718" t="s">
        <v>11645</v>
      </c>
    </row>
    <row r="17550" spans="1:8" ht="15" x14ac:dyDescent="0.2">
      <c r="A17550" s="747">
        <v>45251</v>
      </c>
      <c r="B17550" s="43" t="s">
        <v>11022</v>
      </c>
      <c r="C17550" s="65" t="s">
        <v>11108</v>
      </c>
      <c r="D17550" s="807" t="s">
        <v>11894</v>
      </c>
      <c r="E17550" s="60">
        <v>13400</v>
      </c>
      <c r="F17550" s="60"/>
      <c r="G17550" s="132">
        <f t="shared" ref="G17550:G17563" si="378">F17550-E17550</f>
        <v>-13400</v>
      </c>
      <c r="H17550" s="718" t="s">
        <v>11645</v>
      </c>
    </row>
    <row r="17551" spans="1:8" ht="15" x14ac:dyDescent="0.2">
      <c r="A17551" s="747">
        <v>45251</v>
      </c>
      <c r="B17551" s="43" t="s">
        <v>11758</v>
      </c>
      <c r="C17551" s="65" t="s">
        <v>11108</v>
      </c>
      <c r="D17551" s="807" t="s">
        <v>11895</v>
      </c>
      <c r="E17551" s="60">
        <v>6000</v>
      </c>
      <c r="F17551" s="60"/>
      <c r="G17551" s="132">
        <f t="shared" si="378"/>
        <v>-6000</v>
      </c>
      <c r="H17551" s="718" t="s">
        <v>11645</v>
      </c>
    </row>
    <row r="17552" spans="1:8" ht="15" x14ac:dyDescent="0.2">
      <c r="A17552" s="747">
        <v>45251</v>
      </c>
      <c r="B17552" s="43" t="s">
        <v>11022</v>
      </c>
      <c r="C17552" s="65" t="s">
        <v>5791</v>
      </c>
      <c r="D17552" s="807" t="s">
        <v>372</v>
      </c>
      <c r="E17552" s="60">
        <v>1500</v>
      </c>
      <c r="F17552" s="60"/>
      <c r="G17552" s="132">
        <f t="shared" si="378"/>
        <v>-1500</v>
      </c>
      <c r="H17552" s="718" t="s">
        <v>11645</v>
      </c>
    </row>
    <row r="17553" spans="1:8" ht="15" x14ac:dyDescent="0.2">
      <c r="A17553" s="747">
        <v>45251</v>
      </c>
      <c r="B17553" s="43" t="s">
        <v>11022</v>
      </c>
      <c r="C17553" s="65" t="s">
        <v>288</v>
      </c>
      <c r="D17553" s="807" t="s">
        <v>8758</v>
      </c>
      <c r="E17553" s="60">
        <v>1000</v>
      </c>
      <c r="F17553" s="60"/>
      <c r="G17553" s="132">
        <f t="shared" si="378"/>
        <v>-1000</v>
      </c>
      <c r="H17553" s="718" t="s">
        <v>11645</v>
      </c>
    </row>
    <row r="17554" spans="1:8" ht="15" x14ac:dyDescent="0.2">
      <c r="A17554" s="747">
        <v>45251</v>
      </c>
      <c r="B17554" s="43" t="s">
        <v>9463</v>
      </c>
      <c r="C17554" s="65" t="s">
        <v>5791</v>
      </c>
      <c r="D17554" s="807" t="s">
        <v>372</v>
      </c>
      <c r="E17554" s="60">
        <v>1000</v>
      </c>
      <c r="F17554" s="60"/>
      <c r="G17554" s="132">
        <f t="shared" si="378"/>
        <v>-1000</v>
      </c>
      <c r="H17554" s="718" t="s">
        <v>11645</v>
      </c>
    </row>
    <row r="17555" spans="1:8" ht="15" x14ac:dyDescent="0.2">
      <c r="A17555" s="747">
        <v>45251</v>
      </c>
      <c r="B17555" s="43" t="s">
        <v>103</v>
      </c>
      <c r="C17555" s="65" t="s">
        <v>103</v>
      </c>
      <c r="D17555" s="807" t="s">
        <v>11896</v>
      </c>
      <c r="E17555" s="60">
        <v>5000</v>
      </c>
      <c r="F17555" s="60"/>
      <c r="G17555" s="132">
        <f t="shared" si="378"/>
        <v>-5000</v>
      </c>
      <c r="H17555" s="718" t="s">
        <v>11645</v>
      </c>
    </row>
    <row r="17556" spans="1:8" ht="15" x14ac:dyDescent="0.2">
      <c r="A17556" s="747">
        <v>45251</v>
      </c>
      <c r="B17556" s="43" t="s">
        <v>11207</v>
      </c>
      <c r="C17556" s="65" t="s">
        <v>11897</v>
      </c>
      <c r="D17556" s="807" t="s">
        <v>11898</v>
      </c>
      <c r="E17556" s="60">
        <v>87000</v>
      </c>
      <c r="F17556" s="60"/>
      <c r="G17556" s="132">
        <f t="shared" si="378"/>
        <v>-87000</v>
      </c>
      <c r="H17556" s="718" t="s">
        <v>11645</v>
      </c>
    </row>
    <row r="17557" spans="1:8" ht="15" x14ac:dyDescent="0.2">
      <c r="A17557" s="747">
        <v>45251</v>
      </c>
      <c r="B17557" s="43" t="s">
        <v>11207</v>
      </c>
      <c r="C17557" s="65" t="s">
        <v>5791</v>
      </c>
      <c r="D17557" s="807" t="s">
        <v>372</v>
      </c>
      <c r="E17557" s="60">
        <v>1500</v>
      </c>
      <c r="F17557" s="60"/>
      <c r="G17557" s="132">
        <f t="shared" si="378"/>
        <v>-1500</v>
      </c>
      <c r="H17557" s="718" t="s">
        <v>11645</v>
      </c>
    </row>
    <row r="17558" spans="1:8" ht="15" x14ac:dyDescent="0.2">
      <c r="A17558" s="747">
        <v>45251</v>
      </c>
      <c r="B17558" s="43" t="s">
        <v>11022</v>
      </c>
      <c r="C17558" s="65" t="s">
        <v>5791</v>
      </c>
      <c r="D17558" s="807" t="s">
        <v>372</v>
      </c>
      <c r="E17558" s="60">
        <v>650</v>
      </c>
      <c r="F17558" s="60"/>
      <c r="G17558" s="132">
        <f t="shared" si="378"/>
        <v>-650</v>
      </c>
      <c r="H17558" s="718" t="s">
        <v>11645</v>
      </c>
    </row>
    <row r="17559" spans="1:8" ht="15" x14ac:dyDescent="0.2">
      <c r="A17559" s="747">
        <v>45251</v>
      </c>
      <c r="B17559" s="43" t="s">
        <v>10342</v>
      </c>
      <c r="C17559" s="560" t="s">
        <v>258</v>
      </c>
      <c r="D17559" s="920" t="s">
        <v>11902</v>
      </c>
      <c r="E17559" s="592">
        <v>107660</v>
      </c>
      <c r="F17559" s="60"/>
      <c r="G17559" s="132">
        <f t="shared" ref="G17559:G17561" si="379">F17559-E17559</f>
        <v>-107660</v>
      </c>
      <c r="H17559" s="718" t="s">
        <v>11645</v>
      </c>
    </row>
    <row r="17560" spans="1:8" ht="15" x14ac:dyDescent="0.2">
      <c r="A17560" s="747">
        <v>45251</v>
      </c>
      <c r="B17560" s="43" t="s">
        <v>10688</v>
      </c>
      <c r="C17560" s="560" t="s">
        <v>258</v>
      </c>
      <c r="D17560" s="920" t="s">
        <v>11902</v>
      </c>
      <c r="E17560" s="592">
        <v>247020</v>
      </c>
      <c r="F17560" s="60"/>
      <c r="G17560" s="132">
        <f t="shared" si="379"/>
        <v>-247020</v>
      </c>
      <c r="H17560" s="718" t="s">
        <v>11645</v>
      </c>
    </row>
    <row r="17561" spans="1:8" ht="15" x14ac:dyDescent="0.2">
      <c r="A17561" s="747">
        <v>45251</v>
      </c>
      <c r="B17561" s="43" t="s">
        <v>11023</v>
      </c>
      <c r="C17561" s="560" t="s">
        <v>258</v>
      </c>
      <c r="D17561" s="920" t="s">
        <v>11902</v>
      </c>
      <c r="E17561" s="592">
        <v>145320</v>
      </c>
      <c r="F17561" s="60"/>
      <c r="G17561" s="132">
        <f t="shared" si="379"/>
        <v>-145320</v>
      </c>
      <c r="H17561" s="718" t="s">
        <v>11645</v>
      </c>
    </row>
    <row r="17562" spans="1:8" ht="15" x14ac:dyDescent="0.2">
      <c r="A17562" s="747">
        <v>45252</v>
      </c>
      <c r="B17562" s="43" t="s">
        <v>11022</v>
      </c>
      <c r="C17562" s="65" t="s">
        <v>11899</v>
      </c>
      <c r="D17562" s="807" t="s">
        <v>11900</v>
      </c>
      <c r="E17562" s="60">
        <v>50000</v>
      </c>
      <c r="F17562" s="60"/>
      <c r="G17562" s="132">
        <f t="shared" si="378"/>
        <v>-50000</v>
      </c>
      <c r="H17562" s="718" t="s">
        <v>11645</v>
      </c>
    </row>
    <row r="17563" spans="1:8" ht="15" x14ac:dyDescent="0.2">
      <c r="A17563" s="747">
        <v>45252</v>
      </c>
      <c r="B17563" s="43" t="s">
        <v>103</v>
      </c>
      <c r="C17563" s="65" t="s">
        <v>799</v>
      </c>
      <c r="D17563" s="807" t="s">
        <v>11901</v>
      </c>
      <c r="E17563" s="60">
        <v>25000</v>
      </c>
      <c r="F17563" s="60"/>
      <c r="G17563" s="132">
        <f t="shared" si="378"/>
        <v>-25000</v>
      </c>
      <c r="H17563" s="718" t="s">
        <v>11645</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11645</v>
      </c>
    </row>
    <row r="17565" spans="1:8" ht="15" x14ac:dyDescent="0.2">
      <c r="A17565" s="747">
        <v>45252</v>
      </c>
      <c r="B17565" s="43" t="s">
        <v>10342</v>
      </c>
      <c r="C17565" s="65" t="s">
        <v>8483</v>
      </c>
      <c r="D17565" s="807" t="s">
        <v>11718</v>
      </c>
      <c r="E17565" s="60">
        <v>1000000</v>
      </c>
      <c r="F17565" s="60"/>
      <c r="G17565" s="132">
        <f t="shared" si="380"/>
        <v>-1000000</v>
      </c>
      <c r="H17565" s="718" t="s">
        <v>11645</v>
      </c>
    </row>
    <row r="17566" spans="1:8" ht="15" x14ac:dyDescent="0.2">
      <c r="A17566" s="747">
        <v>45252</v>
      </c>
      <c r="B17566" s="43" t="s">
        <v>11758</v>
      </c>
      <c r="C17566" s="65" t="s">
        <v>11411</v>
      </c>
      <c r="D17566" s="807" t="s">
        <v>11905</v>
      </c>
      <c r="E17566" s="60">
        <v>20000</v>
      </c>
      <c r="F17566" s="60"/>
      <c r="G17566" s="132">
        <f t="shared" si="380"/>
        <v>-20000</v>
      </c>
      <c r="H17566" s="718" t="s">
        <v>11645</v>
      </c>
    </row>
    <row r="17567" spans="1:8" ht="15" x14ac:dyDescent="0.2">
      <c r="A17567" s="747">
        <v>45252</v>
      </c>
      <c r="B17567" s="43" t="s">
        <v>11568</v>
      </c>
      <c r="C17567" s="65" t="s">
        <v>11108</v>
      </c>
      <c r="D17567" s="807" t="s">
        <v>11906</v>
      </c>
      <c r="E17567" s="60">
        <v>21000</v>
      </c>
      <c r="F17567" s="60"/>
      <c r="G17567" s="132">
        <f t="shared" si="380"/>
        <v>-21000</v>
      </c>
      <c r="H17567" s="718" t="s">
        <v>11645</v>
      </c>
    </row>
    <row r="17568" spans="1:8" ht="15" x14ac:dyDescent="0.2">
      <c r="A17568" s="747">
        <v>45251</v>
      </c>
      <c r="B17568" s="43" t="s">
        <v>11758</v>
      </c>
      <c r="C17568" s="65" t="s">
        <v>5791</v>
      </c>
      <c r="D17568" s="807" t="s">
        <v>372</v>
      </c>
      <c r="E17568" s="60">
        <v>2100</v>
      </c>
      <c r="F17568" s="60"/>
      <c r="G17568" s="132">
        <f t="shared" ref="G17568:G17575" si="381">F17568-E17568</f>
        <v>-2100</v>
      </c>
      <c r="H17568" s="718" t="s">
        <v>11645</v>
      </c>
    </row>
    <row r="17569" spans="1:8" ht="15" x14ac:dyDescent="0.2">
      <c r="A17569" s="747">
        <v>45252</v>
      </c>
      <c r="B17569" s="43" t="s">
        <v>11207</v>
      </c>
      <c r="C17569" s="65" t="s">
        <v>11108</v>
      </c>
      <c r="D17569" s="807" t="s">
        <v>11940</v>
      </c>
      <c r="E17569" s="60">
        <v>2400</v>
      </c>
      <c r="F17569" s="60"/>
      <c r="G17569" s="132">
        <f t="shared" si="381"/>
        <v>-2400</v>
      </c>
      <c r="H17569" s="718" t="s">
        <v>11645</v>
      </c>
    </row>
    <row r="17570" spans="1:8" ht="15" x14ac:dyDescent="0.2">
      <c r="A17570" s="747">
        <v>45252</v>
      </c>
      <c r="B17570" s="43" t="s">
        <v>11746</v>
      </c>
      <c r="C17570" s="65" t="s">
        <v>11108</v>
      </c>
      <c r="D17570" s="807" t="s">
        <v>11941</v>
      </c>
      <c r="E17570" s="60">
        <v>4500</v>
      </c>
      <c r="F17570" s="60"/>
      <c r="G17570" s="132">
        <f t="shared" si="381"/>
        <v>-4500</v>
      </c>
      <c r="H17570" s="718" t="s">
        <v>11645</v>
      </c>
    </row>
    <row r="17571" spans="1:8" ht="15" x14ac:dyDescent="0.2">
      <c r="A17571" s="747">
        <v>45252</v>
      </c>
      <c r="B17571" s="43" t="s">
        <v>11022</v>
      </c>
      <c r="C17571" s="65" t="s">
        <v>5791</v>
      </c>
      <c r="D17571" s="807" t="s">
        <v>372</v>
      </c>
      <c r="E17571" s="60">
        <v>3500</v>
      </c>
      <c r="F17571" s="60"/>
      <c r="G17571" s="132">
        <f t="shared" si="381"/>
        <v>-3500</v>
      </c>
      <c r="H17571" s="718" t="s">
        <v>11645</v>
      </c>
    </row>
    <row r="17572" spans="1:8" ht="15" x14ac:dyDescent="0.2">
      <c r="A17572" s="747">
        <v>45252</v>
      </c>
      <c r="B17572" s="43" t="s">
        <v>11758</v>
      </c>
      <c r="C17572" s="65" t="s">
        <v>5791</v>
      </c>
      <c r="D17572" s="807" t="s">
        <v>372</v>
      </c>
      <c r="E17572" s="60">
        <v>2100</v>
      </c>
      <c r="F17572" s="60"/>
      <c r="G17572" s="132">
        <f t="shared" si="381"/>
        <v>-2100</v>
      </c>
      <c r="H17572" s="718" t="s">
        <v>11645</v>
      </c>
    </row>
    <row r="17573" spans="1:8" ht="15" x14ac:dyDescent="0.2">
      <c r="A17573" s="747">
        <v>45252</v>
      </c>
      <c r="B17573" s="43" t="s">
        <v>11633</v>
      </c>
      <c r="C17573" s="65" t="s">
        <v>394</v>
      </c>
      <c r="D17573" s="807" t="s">
        <v>6441</v>
      </c>
      <c r="E17573" s="60">
        <v>8200</v>
      </c>
      <c r="F17573" s="60"/>
      <c r="G17573" s="132">
        <f t="shared" si="381"/>
        <v>-8200</v>
      </c>
      <c r="H17573" s="718" t="s">
        <v>11645</v>
      </c>
    </row>
    <row r="17574" spans="1:8" ht="15" x14ac:dyDescent="0.2">
      <c r="A17574" s="747">
        <v>45252</v>
      </c>
      <c r="B17574" s="43" t="s">
        <v>11633</v>
      </c>
      <c r="C17574" s="65" t="s">
        <v>394</v>
      </c>
      <c r="D17574" s="807" t="s">
        <v>6441</v>
      </c>
      <c r="E17574" s="60">
        <v>22600</v>
      </c>
      <c r="F17574" s="60"/>
      <c r="G17574" s="132">
        <f t="shared" si="381"/>
        <v>-22600</v>
      </c>
      <c r="H17574" s="718" t="s">
        <v>11645</v>
      </c>
    </row>
    <row r="17575" spans="1:8" ht="15" x14ac:dyDescent="0.2">
      <c r="A17575" s="747">
        <v>45253</v>
      </c>
      <c r="B17575" s="43" t="s">
        <v>11211</v>
      </c>
      <c r="C17575" s="65" t="s">
        <v>11879</v>
      </c>
      <c r="D17575" s="807" t="s">
        <v>10329</v>
      </c>
      <c r="E17575" s="60">
        <v>267000</v>
      </c>
      <c r="F17575" s="60"/>
      <c r="G17575" s="132">
        <f t="shared" si="381"/>
        <v>-267000</v>
      </c>
      <c r="H17575" s="718" t="s">
        <v>11645</v>
      </c>
    </row>
    <row r="17576" spans="1:8" ht="15" x14ac:dyDescent="0.2">
      <c r="A17576" s="747">
        <v>45253</v>
      </c>
      <c r="B17576" s="43" t="s">
        <v>11746</v>
      </c>
      <c r="C17576" s="65" t="s">
        <v>440</v>
      </c>
      <c r="D17576" s="807" t="s">
        <v>11942</v>
      </c>
      <c r="E17576" s="60">
        <v>61200</v>
      </c>
      <c r="F17576" s="60"/>
      <c r="G17576" s="132">
        <f t="shared" ref="G17576:G17579" si="382">F17576-E17576</f>
        <v>-61200</v>
      </c>
      <c r="H17576" s="718" t="s">
        <v>11645</v>
      </c>
    </row>
    <row r="17577" spans="1:8" ht="15" x14ac:dyDescent="0.2">
      <c r="A17577" s="747">
        <v>45254</v>
      </c>
      <c r="B17577" s="43" t="s">
        <v>11748</v>
      </c>
      <c r="C17577" s="65" t="s">
        <v>11749</v>
      </c>
      <c r="D17577" s="807" t="s">
        <v>1164</v>
      </c>
      <c r="E17577" s="60">
        <v>15000</v>
      </c>
      <c r="F17577" s="60"/>
      <c r="G17577" s="132">
        <f t="shared" si="382"/>
        <v>-15000</v>
      </c>
      <c r="H17577" s="718" t="s">
        <v>11645</v>
      </c>
    </row>
    <row r="17578" spans="1:8" ht="15" x14ac:dyDescent="0.2">
      <c r="A17578" s="747">
        <v>45254</v>
      </c>
      <c r="B17578" s="43" t="s">
        <v>103</v>
      </c>
      <c r="C17578" s="65" t="s">
        <v>103</v>
      </c>
      <c r="D17578" s="807" t="s">
        <v>11896</v>
      </c>
      <c r="E17578" s="60">
        <v>6000</v>
      </c>
      <c r="F17578" s="60"/>
      <c r="G17578" s="132">
        <f t="shared" si="382"/>
        <v>-6000</v>
      </c>
      <c r="H17578" s="718" t="s">
        <v>11645</v>
      </c>
    </row>
    <row r="17579" spans="1:8" ht="15" x14ac:dyDescent="0.2">
      <c r="A17579" s="747">
        <v>45254</v>
      </c>
      <c r="B17579" s="43" t="s">
        <v>11022</v>
      </c>
      <c r="C17579" s="65" t="s">
        <v>394</v>
      </c>
      <c r="D17579" s="807" t="s">
        <v>7200</v>
      </c>
      <c r="E17579" s="60">
        <v>850</v>
      </c>
      <c r="F17579" s="60"/>
      <c r="G17579" s="132">
        <f t="shared" si="382"/>
        <v>-850</v>
      </c>
      <c r="H17579" s="718" t="s">
        <v>11645</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11645</v>
      </c>
    </row>
    <row r="17581" spans="1:8" ht="15" x14ac:dyDescent="0.2">
      <c r="A17581" s="747">
        <v>45255</v>
      </c>
      <c r="B17581" s="43" t="s">
        <v>103</v>
      </c>
      <c r="C17581" s="65" t="s">
        <v>103</v>
      </c>
      <c r="D17581" s="807" t="s">
        <v>11896</v>
      </c>
      <c r="E17581" s="60">
        <v>5000</v>
      </c>
      <c r="F17581" s="60"/>
      <c r="G17581" s="132">
        <f t="shared" si="383"/>
        <v>-5000</v>
      </c>
      <c r="H17581" s="718" t="s">
        <v>11645</v>
      </c>
    </row>
    <row r="17582" spans="1:8" ht="15" x14ac:dyDescent="0.2">
      <c r="A17582" s="747">
        <v>45255</v>
      </c>
      <c r="B17582" s="43" t="s">
        <v>11943</v>
      </c>
      <c r="C17582" s="65" t="s">
        <v>11108</v>
      </c>
      <c r="D17582" s="807" t="s">
        <v>11944</v>
      </c>
      <c r="E17582" s="60">
        <v>4400</v>
      </c>
      <c r="F17582" s="60"/>
      <c r="G17582" s="132">
        <f t="shared" si="383"/>
        <v>-4400</v>
      </c>
      <c r="H17582" s="718" t="s">
        <v>11645</v>
      </c>
    </row>
    <row r="17583" spans="1:8" ht="15" x14ac:dyDescent="0.2">
      <c r="A17583" s="747">
        <v>45255</v>
      </c>
      <c r="B17583" s="43" t="s">
        <v>11207</v>
      </c>
      <c r="C17583" s="65" t="s">
        <v>394</v>
      </c>
      <c r="D17583" s="807" t="s">
        <v>11945</v>
      </c>
      <c r="E17583" s="60">
        <v>4000</v>
      </c>
      <c r="F17583" s="60"/>
      <c r="G17583" s="132">
        <f t="shared" si="383"/>
        <v>-4000</v>
      </c>
      <c r="H17583" s="718" t="s">
        <v>11645</v>
      </c>
    </row>
    <row r="17584" spans="1:8" ht="15" x14ac:dyDescent="0.2">
      <c r="A17584" s="747">
        <v>45255</v>
      </c>
      <c r="B17584" s="43" t="s">
        <v>11758</v>
      </c>
      <c r="C17584" s="65" t="s">
        <v>11108</v>
      </c>
      <c r="D17584" s="807" t="s">
        <v>11941</v>
      </c>
      <c r="E17584" s="60">
        <v>5000</v>
      </c>
      <c r="F17584" s="60"/>
      <c r="G17584" s="132">
        <f t="shared" si="383"/>
        <v>-5000</v>
      </c>
      <c r="H17584" s="718" t="s">
        <v>11645</v>
      </c>
    </row>
    <row r="17585" spans="1:8" ht="15" x14ac:dyDescent="0.2">
      <c r="A17585" s="747">
        <v>45255</v>
      </c>
      <c r="B17585" s="43" t="s">
        <v>11207</v>
      </c>
      <c r="C17585" s="65" t="s">
        <v>394</v>
      </c>
      <c r="D17585" s="807" t="s">
        <v>11946</v>
      </c>
      <c r="E17585" s="60">
        <v>1000</v>
      </c>
      <c r="F17585" s="60"/>
      <c r="G17585" s="132">
        <f t="shared" si="383"/>
        <v>-1000</v>
      </c>
      <c r="H17585" s="718" t="s">
        <v>11645</v>
      </c>
    </row>
    <row r="17586" spans="1:8" ht="15" x14ac:dyDescent="0.2">
      <c r="A17586" s="747">
        <v>45255</v>
      </c>
      <c r="B17586" s="43" t="s">
        <v>11633</v>
      </c>
      <c r="C17586" s="65" t="s">
        <v>394</v>
      </c>
      <c r="D17586" s="807" t="s">
        <v>6441</v>
      </c>
      <c r="E17586" s="60">
        <v>3520</v>
      </c>
      <c r="F17586" s="60"/>
      <c r="G17586" s="132">
        <f t="shared" si="383"/>
        <v>-3520</v>
      </c>
      <c r="H17586" s="718" t="s">
        <v>11645</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11645</v>
      </c>
    </row>
    <row r="17588" spans="1:8" ht="15" x14ac:dyDescent="0.2">
      <c r="A17588" s="747">
        <v>45257</v>
      </c>
      <c r="B17588" s="43" t="s">
        <v>103</v>
      </c>
      <c r="C17588" s="65" t="s">
        <v>103</v>
      </c>
      <c r="D17588" s="807" t="s">
        <v>11896</v>
      </c>
      <c r="E17588" s="60">
        <v>5000</v>
      </c>
      <c r="F17588" s="60"/>
      <c r="G17588" s="132">
        <f t="shared" si="384"/>
        <v>-5000</v>
      </c>
      <c r="H17588" s="718" t="s">
        <v>11645</v>
      </c>
    </row>
    <row r="17589" spans="1:8" ht="15" x14ac:dyDescent="0.2">
      <c r="A17589" s="747">
        <v>45258</v>
      </c>
      <c r="B17589" s="43" t="s">
        <v>11568</v>
      </c>
      <c r="C17589" s="65" t="s">
        <v>5791</v>
      </c>
      <c r="D17589" s="807" t="s">
        <v>372</v>
      </c>
      <c r="E17589" s="60">
        <v>250</v>
      </c>
      <c r="F17589" s="60"/>
      <c r="G17589" s="132">
        <f t="shared" si="384"/>
        <v>-250</v>
      </c>
      <c r="H17589" s="718" t="s">
        <v>11645</v>
      </c>
    </row>
    <row r="17590" spans="1:8" ht="15" x14ac:dyDescent="0.2">
      <c r="A17590" s="747">
        <v>45259</v>
      </c>
      <c r="B17590" s="43" t="s">
        <v>103</v>
      </c>
      <c r="C17590" s="65" t="s">
        <v>103</v>
      </c>
      <c r="D17590" s="807" t="s">
        <v>11896</v>
      </c>
      <c r="E17590" s="60">
        <v>4000</v>
      </c>
      <c r="F17590" s="60"/>
      <c r="G17590" s="132">
        <f t="shared" ref="G17590:G17593" si="385">F17590-E17590</f>
        <v>-4000</v>
      </c>
      <c r="H17590" s="718" t="s">
        <v>11645</v>
      </c>
    </row>
    <row r="17591" spans="1:8" ht="15" x14ac:dyDescent="0.2">
      <c r="A17591" s="747">
        <v>45259</v>
      </c>
      <c r="B17591" s="43" t="s">
        <v>9463</v>
      </c>
      <c r="C17591" s="65" t="s">
        <v>394</v>
      </c>
      <c r="D17591" s="807" t="s">
        <v>10026</v>
      </c>
      <c r="E17591" s="60">
        <v>12000</v>
      </c>
      <c r="F17591" s="60"/>
      <c r="G17591" s="132">
        <f t="shared" si="385"/>
        <v>-12000</v>
      </c>
      <c r="H17591" s="718" t="s">
        <v>11645</v>
      </c>
    </row>
    <row r="17592" spans="1:8" ht="15" x14ac:dyDescent="0.2">
      <c r="A17592" s="747">
        <v>45259</v>
      </c>
      <c r="B17592" s="43" t="s">
        <v>11022</v>
      </c>
      <c r="C17592" s="65" t="s">
        <v>11108</v>
      </c>
      <c r="D17592" s="807" t="s">
        <v>4344</v>
      </c>
      <c r="E17592" s="60">
        <v>3500</v>
      </c>
      <c r="F17592" s="60"/>
      <c r="G17592" s="132">
        <f t="shared" si="385"/>
        <v>-3500</v>
      </c>
      <c r="H17592" s="718" t="s">
        <v>11645</v>
      </c>
    </row>
    <row r="17593" spans="1:8" ht="15" x14ac:dyDescent="0.2">
      <c r="A17593" s="747">
        <v>45260</v>
      </c>
      <c r="B17593" s="43" t="s">
        <v>11427</v>
      </c>
      <c r="C17593" s="65"/>
      <c r="D17593" s="807" t="s">
        <v>11959</v>
      </c>
      <c r="E17593" s="60">
        <v>4000</v>
      </c>
      <c r="F17593" s="60"/>
      <c r="G17593" s="132">
        <f t="shared" si="385"/>
        <v>-4000</v>
      </c>
      <c r="H17593" s="718" t="s">
        <v>11645</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11645</v>
      </c>
    </row>
    <row r="17595" spans="1:8" ht="15" x14ac:dyDescent="0.2">
      <c r="A17595" s="747">
        <v>45259</v>
      </c>
      <c r="B17595" s="43" t="s">
        <v>25</v>
      </c>
      <c r="C17595" s="65" t="s">
        <v>4100</v>
      </c>
      <c r="D17595" s="807" t="s">
        <v>2123</v>
      </c>
      <c r="E17595" s="60">
        <v>850</v>
      </c>
      <c r="F17595" s="60"/>
      <c r="G17595" s="132">
        <f t="shared" si="386"/>
        <v>-850</v>
      </c>
      <c r="H17595" s="718" t="s">
        <v>11645</v>
      </c>
    </row>
    <row r="17596" spans="1:8" ht="15" x14ac:dyDescent="0.2">
      <c r="A17596" s="747">
        <v>45260</v>
      </c>
      <c r="B17596" s="43" t="s">
        <v>103</v>
      </c>
      <c r="C17596" s="65" t="s">
        <v>3024</v>
      </c>
      <c r="D17596" s="807" t="s">
        <v>372</v>
      </c>
      <c r="E17596" s="60">
        <v>6000</v>
      </c>
      <c r="F17596" s="60"/>
      <c r="G17596" s="132">
        <f t="shared" si="386"/>
        <v>-6000</v>
      </c>
      <c r="H17596" s="718" t="s">
        <v>11645</v>
      </c>
    </row>
    <row r="17597" spans="1:8" ht="15" x14ac:dyDescent="0.2">
      <c r="A17597" s="747">
        <v>45260</v>
      </c>
      <c r="B17597" s="43" t="s">
        <v>11853</v>
      </c>
      <c r="C17597" s="65" t="s">
        <v>11108</v>
      </c>
      <c r="D17597" s="807" t="s">
        <v>11960</v>
      </c>
      <c r="E17597" s="60">
        <v>850</v>
      </c>
      <c r="F17597" s="60"/>
      <c r="G17597" s="132">
        <f t="shared" si="386"/>
        <v>-850</v>
      </c>
      <c r="H17597" s="718" t="s">
        <v>11645</v>
      </c>
    </row>
    <row r="17598" spans="1:8" ht="15" x14ac:dyDescent="0.2">
      <c r="A17598" s="747">
        <v>45260</v>
      </c>
      <c r="B17598" s="43" t="s">
        <v>11853</v>
      </c>
      <c r="C17598" s="65" t="s">
        <v>5791</v>
      </c>
      <c r="D17598" s="807" t="s">
        <v>372</v>
      </c>
      <c r="E17598" s="60">
        <v>2000</v>
      </c>
      <c r="F17598" s="60"/>
      <c r="G17598" s="132">
        <f t="shared" si="386"/>
        <v>-2000</v>
      </c>
      <c r="H17598" s="718" t="s">
        <v>11645</v>
      </c>
    </row>
    <row r="17599" spans="1:8" ht="15" x14ac:dyDescent="0.2">
      <c r="A17599" s="747">
        <v>45260</v>
      </c>
      <c r="B17599" s="43" t="s">
        <v>11760</v>
      </c>
      <c r="C17599" s="65" t="s">
        <v>288</v>
      </c>
      <c r="D17599" s="807" t="s">
        <v>11505</v>
      </c>
      <c r="E17599" s="60">
        <v>500</v>
      </c>
      <c r="F17599" s="60"/>
      <c r="G17599" s="132">
        <f t="shared" si="386"/>
        <v>-500</v>
      </c>
      <c r="H17599" s="718" t="s">
        <v>11645</v>
      </c>
    </row>
    <row r="17600" spans="1:8" ht="15" x14ac:dyDescent="0.2">
      <c r="A17600" s="747">
        <v>45260</v>
      </c>
      <c r="B17600" s="43" t="s">
        <v>11758</v>
      </c>
      <c r="C17600" s="65" t="s">
        <v>5791</v>
      </c>
      <c r="D17600" s="807" t="s">
        <v>372</v>
      </c>
      <c r="E17600" s="60">
        <v>500</v>
      </c>
      <c r="F17600" s="60"/>
      <c r="G17600" s="132">
        <f t="shared" si="386"/>
        <v>-500</v>
      </c>
      <c r="H17600" s="718" t="s">
        <v>11645</v>
      </c>
    </row>
    <row r="17601" spans="1:8" ht="15" x14ac:dyDescent="0.2">
      <c r="A17601" s="747">
        <v>45260</v>
      </c>
      <c r="B17601" s="43" t="s">
        <v>11022</v>
      </c>
      <c r="C17601" s="65" t="s">
        <v>11108</v>
      </c>
      <c r="D17601" s="807" t="s">
        <v>11961</v>
      </c>
      <c r="E17601" s="60">
        <v>2800</v>
      </c>
      <c r="F17601" s="60"/>
      <c r="G17601" s="132">
        <f t="shared" si="386"/>
        <v>-2800</v>
      </c>
      <c r="H17601" s="718" t="s">
        <v>11645</v>
      </c>
    </row>
    <row r="17602" spans="1:8" ht="15" x14ac:dyDescent="0.2">
      <c r="A17602" s="747">
        <v>45260</v>
      </c>
      <c r="B17602" s="65" t="s">
        <v>11207</v>
      </c>
      <c r="C17602" s="1120" t="s">
        <v>799</v>
      </c>
      <c r="D17602" s="1121" t="s">
        <v>11126</v>
      </c>
      <c r="E17602" s="1122">
        <v>25000</v>
      </c>
      <c r="F17602" s="60"/>
      <c r="G17602" s="132">
        <f t="shared" si="386"/>
        <v>-25000</v>
      </c>
      <c r="H17602" s="718" t="s">
        <v>11645</v>
      </c>
    </row>
    <row r="17603" spans="1:8" ht="15" x14ac:dyDescent="0.2">
      <c r="A17603" s="747">
        <v>45260</v>
      </c>
      <c r="B17603" s="65" t="s">
        <v>10096</v>
      </c>
      <c r="C17603" s="1120" t="s">
        <v>799</v>
      </c>
      <c r="D17603" s="1121" t="s">
        <v>11126</v>
      </c>
      <c r="E17603" s="1122">
        <v>25000</v>
      </c>
      <c r="F17603" s="60"/>
      <c r="G17603" s="132">
        <f t="shared" si="386"/>
        <v>-25000</v>
      </c>
      <c r="H17603" s="718" t="s">
        <v>11645</v>
      </c>
    </row>
    <row r="17604" spans="1:8" ht="15" x14ac:dyDescent="0.2">
      <c r="A17604" s="747">
        <v>45260</v>
      </c>
      <c r="B17604" s="65" t="s">
        <v>11853</v>
      </c>
      <c r="C17604" s="1120" t="s">
        <v>799</v>
      </c>
      <c r="D17604" s="1121" t="s">
        <v>11127</v>
      </c>
      <c r="E17604" s="1122">
        <v>25000</v>
      </c>
      <c r="F17604" s="60"/>
      <c r="G17604" s="132">
        <f t="shared" si="386"/>
        <v>-25000</v>
      </c>
      <c r="H17604" s="718" t="s">
        <v>11645</v>
      </c>
    </row>
    <row r="17605" spans="1:8" ht="15" x14ac:dyDescent="0.2">
      <c r="A17605" s="747">
        <v>45260</v>
      </c>
      <c r="B17605" s="65" t="s">
        <v>11022</v>
      </c>
      <c r="C17605" s="1120" t="s">
        <v>799</v>
      </c>
      <c r="D17605" s="1121" t="s">
        <v>11127</v>
      </c>
      <c r="E17605" s="1122">
        <v>25000</v>
      </c>
      <c r="F17605" s="60"/>
      <c r="G17605" s="132">
        <f t="shared" si="386"/>
        <v>-25000</v>
      </c>
      <c r="H17605" s="718" t="s">
        <v>11645</v>
      </c>
    </row>
    <row r="17606" spans="1:8" ht="15" x14ac:dyDescent="0.2">
      <c r="A17606" s="747">
        <v>45260</v>
      </c>
      <c r="B17606" s="65" t="s">
        <v>25</v>
      </c>
      <c r="C17606" s="1120" t="s">
        <v>799</v>
      </c>
      <c r="D17606" s="1121" t="s">
        <v>11237</v>
      </c>
      <c r="E17606" s="1122">
        <v>80000</v>
      </c>
      <c r="F17606" s="60"/>
      <c r="G17606" s="132">
        <f t="shared" si="386"/>
        <v>-80000</v>
      </c>
      <c r="H17606" s="718" t="s">
        <v>11645</v>
      </c>
    </row>
    <row r="17607" spans="1:8" ht="15" x14ac:dyDescent="0.2">
      <c r="A17607" s="747">
        <v>45260</v>
      </c>
      <c r="B17607" s="65" t="s">
        <v>11758</v>
      </c>
      <c r="C17607" s="1120" t="s">
        <v>799</v>
      </c>
      <c r="D17607" s="1121" t="s">
        <v>10863</v>
      </c>
      <c r="E17607" s="1122">
        <v>100040</v>
      </c>
      <c r="F17607" s="132"/>
      <c r="G17607" s="132">
        <f t="shared" si="386"/>
        <v>-100040</v>
      </c>
      <c r="H17607" s="718" t="s">
        <v>11645</v>
      </c>
    </row>
    <row r="17608" spans="1:8" ht="15" x14ac:dyDescent="0.2">
      <c r="A17608" s="747">
        <v>45260</v>
      </c>
      <c r="B17608" s="65" t="s">
        <v>103</v>
      </c>
      <c r="C17608" s="1120" t="s">
        <v>799</v>
      </c>
      <c r="D17608" s="1121" t="s">
        <v>10247</v>
      </c>
      <c r="E17608" s="1122">
        <v>336170</v>
      </c>
      <c r="F17608" s="132"/>
      <c r="G17608" s="132">
        <f t="shared" si="386"/>
        <v>-336170</v>
      </c>
      <c r="H17608" s="718" t="s">
        <v>11645</v>
      </c>
    </row>
    <row r="17609" spans="1:8" ht="15" x14ac:dyDescent="0.2">
      <c r="A17609" s="747">
        <v>45260</v>
      </c>
      <c r="B17609" s="65" t="s">
        <v>103</v>
      </c>
      <c r="C17609" s="1120" t="s">
        <v>799</v>
      </c>
      <c r="D17609" s="1121" t="s">
        <v>11151</v>
      </c>
      <c r="E17609" s="1122">
        <v>41880</v>
      </c>
      <c r="F17609" s="132"/>
      <c r="G17609" s="132">
        <f t="shared" si="386"/>
        <v>-41880</v>
      </c>
      <c r="H17609" s="718" t="s">
        <v>11645</v>
      </c>
    </row>
    <row r="17610" spans="1:8" ht="15" x14ac:dyDescent="0.2">
      <c r="A17610" s="747">
        <v>45260</v>
      </c>
      <c r="B17610" s="65" t="s">
        <v>37</v>
      </c>
      <c r="C17610" s="1120" t="s">
        <v>799</v>
      </c>
      <c r="D17610" s="1121" t="s">
        <v>11973</v>
      </c>
      <c r="E17610" s="1122">
        <v>132130</v>
      </c>
      <c r="F17610" s="132"/>
      <c r="G17610" s="132">
        <f t="shared" ref="G17610:G17619" si="387">F17610-E17610</f>
        <v>-132130</v>
      </c>
      <c r="H17610" s="718" t="s">
        <v>11645</v>
      </c>
    </row>
    <row r="17611" spans="1:8" ht="15" x14ac:dyDescent="0.2">
      <c r="A17611" s="747">
        <v>45260</v>
      </c>
      <c r="B17611" s="65" t="s">
        <v>11022</v>
      </c>
      <c r="C17611" s="1120" t="s">
        <v>799</v>
      </c>
      <c r="D17611" s="1121" t="s">
        <v>11974</v>
      </c>
      <c r="E17611" s="1122">
        <v>23500</v>
      </c>
      <c r="F17611" s="132"/>
      <c r="G17611" s="132">
        <f t="shared" si="387"/>
        <v>-23500</v>
      </c>
      <c r="H17611" s="718" t="s">
        <v>11645</v>
      </c>
    </row>
    <row r="17612" spans="1:8" ht="15" x14ac:dyDescent="0.2">
      <c r="A17612" s="747">
        <v>45260</v>
      </c>
      <c r="B17612" s="65" t="s">
        <v>9463</v>
      </c>
      <c r="C17612" s="1120" t="s">
        <v>799</v>
      </c>
      <c r="D17612" s="1121" t="s">
        <v>11975</v>
      </c>
      <c r="E17612" s="1122">
        <v>40480</v>
      </c>
      <c r="F17612" s="132"/>
      <c r="G17612" s="132">
        <f t="shared" si="387"/>
        <v>-40480</v>
      </c>
      <c r="H17612" s="718" t="s">
        <v>11645</v>
      </c>
    </row>
    <row r="17613" spans="1:8" ht="15" x14ac:dyDescent="0.2">
      <c r="A17613" s="747">
        <v>45260</v>
      </c>
      <c r="B17613" s="65" t="s">
        <v>10096</v>
      </c>
      <c r="C17613" s="1120" t="s">
        <v>799</v>
      </c>
      <c r="D17613" s="1121" t="s">
        <v>11976</v>
      </c>
      <c r="E17613" s="1122">
        <v>57750</v>
      </c>
      <c r="F17613" s="132"/>
      <c r="G17613" s="132">
        <f t="shared" si="387"/>
        <v>-57750</v>
      </c>
      <c r="H17613" s="718" t="s">
        <v>11645</v>
      </c>
    </row>
    <row r="17614" spans="1:8" ht="15" x14ac:dyDescent="0.2">
      <c r="A17614" s="747">
        <v>45260</v>
      </c>
      <c r="B17614" s="65" t="s">
        <v>11758</v>
      </c>
      <c r="C17614" s="1120" t="s">
        <v>799</v>
      </c>
      <c r="D17614" s="1121" t="s">
        <v>11977</v>
      </c>
      <c r="E17614" s="1122">
        <v>65000</v>
      </c>
      <c r="F17614" s="132"/>
      <c r="G17614" s="132">
        <f t="shared" si="387"/>
        <v>-65000</v>
      </c>
      <c r="H17614" s="718" t="s">
        <v>11645</v>
      </c>
    </row>
    <row r="17615" spans="1:8" ht="15" x14ac:dyDescent="0.2">
      <c r="A17615" s="747">
        <v>45260</v>
      </c>
      <c r="B17615" s="65" t="s">
        <v>10096</v>
      </c>
      <c r="C17615" s="1120" t="s">
        <v>799</v>
      </c>
      <c r="D17615" s="1121" t="s">
        <v>11978</v>
      </c>
      <c r="E17615" s="1122">
        <v>50210</v>
      </c>
      <c r="F17615" s="132"/>
      <c r="G17615" s="132">
        <f t="shared" si="387"/>
        <v>-50210</v>
      </c>
      <c r="H17615" s="718" t="s">
        <v>11645</v>
      </c>
    </row>
    <row r="17616" spans="1:8" ht="15" x14ac:dyDescent="0.2">
      <c r="A17616" s="747">
        <v>45260</v>
      </c>
      <c r="B17616" s="65" t="s">
        <v>3979</v>
      </c>
      <c r="C17616" s="1120" t="s">
        <v>799</v>
      </c>
      <c r="D17616" s="1121" t="s">
        <v>11979</v>
      </c>
      <c r="E17616" s="1122">
        <v>93060</v>
      </c>
      <c r="F17616" s="132"/>
      <c r="G17616" s="132">
        <f t="shared" si="387"/>
        <v>-93060</v>
      </c>
      <c r="H17616" s="718" t="s">
        <v>11645</v>
      </c>
    </row>
    <row r="17617" spans="1:8" ht="15" x14ac:dyDescent="0.2">
      <c r="A17617" s="747">
        <v>45260</v>
      </c>
      <c r="B17617" s="65" t="s">
        <v>10096</v>
      </c>
      <c r="C17617" s="1120" t="s">
        <v>799</v>
      </c>
      <c r="D17617" s="1121" t="s">
        <v>11980</v>
      </c>
      <c r="E17617" s="1122">
        <v>17130</v>
      </c>
      <c r="F17617" s="132"/>
      <c r="G17617" s="132">
        <f t="shared" si="387"/>
        <v>-17130</v>
      </c>
      <c r="H17617" s="718" t="s">
        <v>11645</v>
      </c>
    </row>
    <row r="17618" spans="1:8" ht="15" x14ac:dyDescent="0.2">
      <c r="A17618" s="747">
        <v>45260</v>
      </c>
      <c r="B17618" s="65" t="s">
        <v>11863</v>
      </c>
      <c r="C17618" s="1120" t="s">
        <v>799</v>
      </c>
      <c r="D17618" s="1121" t="s">
        <v>11981</v>
      </c>
      <c r="E17618" s="1122">
        <v>380484</v>
      </c>
      <c r="F17618" s="132"/>
      <c r="G17618" s="132">
        <f t="shared" si="387"/>
        <v>-380484</v>
      </c>
      <c r="H17618" s="718" t="s">
        <v>11645</v>
      </c>
    </row>
    <row r="17619" spans="1:8" ht="15" x14ac:dyDescent="0.2">
      <c r="A17619" s="747">
        <v>45260</v>
      </c>
      <c r="B17619" s="65" t="s">
        <v>10096</v>
      </c>
      <c r="C17619" s="1120" t="s">
        <v>799</v>
      </c>
      <c r="D17619" s="1121" t="s">
        <v>11982</v>
      </c>
      <c r="E17619" s="1122">
        <v>40500</v>
      </c>
      <c r="F17619" s="132"/>
      <c r="G17619" s="132">
        <f t="shared" si="387"/>
        <v>-40500</v>
      </c>
      <c r="H17619" s="718" t="s">
        <v>11645</v>
      </c>
    </row>
    <row r="17620" spans="1:8" ht="15" x14ac:dyDescent="0.2">
      <c r="A17620" s="746">
        <v>45231</v>
      </c>
      <c r="B17620" s="180" t="s">
        <v>9463</v>
      </c>
      <c r="C17620" s="180" t="s">
        <v>7538</v>
      </c>
      <c r="D17620" s="234" t="s">
        <v>11662</v>
      </c>
      <c r="E17620" s="242">
        <v>350000</v>
      </c>
      <c r="F17620" s="242"/>
      <c r="G17620" s="242">
        <f t="shared" si="351"/>
        <v>-350000</v>
      </c>
      <c r="H17620" s="722" t="s">
        <v>11645</v>
      </c>
    </row>
    <row r="17621" spans="1:8" ht="15" x14ac:dyDescent="0.2">
      <c r="A17621" s="746">
        <v>45231</v>
      </c>
      <c r="B17621" s="180" t="s">
        <v>9463</v>
      </c>
      <c r="C17621" s="180" t="s">
        <v>7538</v>
      </c>
      <c r="D17621" s="234" t="s">
        <v>11663</v>
      </c>
      <c r="E17621" s="242">
        <v>350000</v>
      </c>
      <c r="F17621" s="242"/>
      <c r="G17621" s="242">
        <f t="shared" si="351"/>
        <v>-350000</v>
      </c>
      <c r="H17621" s="722" t="s">
        <v>11645</v>
      </c>
    </row>
    <row r="17622" spans="1:8" ht="15" x14ac:dyDescent="0.2">
      <c r="A17622" s="746">
        <v>45233</v>
      </c>
      <c r="B17622" s="180" t="s">
        <v>11022</v>
      </c>
      <c r="C17622" s="180" t="s">
        <v>11217</v>
      </c>
      <c r="D17622" s="234" t="s">
        <v>11667</v>
      </c>
      <c r="E17622" s="242">
        <v>35000</v>
      </c>
      <c r="F17622" s="242"/>
      <c r="G17622" s="242">
        <f t="shared" si="351"/>
        <v>-35000</v>
      </c>
      <c r="H17622" s="722" t="s">
        <v>11645</v>
      </c>
    </row>
    <row r="17623" spans="1:8" ht="15" x14ac:dyDescent="0.2">
      <c r="A17623" s="746">
        <v>45233</v>
      </c>
      <c r="B17623" s="180" t="s">
        <v>10342</v>
      </c>
      <c r="C17623" s="560" t="s">
        <v>9657</v>
      </c>
      <c r="D17623" s="753" t="s">
        <v>11668</v>
      </c>
      <c r="E17623" s="561">
        <v>200000</v>
      </c>
      <c r="F17623" s="242"/>
      <c r="G17623" s="242">
        <f t="shared" si="351"/>
        <v>-200000</v>
      </c>
      <c r="H17623" s="722" t="s">
        <v>11645</v>
      </c>
    </row>
    <row r="17624" spans="1:8" ht="15" x14ac:dyDescent="0.2">
      <c r="A17624" s="746">
        <v>45233</v>
      </c>
      <c r="B17624" s="180" t="s">
        <v>11211</v>
      </c>
      <c r="C17624" s="560" t="s">
        <v>9657</v>
      </c>
      <c r="D17624" s="753" t="s">
        <v>11668</v>
      </c>
      <c r="E17624" s="561">
        <v>55000</v>
      </c>
      <c r="F17624" s="242"/>
      <c r="G17624" s="242">
        <f t="shared" si="351"/>
        <v>-55000</v>
      </c>
      <c r="H17624" s="722" t="s">
        <v>11645</v>
      </c>
    </row>
    <row r="17625" spans="1:8" ht="15" x14ac:dyDescent="0.2">
      <c r="A17625" s="746">
        <v>45233</v>
      </c>
      <c r="B17625" s="180" t="s">
        <v>9463</v>
      </c>
      <c r="C17625" s="180" t="s">
        <v>7538</v>
      </c>
      <c r="D17625" s="234" t="s">
        <v>11701</v>
      </c>
      <c r="E17625" s="242">
        <v>350000</v>
      </c>
      <c r="F17625" s="242"/>
      <c r="G17625" s="242">
        <f t="shared" si="351"/>
        <v>-350000</v>
      </c>
      <c r="H17625" s="722" t="s">
        <v>11645</v>
      </c>
    </row>
    <row r="17626" spans="1:8" ht="15" x14ac:dyDescent="0.2">
      <c r="A17626" s="746">
        <v>45233</v>
      </c>
      <c r="B17626" s="180" t="s">
        <v>11676</v>
      </c>
      <c r="C17626" s="560" t="s">
        <v>7538</v>
      </c>
      <c r="D17626" s="753" t="s">
        <v>11701</v>
      </c>
      <c r="E17626" s="561">
        <v>176319</v>
      </c>
      <c r="F17626" s="242"/>
      <c r="G17626" s="242">
        <f t="shared" si="351"/>
        <v>-176319</v>
      </c>
      <c r="H17626" s="722" t="s">
        <v>11645</v>
      </c>
    </row>
    <row r="17627" spans="1:8" ht="15" x14ac:dyDescent="0.2">
      <c r="A17627" s="746">
        <v>45233</v>
      </c>
      <c r="B17627" s="180" t="s">
        <v>10688</v>
      </c>
      <c r="C17627" s="560" t="s">
        <v>7538</v>
      </c>
      <c r="D17627" s="753" t="s">
        <v>11670</v>
      </c>
      <c r="E17627" s="561">
        <v>173681</v>
      </c>
      <c r="F17627" s="242"/>
      <c r="G17627" s="242">
        <f t="shared" si="351"/>
        <v>-173681</v>
      </c>
      <c r="H17627" s="722" t="s">
        <v>11645</v>
      </c>
    </row>
    <row r="17628" spans="1:8" ht="15" x14ac:dyDescent="0.2">
      <c r="A17628" s="746">
        <v>45233</v>
      </c>
      <c r="B17628" s="180" t="s">
        <v>10688</v>
      </c>
      <c r="C17628" s="180" t="s">
        <v>10972</v>
      </c>
      <c r="D17628" s="234" t="s">
        <v>11671</v>
      </c>
      <c r="E17628" s="242">
        <v>400000</v>
      </c>
      <c r="F17628" s="242"/>
      <c r="G17628" s="242">
        <f t="shared" si="351"/>
        <v>-400000</v>
      </c>
      <c r="H17628" s="722" t="s">
        <v>11645</v>
      </c>
    </row>
    <row r="17629" spans="1:8" ht="15" x14ac:dyDescent="0.2">
      <c r="A17629" s="746">
        <v>45233</v>
      </c>
      <c r="B17629" s="180" t="s">
        <v>10688</v>
      </c>
      <c r="C17629" s="180" t="s">
        <v>10972</v>
      </c>
      <c r="D17629" s="234" t="s">
        <v>11672</v>
      </c>
      <c r="E17629" s="242">
        <v>485000</v>
      </c>
      <c r="F17629" s="242"/>
      <c r="G17629" s="242">
        <f t="shared" si="351"/>
        <v>-485000</v>
      </c>
      <c r="H17629" s="722" t="s">
        <v>11645</v>
      </c>
    </row>
    <row r="17630" spans="1:8" ht="15" x14ac:dyDescent="0.2">
      <c r="A17630" s="746">
        <v>45237</v>
      </c>
      <c r="B17630" s="180" t="s">
        <v>10688</v>
      </c>
      <c r="C17630" s="180" t="s">
        <v>8337</v>
      </c>
      <c r="D17630" s="234" t="s">
        <v>11770</v>
      </c>
      <c r="E17630" s="242">
        <v>225000</v>
      </c>
      <c r="F17630" s="242"/>
      <c r="G17630" s="242">
        <f t="shared" si="351"/>
        <v>-225000</v>
      </c>
      <c r="H17630" s="722" t="s">
        <v>11645</v>
      </c>
    </row>
    <row r="17631" spans="1:8" ht="15" x14ac:dyDescent="0.2">
      <c r="A17631" s="746">
        <v>45237</v>
      </c>
      <c r="B17631" s="180" t="s">
        <v>10342</v>
      </c>
      <c r="C17631" s="180" t="s">
        <v>7538</v>
      </c>
      <c r="D17631" s="234" t="s">
        <v>11772</v>
      </c>
      <c r="E17631" s="242">
        <v>350000</v>
      </c>
      <c r="F17631" s="242"/>
      <c r="G17631" s="242">
        <f t="shared" si="351"/>
        <v>-350000</v>
      </c>
      <c r="H17631" s="722" t="s">
        <v>11645</v>
      </c>
    </row>
    <row r="17632" spans="1:8" ht="15" x14ac:dyDescent="0.2">
      <c r="A17632" s="746">
        <v>45237</v>
      </c>
      <c r="B17632" s="180" t="s">
        <v>10342</v>
      </c>
      <c r="C17632" s="180" t="s">
        <v>7538</v>
      </c>
      <c r="D17632" s="234" t="s">
        <v>11771</v>
      </c>
      <c r="E17632" s="242">
        <v>350000</v>
      </c>
      <c r="F17632" s="242"/>
      <c r="G17632" s="242">
        <f t="shared" si="351"/>
        <v>-350000</v>
      </c>
      <c r="H17632" s="722" t="s">
        <v>11645</v>
      </c>
    </row>
    <row r="17633" spans="1:8" ht="15" x14ac:dyDescent="0.2">
      <c r="A17633" s="746">
        <v>45243</v>
      </c>
      <c r="B17633" s="180" t="s">
        <v>10342</v>
      </c>
      <c r="C17633" s="180" t="s">
        <v>11508</v>
      </c>
      <c r="D17633" s="234" t="s">
        <v>11796</v>
      </c>
      <c r="E17633" s="242">
        <v>300000</v>
      </c>
      <c r="F17633" s="242"/>
      <c r="G17633" s="242">
        <f t="shared" si="351"/>
        <v>-300000</v>
      </c>
      <c r="H17633" s="722" t="s">
        <v>11645</v>
      </c>
    </row>
    <row r="17634" spans="1:8" ht="15" x14ac:dyDescent="0.2">
      <c r="A17634" s="746">
        <v>45243</v>
      </c>
      <c r="B17634" s="180" t="s">
        <v>10688</v>
      </c>
      <c r="C17634" s="180" t="s">
        <v>11411</v>
      </c>
      <c r="D17634" s="234" t="s">
        <v>11797</v>
      </c>
      <c r="E17634" s="242">
        <v>100000</v>
      </c>
      <c r="F17634" s="242"/>
      <c r="G17634" s="242">
        <f t="shared" si="351"/>
        <v>-100000</v>
      </c>
      <c r="H17634" s="722" t="s">
        <v>11645</v>
      </c>
    </row>
    <row r="17635" spans="1:8" ht="15" x14ac:dyDescent="0.2">
      <c r="A17635" s="746">
        <v>45243</v>
      </c>
      <c r="B17635" s="180" t="s">
        <v>10582</v>
      </c>
      <c r="C17635" s="180" t="s">
        <v>9568</v>
      </c>
      <c r="D17635" s="234" t="s">
        <v>11798</v>
      </c>
      <c r="E17635" s="242">
        <v>200000</v>
      </c>
      <c r="F17635" s="242"/>
      <c r="G17635" s="242">
        <f t="shared" si="351"/>
        <v>-200000</v>
      </c>
      <c r="H17635" s="722" t="s">
        <v>11645</v>
      </c>
    </row>
    <row r="17636" spans="1:8" ht="15" x14ac:dyDescent="0.2">
      <c r="A17636" s="746">
        <v>45243</v>
      </c>
      <c r="B17636" s="180" t="s">
        <v>10096</v>
      </c>
      <c r="C17636" s="180" t="s">
        <v>6533</v>
      </c>
      <c r="D17636" s="234" t="s">
        <v>11799</v>
      </c>
      <c r="E17636" s="242">
        <v>100000</v>
      </c>
      <c r="F17636" s="242"/>
      <c r="G17636" s="242">
        <f t="shared" si="351"/>
        <v>-100000</v>
      </c>
      <c r="H17636" s="722" t="s">
        <v>11645</v>
      </c>
    </row>
    <row r="17637" spans="1:8" ht="15" x14ac:dyDescent="0.2">
      <c r="A17637" s="746">
        <v>45245</v>
      </c>
      <c r="B17637" s="180" t="s">
        <v>10688</v>
      </c>
      <c r="C17637" s="180" t="s">
        <v>7538</v>
      </c>
      <c r="D17637" s="234" t="s">
        <v>11803</v>
      </c>
      <c r="E17637" s="242">
        <v>350000</v>
      </c>
      <c r="F17637" s="242"/>
      <c r="G17637" s="242">
        <f t="shared" si="351"/>
        <v>-350000</v>
      </c>
      <c r="H17637" s="722" t="s">
        <v>11645</v>
      </c>
    </row>
    <row r="17638" spans="1:8" ht="15" x14ac:dyDescent="0.2">
      <c r="A17638" s="746">
        <v>45245</v>
      </c>
      <c r="B17638" s="180" t="s">
        <v>10688</v>
      </c>
      <c r="C17638" s="180" t="s">
        <v>7538</v>
      </c>
      <c r="D17638" s="234" t="s">
        <v>11804</v>
      </c>
      <c r="E17638" s="242">
        <v>350000</v>
      </c>
      <c r="F17638" s="242"/>
      <c r="G17638" s="242">
        <f t="shared" si="351"/>
        <v>-350000</v>
      </c>
      <c r="H17638" s="722" t="s">
        <v>11645</v>
      </c>
    </row>
    <row r="17639" spans="1:8" ht="15" x14ac:dyDescent="0.2">
      <c r="A17639" s="746">
        <v>45245</v>
      </c>
      <c r="B17639" s="180" t="s">
        <v>10688</v>
      </c>
      <c r="C17639" s="180" t="s">
        <v>8170</v>
      </c>
      <c r="D17639" s="234" t="s">
        <v>11805</v>
      </c>
      <c r="E17639" s="242">
        <v>500000</v>
      </c>
      <c r="F17639" s="242"/>
      <c r="G17639" s="242">
        <f t="shared" si="351"/>
        <v>-500000</v>
      </c>
      <c r="H17639" s="722" t="s">
        <v>11645</v>
      </c>
    </row>
    <row r="17640" spans="1:8" ht="15" x14ac:dyDescent="0.2">
      <c r="A17640" s="746">
        <v>45245</v>
      </c>
      <c r="B17640" s="180" t="s">
        <v>10688</v>
      </c>
      <c r="C17640" s="180" t="s">
        <v>8170</v>
      </c>
      <c r="D17640" s="234" t="s">
        <v>11806</v>
      </c>
      <c r="E17640" s="242">
        <v>500000</v>
      </c>
      <c r="F17640" s="242"/>
      <c r="G17640" s="242">
        <f t="shared" si="351"/>
        <v>-500000</v>
      </c>
      <c r="H17640" s="722" t="s">
        <v>11645</v>
      </c>
    </row>
    <row r="17641" spans="1:8" ht="15" x14ac:dyDescent="0.2">
      <c r="A17641" s="746">
        <v>45245</v>
      </c>
      <c r="B17641" s="180" t="s">
        <v>10688</v>
      </c>
      <c r="C17641" s="180" t="s">
        <v>8170</v>
      </c>
      <c r="D17641" s="234" t="s">
        <v>11807</v>
      </c>
      <c r="E17641" s="242">
        <v>500000</v>
      </c>
      <c r="F17641" s="242"/>
      <c r="G17641" s="242">
        <f t="shared" si="351"/>
        <v>-500000</v>
      </c>
      <c r="H17641" s="722" t="s">
        <v>11645</v>
      </c>
    </row>
    <row r="17642" spans="1:8" ht="15" x14ac:dyDescent="0.2">
      <c r="A17642" s="746">
        <v>45247</v>
      </c>
      <c r="B17642" s="180" t="s">
        <v>37</v>
      </c>
      <c r="C17642" s="560" t="s">
        <v>3031</v>
      </c>
      <c r="D17642" s="753" t="s">
        <v>11838</v>
      </c>
      <c r="E17642" s="561">
        <v>46666</v>
      </c>
      <c r="F17642" s="242"/>
      <c r="G17642" s="242">
        <f t="shared" ref="G17642:G17654" si="388">F17642-E17642</f>
        <v>-46666</v>
      </c>
      <c r="H17642" s="722" t="s">
        <v>11645</v>
      </c>
    </row>
    <row r="17643" spans="1:8" ht="15" x14ac:dyDescent="0.2">
      <c r="A17643" s="746">
        <v>45247</v>
      </c>
      <c r="B17643" s="180" t="s">
        <v>3979</v>
      </c>
      <c r="C17643" s="560" t="s">
        <v>3031</v>
      </c>
      <c r="D17643" s="753" t="s">
        <v>11838</v>
      </c>
      <c r="E17643" s="561">
        <v>32760</v>
      </c>
      <c r="F17643" s="242"/>
      <c r="G17643" s="242">
        <f t="shared" si="388"/>
        <v>-32760</v>
      </c>
      <c r="H17643" s="722" t="s">
        <v>11645</v>
      </c>
    </row>
    <row r="17644" spans="1:8" ht="15" x14ac:dyDescent="0.2">
      <c r="A17644" s="746">
        <v>45247</v>
      </c>
      <c r="B17644" s="180" t="s">
        <v>3978</v>
      </c>
      <c r="C17644" s="560" t="s">
        <v>3031</v>
      </c>
      <c r="D17644" s="753" t="s">
        <v>11838</v>
      </c>
      <c r="E17644" s="561">
        <v>35360</v>
      </c>
      <c r="F17644" s="242"/>
      <c r="G17644" s="242">
        <f t="shared" si="388"/>
        <v>-35360</v>
      </c>
      <c r="H17644" s="722" t="s">
        <v>11645</v>
      </c>
    </row>
    <row r="17645" spans="1:8" ht="15" x14ac:dyDescent="0.2">
      <c r="A17645" s="746">
        <v>45247</v>
      </c>
      <c r="B17645" s="180" t="s">
        <v>10688</v>
      </c>
      <c r="C17645" s="560" t="s">
        <v>3031</v>
      </c>
      <c r="D17645" s="753" t="s">
        <v>11838</v>
      </c>
      <c r="E17645" s="561">
        <v>1872465</v>
      </c>
      <c r="F17645" s="242"/>
      <c r="G17645" s="242">
        <f t="shared" si="388"/>
        <v>-1872465</v>
      </c>
      <c r="H17645" s="722" t="s">
        <v>11645</v>
      </c>
    </row>
    <row r="17646" spans="1:8" ht="15" x14ac:dyDescent="0.2">
      <c r="A17646" s="746">
        <v>45247</v>
      </c>
      <c r="B17646" s="180" t="s">
        <v>11022</v>
      </c>
      <c r="C17646" s="180" t="s">
        <v>7290</v>
      </c>
      <c r="D17646" s="234" t="s">
        <v>11829</v>
      </c>
      <c r="E17646" s="242">
        <v>300000</v>
      </c>
      <c r="F17646" s="242"/>
      <c r="G17646" s="242">
        <f t="shared" si="388"/>
        <v>-300000</v>
      </c>
      <c r="H17646" s="722" t="s">
        <v>11645</v>
      </c>
    </row>
    <row r="17647" spans="1:8" ht="15" x14ac:dyDescent="0.2">
      <c r="A17647" s="746">
        <v>45247</v>
      </c>
      <c r="B17647" s="180" t="s">
        <v>11022</v>
      </c>
      <c r="C17647" s="180" t="s">
        <v>7290</v>
      </c>
      <c r="D17647" s="234" t="s">
        <v>11830</v>
      </c>
      <c r="E17647" s="242">
        <v>197000</v>
      </c>
      <c r="F17647" s="242"/>
      <c r="G17647" s="242">
        <f t="shared" si="388"/>
        <v>-197000</v>
      </c>
      <c r="H17647" s="722" t="s">
        <v>11645</v>
      </c>
    </row>
    <row r="17648" spans="1:8" ht="15" x14ac:dyDescent="0.2">
      <c r="A17648" s="746">
        <v>45247</v>
      </c>
      <c r="B17648" s="180" t="s">
        <v>10688</v>
      </c>
      <c r="C17648" s="180" t="s">
        <v>7538</v>
      </c>
      <c r="D17648" s="234" t="s">
        <v>11831</v>
      </c>
      <c r="E17648" s="242">
        <v>500000</v>
      </c>
      <c r="F17648" s="242"/>
      <c r="G17648" s="242">
        <f t="shared" si="388"/>
        <v>-500000</v>
      </c>
      <c r="H17648" s="722" t="s">
        <v>11645</v>
      </c>
    </row>
    <row r="17649" spans="1:8" ht="15" x14ac:dyDescent="0.2">
      <c r="A17649" s="746">
        <v>45247</v>
      </c>
      <c r="B17649" s="180" t="s">
        <v>10688</v>
      </c>
      <c r="C17649" s="180" t="s">
        <v>7538</v>
      </c>
      <c r="D17649" s="234" t="s">
        <v>11832</v>
      </c>
      <c r="E17649" s="242">
        <v>500000</v>
      </c>
      <c r="F17649" s="242"/>
      <c r="G17649" s="242">
        <f t="shared" si="388"/>
        <v>-500000</v>
      </c>
      <c r="H17649" s="722" t="s">
        <v>11645</v>
      </c>
    </row>
    <row r="17650" spans="1:8" ht="24" x14ac:dyDescent="0.2">
      <c r="A17650" s="746">
        <v>45247</v>
      </c>
      <c r="B17650" s="180" t="s">
        <v>11758</v>
      </c>
      <c r="C17650" s="560" t="s">
        <v>11094</v>
      </c>
      <c r="D17650" s="753" t="s">
        <v>11923</v>
      </c>
      <c r="E17650" s="561">
        <v>53100</v>
      </c>
      <c r="F17650" s="242"/>
      <c r="G17650" s="242">
        <f t="shared" si="388"/>
        <v>-53100</v>
      </c>
      <c r="H17650" s="722" t="s">
        <v>11645</v>
      </c>
    </row>
    <row r="17651" spans="1:8" ht="19.5" customHeight="1" x14ac:dyDescent="0.2">
      <c r="A17651" s="746">
        <v>45247</v>
      </c>
      <c r="B17651" s="180" t="s">
        <v>11022</v>
      </c>
      <c r="C17651" s="560" t="s">
        <v>11094</v>
      </c>
      <c r="D17651" s="753" t="s">
        <v>11923</v>
      </c>
      <c r="E17651" s="561">
        <v>136508</v>
      </c>
      <c r="F17651" s="242"/>
      <c r="G17651" s="242">
        <f t="shared" si="388"/>
        <v>-136508</v>
      </c>
      <c r="H17651" s="722" t="s">
        <v>11645</v>
      </c>
    </row>
    <row r="17652" spans="1:8" ht="19.5" customHeight="1" x14ac:dyDescent="0.2">
      <c r="A17652" s="746">
        <v>45248</v>
      </c>
      <c r="B17652" s="180" t="s">
        <v>10342</v>
      </c>
      <c r="C17652" s="180" t="s">
        <v>11873</v>
      </c>
      <c r="D17652" s="234" t="s">
        <v>11874</v>
      </c>
      <c r="E17652" s="242">
        <v>495000</v>
      </c>
      <c r="F17652" s="242"/>
      <c r="G17652" s="242">
        <f t="shared" si="388"/>
        <v>-495000</v>
      </c>
      <c r="H17652" s="722" t="s">
        <v>11645</v>
      </c>
    </row>
    <row r="17653" spans="1:8" ht="19.5" customHeight="1" x14ac:dyDescent="0.2">
      <c r="A17653" s="746">
        <v>45248</v>
      </c>
      <c r="B17653" s="180" t="s">
        <v>10342</v>
      </c>
      <c r="C17653" s="180" t="s">
        <v>11873</v>
      </c>
      <c r="D17653" s="234" t="s">
        <v>11874</v>
      </c>
      <c r="E17653" s="242">
        <v>490000</v>
      </c>
      <c r="F17653" s="242"/>
      <c r="G17653" s="242">
        <f t="shared" si="388"/>
        <v>-490000</v>
      </c>
      <c r="H17653" s="722" t="s">
        <v>11645</v>
      </c>
    </row>
    <row r="17654" spans="1:8" ht="19.5" customHeight="1" x14ac:dyDescent="0.2">
      <c r="A17654" s="746">
        <v>45248</v>
      </c>
      <c r="B17654" s="180" t="s">
        <v>11207</v>
      </c>
      <c r="C17654" s="180" t="s">
        <v>1205</v>
      </c>
      <c r="D17654" s="234" t="s">
        <v>11874</v>
      </c>
      <c r="E17654" s="242">
        <v>500000</v>
      </c>
      <c r="F17654" s="242"/>
      <c r="G17654" s="242">
        <f t="shared" si="388"/>
        <v>-500000</v>
      </c>
      <c r="H17654" s="722" t="s">
        <v>11645</v>
      </c>
    </row>
    <row r="17655" spans="1:8" ht="19.5" customHeight="1" x14ac:dyDescent="0.2">
      <c r="A17655" s="746">
        <v>45248</v>
      </c>
      <c r="B17655" s="180" t="s">
        <v>11207</v>
      </c>
      <c r="C17655" s="180" t="s">
        <v>1205</v>
      </c>
      <c r="D17655" s="234" t="s">
        <v>11874</v>
      </c>
      <c r="E17655" s="242">
        <v>500000</v>
      </c>
      <c r="F17655" s="242"/>
      <c r="G17655" s="242">
        <f t="shared" ref="G17655:G17669" si="389">F17655-E17655</f>
        <v>-500000</v>
      </c>
      <c r="H17655" s="722" t="s">
        <v>11645</v>
      </c>
    </row>
    <row r="17656" spans="1:8" ht="19.5" customHeight="1" x14ac:dyDescent="0.2">
      <c r="A17656" s="746">
        <v>45248</v>
      </c>
      <c r="B17656" s="180" t="s">
        <v>11207</v>
      </c>
      <c r="C17656" s="180" t="s">
        <v>1205</v>
      </c>
      <c r="D17656" s="234" t="s">
        <v>11874</v>
      </c>
      <c r="E17656" s="242">
        <v>500000</v>
      </c>
      <c r="F17656" s="242"/>
      <c r="G17656" s="242">
        <f t="shared" si="389"/>
        <v>-500000</v>
      </c>
      <c r="H17656" s="722" t="s">
        <v>11645</v>
      </c>
    </row>
    <row r="17657" spans="1:8" ht="19.5" customHeight="1" x14ac:dyDescent="0.2">
      <c r="A17657" s="746">
        <v>45248</v>
      </c>
      <c r="B17657" s="180" t="s">
        <v>11207</v>
      </c>
      <c r="C17657" s="180" t="s">
        <v>1205</v>
      </c>
      <c r="D17657" s="234" t="s">
        <v>11874</v>
      </c>
      <c r="E17657" s="242">
        <v>500000</v>
      </c>
      <c r="F17657" s="242"/>
      <c r="G17657" s="242">
        <f t="shared" si="389"/>
        <v>-500000</v>
      </c>
      <c r="H17657" s="722" t="s">
        <v>11645</v>
      </c>
    </row>
    <row r="17658" spans="1:8" ht="19.5" customHeight="1" x14ac:dyDescent="0.2">
      <c r="A17658" s="746">
        <v>45248</v>
      </c>
      <c r="B17658" s="180" t="s">
        <v>11207</v>
      </c>
      <c r="C17658" s="180" t="s">
        <v>1205</v>
      </c>
      <c r="D17658" s="234" t="s">
        <v>11874</v>
      </c>
      <c r="E17658" s="242">
        <v>400000</v>
      </c>
      <c r="F17658" s="242"/>
      <c r="G17658" s="242">
        <f t="shared" si="389"/>
        <v>-400000</v>
      </c>
      <c r="H17658" s="722" t="s">
        <v>11645</v>
      </c>
    </row>
    <row r="17659" spans="1:8" ht="19.5" customHeight="1" x14ac:dyDescent="0.2">
      <c r="A17659" s="746">
        <v>45248</v>
      </c>
      <c r="B17659" s="180" t="s">
        <v>11207</v>
      </c>
      <c r="C17659" s="180" t="s">
        <v>1205</v>
      </c>
      <c r="D17659" s="234" t="s">
        <v>11874</v>
      </c>
      <c r="E17659" s="242">
        <v>300000</v>
      </c>
      <c r="F17659" s="242"/>
      <c r="G17659" s="242">
        <f t="shared" si="389"/>
        <v>-300000</v>
      </c>
      <c r="H17659" s="722" t="s">
        <v>11645</v>
      </c>
    </row>
    <row r="17660" spans="1:8" ht="19.5" customHeight="1" x14ac:dyDescent="0.2">
      <c r="A17660" s="746">
        <v>45248</v>
      </c>
      <c r="B17660" s="180" t="s">
        <v>11207</v>
      </c>
      <c r="C17660" s="180" t="s">
        <v>1205</v>
      </c>
      <c r="D17660" s="234" t="s">
        <v>11874</v>
      </c>
      <c r="E17660" s="242">
        <v>300000</v>
      </c>
      <c r="F17660" s="242"/>
      <c r="G17660" s="242">
        <f t="shared" si="389"/>
        <v>-300000</v>
      </c>
      <c r="H17660" s="722" t="s">
        <v>11645</v>
      </c>
    </row>
    <row r="17661" spans="1:8" ht="51.75" customHeight="1" x14ac:dyDescent="0.2">
      <c r="A17661" s="746">
        <v>45248</v>
      </c>
      <c r="B17661" s="180" t="s">
        <v>11758</v>
      </c>
      <c r="C17661" s="180" t="s">
        <v>11903</v>
      </c>
      <c r="D17661" s="234" t="s">
        <v>11904</v>
      </c>
      <c r="E17661" s="242">
        <v>200000</v>
      </c>
      <c r="F17661" s="242"/>
      <c r="G17661" s="242">
        <f t="shared" si="389"/>
        <v>-200000</v>
      </c>
      <c r="H17661" s="722" t="s">
        <v>11645</v>
      </c>
    </row>
    <row r="17662" spans="1:8" ht="19.5" customHeight="1" x14ac:dyDescent="0.2">
      <c r="A17662" s="746">
        <v>45251</v>
      </c>
      <c r="B17662" s="180" t="s">
        <v>10261</v>
      </c>
      <c r="C17662" s="180" t="s">
        <v>9858</v>
      </c>
      <c r="D17662" s="234" t="s">
        <v>11875</v>
      </c>
      <c r="E17662" s="242">
        <v>107000</v>
      </c>
      <c r="F17662" s="242"/>
      <c r="G17662" s="242">
        <f t="shared" si="389"/>
        <v>-107000</v>
      </c>
      <c r="H17662" s="722" t="s">
        <v>11645</v>
      </c>
    </row>
    <row r="17663" spans="1:8" ht="19.5" customHeight="1" x14ac:dyDescent="0.2">
      <c r="A17663" s="746">
        <v>45251</v>
      </c>
      <c r="B17663" s="180" t="s">
        <v>11207</v>
      </c>
      <c r="C17663" s="560" t="s">
        <v>6843</v>
      </c>
      <c r="D17663" s="753" t="s">
        <v>11876</v>
      </c>
      <c r="E17663" s="561">
        <v>70000</v>
      </c>
      <c r="F17663" s="242"/>
      <c r="G17663" s="242">
        <f t="shared" si="389"/>
        <v>-70000</v>
      </c>
      <c r="H17663" s="722" t="s">
        <v>11645</v>
      </c>
    </row>
    <row r="17664" spans="1:8" ht="19.5" customHeight="1" x14ac:dyDescent="0.2">
      <c r="A17664" s="746">
        <v>45251</v>
      </c>
      <c r="B17664" s="180" t="s">
        <v>10342</v>
      </c>
      <c r="C17664" s="560" t="s">
        <v>6843</v>
      </c>
      <c r="D17664" s="753" t="s">
        <v>11876</v>
      </c>
      <c r="E17664" s="561">
        <v>133000</v>
      </c>
      <c r="F17664" s="242"/>
      <c r="G17664" s="242">
        <f t="shared" si="389"/>
        <v>-133000</v>
      </c>
      <c r="H17664" s="722" t="s">
        <v>11645</v>
      </c>
    </row>
    <row r="17665" spans="1:8" ht="19.5" customHeight="1" x14ac:dyDescent="0.2">
      <c r="A17665" s="746">
        <v>45251</v>
      </c>
      <c r="B17665" s="180" t="s">
        <v>10342</v>
      </c>
      <c r="C17665" s="180" t="s">
        <v>6843</v>
      </c>
      <c r="D17665" s="234" t="s">
        <v>11877</v>
      </c>
      <c r="E17665" s="242">
        <v>150000</v>
      </c>
      <c r="F17665" s="242"/>
      <c r="G17665" s="242">
        <f t="shared" si="389"/>
        <v>-150000</v>
      </c>
      <c r="H17665" s="722" t="s">
        <v>11645</v>
      </c>
    </row>
    <row r="17666" spans="1:8" ht="19.5" customHeight="1" x14ac:dyDescent="0.2">
      <c r="A17666" s="746">
        <v>45254</v>
      </c>
      <c r="B17666" s="180" t="s">
        <v>3979</v>
      </c>
      <c r="C17666" s="180" t="s">
        <v>11926</v>
      </c>
      <c r="D17666" s="234" t="s">
        <v>11925</v>
      </c>
      <c r="E17666" s="242">
        <v>120000</v>
      </c>
      <c r="F17666" s="242"/>
      <c r="G17666" s="242">
        <f t="shared" si="389"/>
        <v>-120000</v>
      </c>
      <c r="H17666" s="722" t="s">
        <v>11645</v>
      </c>
    </row>
    <row r="17667" spans="1:8" ht="19.5" customHeight="1" x14ac:dyDescent="0.2">
      <c r="A17667" s="746">
        <v>45255</v>
      </c>
      <c r="B17667" s="180" t="s">
        <v>11758</v>
      </c>
      <c r="C17667" s="180" t="s">
        <v>7538</v>
      </c>
      <c r="D17667" s="234" t="s">
        <v>11927</v>
      </c>
      <c r="E17667" s="242">
        <v>850000</v>
      </c>
      <c r="F17667" s="242"/>
      <c r="G17667" s="242">
        <f t="shared" si="389"/>
        <v>-850000</v>
      </c>
      <c r="H17667" s="722" t="s">
        <v>11645</v>
      </c>
    </row>
    <row r="17668" spans="1:8" ht="19.5" customHeight="1" x14ac:dyDescent="0.2">
      <c r="A17668" s="746">
        <v>45258</v>
      </c>
      <c r="B17668" s="180" t="s">
        <v>10342</v>
      </c>
      <c r="C17668" s="180" t="s">
        <v>11590</v>
      </c>
      <c r="D17668" s="234" t="s">
        <v>11936</v>
      </c>
      <c r="E17668" s="242">
        <v>130000</v>
      </c>
      <c r="F17668" s="242"/>
      <c r="G17668" s="242">
        <f t="shared" si="389"/>
        <v>-130000</v>
      </c>
      <c r="H17668" s="722" t="s">
        <v>11645</v>
      </c>
    </row>
    <row r="17669" spans="1:8" ht="19.5" customHeight="1" x14ac:dyDescent="0.2">
      <c r="A17669" s="746">
        <v>45258</v>
      </c>
      <c r="B17669" s="180" t="s">
        <v>11427</v>
      </c>
      <c r="C17669" s="180" t="s">
        <v>10173</v>
      </c>
      <c r="D17669" s="234" t="s">
        <v>11937</v>
      </c>
      <c r="E17669" s="242">
        <v>40000</v>
      </c>
      <c r="F17669" s="242"/>
      <c r="G17669" s="242">
        <f t="shared" si="389"/>
        <v>-40000</v>
      </c>
      <c r="H17669" s="722" t="s">
        <v>11645</v>
      </c>
    </row>
    <row r="17670" spans="1:8" ht="19.5" customHeight="1" x14ac:dyDescent="0.2">
      <c r="A17670" s="746">
        <v>45258</v>
      </c>
      <c r="B17670" s="180" t="s">
        <v>25</v>
      </c>
      <c r="C17670" s="560" t="s">
        <v>8230</v>
      </c>
      <c r="D17670" s="753" t="s">
        <v>11938</v>
      </c>
      <c r="E17670" s="561">
        <v>58438</v>
      </c>
      <c r="F17670" s="242"/>
      <c r="G17670" s="242">
        <f t="shared" ref="G17670:G17671" si="390">F17670-E17670</f>
        <v>-58438</v>
      </c>
      <c r="H17670" s="722" t="s">
        <v>11645</v>
      </c>
    </row>
    <row r="17671" spans="1:8" ht="19.5" customHeight="1" x14ac:dyDescent="0.2">
      <c r="A17671" s="746">
        <v>45258</v>
      </c>
      <c r="B17671" s="180" t="s">
        <v>103</v>
      </c>
      <c r="C17671" s="560" t="s">
        <v>8230</v>
      </c>
      <c r="D17671" s="753" t="s">
        <v>11938</v>
      </c>
      <c r="E17671" s="561">
        <v>39665</v>
      </c>
      <c r="F17671" s="242"/>
      <c r="G17671" s="242">
        <f t="shared" si="390"/>
        <v>-39665</v>
      </c>
      <c r="H17671" s="722" t="s">
        <v>11645</v>
      </c>
    </row>
    <row r="17672" spans="1:8" ht="19.5" customHeight="1" x14ac:dyDescent="0.2">
      <c r="A17672" s="746">
        <v>45258</v>
      </c>
      <c r="B17672" s="180" t="s">
        <v>11758</v>
      </c>
      <c r="C17672" s="180" t="s">
        <v>1205</v>
      </c>
      <c r="D17672" s="234" t="s">
        <v>11939</v>
      </c>
      <c r="E17672" s="242">
        <v>500000</v>
      </c>
      <c r="F17672" s="242"/>
      <c r="G17672" s="242">
        <f t="shared" ref="G17672:G17675" si="391">F17672-E17672</f>
        <v>-500000</v>
      </c>
      <c r="H17672" s="722" t="s">
        <v>11645</v>
      </c>
    </row>
    <row r="17673" spans="1:8" ht="19.5" customHeight="1" x14ac:dyDescent="0.2">
      <c r="A17673" s="746">
        <v>45258</v>
      </c>
      <c r="B17673" s="180" t="s">
        <v>11758</v>
      </c>
      <c r="C17673" s="180" t="s">
        <v>1205</v>
      </c>
      <c r="D17673" s="234" t="s">
        <v>11939</v>
      </c>
      <c r="E17673" s="242">
        <v>500000</v>
      </c>
      <c r="F17673" s="242"/>
      <c r="G17673" s="242">
        <f t="shared" si="391"/>
        <v>-500000</v>
      </c>
      <c r="H17673" s="722" t="s">
        <v>11645</v>
      </c>
    </row>
    <row r="17674" spans="1:8" ht="19.5" customHeight="1" x14ac:dyDescent="0.2">
      <c r="A17674" s="746">
        <v>45258</v>
      </c>
      <c r="B17674" s="180" t="s">
        <v>11758</v>
      </c>
      <c r="C17674" s="180" t="s">
        <v>1205</v>
      </c>
      <c r="D17674" s="234" t="s">
        <v>11939</v>
      </c>
      <c r="E17674" s="242">
        <v>500000</v>
      </c>
      <c r="F17674" s="242"/>
      <c r="G17674" s="242">
        <f t="shared" si="391"/>
        <v>-500000</v>
      </c>
      <c r="H17674" s="722" t="s">
        <v>11645</v>
      </c>
    </row>
    <row r="17675" spans="1:8" ht="19.5" customHeight="1" x14ac:dyDescent="0.2">
      <c r="A17675" s="746">
        <v>45258</v>
      </c>
      <c r="B17675" s="180" t="s">
        <v>11758</v>
      </c>
      <c r="C17675" s="180" t="s">
        <v>1205</v>
      </c>
      <c r="D17675" s="234" t="s">
        <v>11939</v>
      </c>
      <c r="E17675" s="242">
        <v>500000</v>
      </c>
      <c r="F17675" s="242"/>
      <c r="G17675" s="242">
        <f t="shared" si="391"/>
        <v>-500000</v>
      </c>
      <c r="H17675" s="722" t="s">
        <v>11645</v>
      </c>
    </row>
    <row r="17676" spans="1:8" ht="15" x14ac:dyDescent="0.2">
      <c r="A17676" s="743">
        <v>45231</v>
      </c>
      <c r="B17676" s="94" t="s">
        <v>9877</v>
      </c>
      <c r="C17676" s="97" t="s">
        <v>561</v>
      </c>
      <c r="D17676" s="908" t="s">
        <v>11644</v>
      </c>
      <c r="E17676" s="95"/>
      <c r="F17676" s="95">
        <v>2000000</v>
      </c>
      <c r="G17676" s="182">
        <f t="shared" ref="G17676" si="392">F17676-E17676</f>
        <v>2000000</v>
      </c>
      <c r="H17676" s="715" t="s">
        <v>11645</v>
      </c>
    </row>
    <row r="17677" spans="1:8" ht="15" x14ac:dyDescent="0.2">
      <c r="A17677" s="743">
        <v>45238</v>
      </c>
      <c r="B17677" s="94" t="s">
        <v>37</v>
      </c>
      <c r="C17677" s="97" t="s">
        <v>561</v>
      </c>
      <c r="D17677" s="908" t="s">
        <v>11715</v>
      </c>
      <c r="E17677" s="95"/>
      <c r="F17677" s="95">
        <v>186430</v>
      </c>
      <c r="G17677" s="182">
        <f t="shared" ref="G17677:G17681" si="393">F17677-E17677</f>
        <v>186430</v>
      </c>
      <c r="H17677" s="715" t="s">
        <v>11645</v>
      </c>
    </row>
    <row r="17678" spans="1:8" ht="15" x14ac:dyDescent="0.2">
      <c r="A17678" s="743">
        <v>45238</v>
      </c>
      <c r="B17678" s="94" t="s">
        <v>37</v>
      </c>
      <c r="C17678" s="97" t="s">
        <v>561</v>
      </c>
      <c r="D17678" s="908" t="s">
        <v>11716</v>
      </c>
      <c r="E17678" s="95"/>
      <c r="F17678" s="95">
        <v>186430</v>
      </c>
      <c r="G17678" s="182">
        <f t="shared" si="393"/>
        <v>186430</v>
      </c>
      <c r="H17678" s="715" t="s">
        <v>11645</v>
      </c>
    </row>
    <row r="17679" spans="1:8" ht="15" x14ac:dyDescent="0.2">
      <c r="A17679" s="743">
        <v>45238</v>
      </c>
      <c r="B17679" s="94" t="s">
        <v>37</v>
      </c>
      <c r="C17679" s="97" t="s">
        <v>561</v>
      </c>
      <c r="D17679" s="908" t="s">
        <v>11717</v>
      </c>
      <c r="E17679" s="95"/>
      <c r="F17679" s="95">
        <v>186430</v>
      </c>
      <c r="G17679" s="182">
        <f t="shared" si="393"/>
        <v>186430</v>
      </c>
      <c r="H17679" s="715" t="s">
        <v>11645</v>
      </c>
    </row>
    <row r="17680" spans="1:8" ht="15" x14ac:dyDescent="0.2">
      <c r="A17680" s="743">
        <v>45241</v>
      </c>
      <c r="B17680" s="94" t="s">
        <v>3979</v>
      </c>
      <c r="C17680" s="97" t="s">
        <v>561</v>
      </c>
      <c r="D17680" s="908" t="s">
        <v>11742</v>
      </c>
      <c r="E17680" s="95"/>
      <c r="F17680" s="95">
        <v>359992</v>
      </c>
      <c r="G17680" s="182">
        <f t="shared" si="393"/>
        <v>359992</v>
      </c>
      <c r="H17680" s="715" t="s">
        <v>11645</v>
      </c>
    </row>
    <row r="17681" spans="1:8" ht="15" x14ac:dyDescent="0.2">
      <c r="A17681" s="743">
        <v>45241</v>
      </c>
      <c r="B17681" s="94" t="s">
        <v>11022</v>
      </c>
      <c r="C17681" s="97" t="s">
        <v>561</v>
      </c>
      <c r="D17681" s="908" t="s">
        <v>11924</v>
      </c>
      <c r="E17681" s="95"/>
      <c r="F17681" s="95">
        <v>50000</v>
      </c>
      <c r="G17681" s="182">
        <f t="shared" si="393"/>
        <v>50000</v>
      </c>
      <c r="H17681" s="715" t="s">
        <v>11645</v>
      </c>
    </row>
    <row r="17682" spans="1:8" ht="15" x14ac:dyDescent="0.2">
      <c r="A17682" s="743">
        <v>45245</v>
      </c>
      <c r="B17682" s="94" t="s">
        <v>11740</v>
      </c>
      <c r="C17682" s="97" t="s">
        <v>561</v>
      </c>
      <c r="D17682" s="908" t="s">
        <v>11808</v>
      </c>
      <c r="E17682" s="95"/>
      <c r="F17682" s="95">
        <v>1600000</v>
      </c>
      <c r="G17682" s="182">
        <f t="shared" ref="G17682" si="394">F17682-E17682</f>
        <v>1600000</v>
      </c>
      <c r="H17682" s="715" t="s">
        <v>11645</v>
      </c>
    </row>
    <row r="17683" spans="1:8" ht="15" x14ac:dyDescent="0.2">
      <c r="A17683" s="743">
        <v>45247</v>
      </c>
      <c r="B17683" s="94" t="s">
        <v>9463</v>
      </c>
      <c r="C17683" s="97" t="s">
        <v>561</v>
      </c>
      <c r="D17683" s="908" t="s">
        <v>11827</v>
      </c>
      <c r="E17683" s="95"/>
      <c r="F17683" s="95">
        <v>189608</v>
      </c>
      <c r="G17683" s="182">
        <f t="shared" ref="G17683" si="395">F17683-E17683</f>
        <v>189608</v>
      </c>
      <c r="H17683" s="715" t="s">
        <v>11645</v>
      </c>
    </row>
    <row r="17684" spans="1:8" s="695" customFormat="1" ht="48" x14ac:dyDescent="0.25">
      <c r="A17684" s="743">
        <v>45253</v>
      </c>
      <c r="B17684" s="97" t="s">
        <v>10261</v>
      </c>
      <c r="C17684" s="97" t="s">
        <v>561</v>
      </c>
      <c r="D17684" s="818" t="s">
        <v>11947</v>
      </c>
      <c r="E17684" s="182"/>
      <c r="F17684" s="182">
        <v>2500000</v>
      </c>
      <c r="G17684" s="182">
        <f t="shared" ref="G17684" si="396">F17684-E17684</f>
        <v>2500000</v>
      </c>
      <c r="H17684" s="715" t="s">
        <v>11645</v>
      </c>
    </row>
    <row r="17685" spans="1:8" ht="15" x14ac:dyDescent="0.2">
      <c r="A17685" s="743">
        <v>45253</v>
      </c>
      <c r="B17685" s="94" t="s">
        <v>10261</v>
      </c>
      <c r="C17685" s="97" t="s">
        <v>561</v>
      </c>
      <c r="D17685" s="908" t="s">
        <v>11921</v>
      </c>
      <c r="E17685" s="95"/>
      <c r="F17685" s="95">
        <v>1204349</v>
      </c>
      <c r="G17685" s="182">
        <f t="shared" ref="G17685:G17688" si="397">F17685-E17685</f>
        <v>1204349</v>
      </c>
      <c r="H17685" s="715" t="s">
        <v>11645</v>
      </c>
    </row>
    <row r="17686" spans="1:8" ht="15" x14ac:dyDescent="0.2">
      <c r="A17686" s="743">
        <v>45253</v>
      </c>
      <c r="B17686" s="94" t="s">
        <v>10261</v>
      </c>
      <c r="C17686" s="97" t="s">
        <v>561</v>
      </c>
      <c r="D17686" s="908" t="s">
        <v>11921</v>
      </c>
      <c r="E17686" s="95"/>
      <c r="F17686" s="95">
        <v>1000000</v>
      </c>
      <c r="G17686" s="95">
        <f t="shared" si="397"/>
        <v>1000000</v>
      </c>
      <c r="H17686" s="715" t="s">
        <v>11645</v>
      </c>
    </row>
    <row r="17687" spans="1:8" ht="15" x14ac:dyDescent="0.2">
      <c r="A17687" s="743">
        <v>45253</v>
      </c>
      <c r="B17687" s="94" t="s">
        <v>10261</v>
      </c>
      <c r="C17687" s="97" t="s">
        <v>561</v>
      </c>
      <c r="D17687" s="908" t="s">
        <v>11921</v>
      </c>
      <c r="E17687" s="95"/>
      <c r="F17687" s="95">
        <v>1000000</v>
      </c>
      <c r="G17687" s="95">
        <f t="shared" si="397"/>
        <v>1000000</v>
      </c>
      <c r="H17687" s="715" t="s">
        <v>11645</v>
      </c>
    </row>
    <row r="17688" spans="1:8" ht="15" x14ac:dyDescent="0.2">
      <c r="A17688" s="743">
        <v>45253</v>
      </c>
      <c r="B17688" s="94" t="s">
        <v>10261</v>
      </c>
      <c r="C17688" s="97" t="s">
        <v>561</v>
      </c>
      <c r="D17688" s="908" t="s">
        <v>11921</v>
      </c>
      <c r="E17688" s="95"/>
      <c r="F17688" s="95">
        <v>1000000</v>
      </c>
      <c r="G17688" s="95">
        <f t="shared" si="397"/>
        <v>1000000</v>
      </c>
      <c r="H17688" s="715" t="s">
        <v>11645</v>
      </c>
    </row>
    <row r="17689" spans="1:8" ht="15" x14ac:dyDescent="0.2">
      <c r="A17689" s="743">
        <v>45253</v>
      </c>
      <c r="B17689" s="94" t="s">
        <v>10261</v>
      </c>
      <c r="C17689" s="97" t="s">
        <v>561</v>
      </c>
      <c r="D17689" s="908" t="s">
        <v>11921</v>
      </c>
      <c r="E17689" s="95"/>
      <c r="F17689" s="95">
        <v>1000000</v>
      </c>
      <c r="G17689" s="95">
        <f t="shared" ref="G17689:G17690" si="398">F17689-E17689</f>
        <v>1000000</v>
      </c>
      <c r="H17689" s="715" t="s">
        <v>11645</v>
      </c>
    </row>
    <row r="17690" spans="1:8" ht="15" x14ac:dyDescent="0.2">
      <c r="A17690" s="743">
        <v>45254</v>
      </c>
      <c r="B17690" s="94" t="s">
        <v>11022</v>
      </c>
      <c r="C17690" s="97" t="s">
        <v>561</v>
      </c>
      <c r="D17690" s="817" t="s">
        <v>11948</v>
      </c>
      <c r="E17690" s="95"/>
      <c r="F17690" s="95">
        <v>850000</v>
      </c>
      <c r="G17690" s="95">
        <f t="shared" si="398"/>
        <v>850000</v>
      </c>
      <c r="H17690" s="715" t="s">
        <v>11645</v>
      </c>
    </row>
    <row r="17691" spans="1:8" ht="15" x14ac:dyDescent="0.2">
      <c r="A17691" s="743">
        <v>45254</v>
      </c>
      <c r="B17691" s="94" t="s">
        <v>11022</v>
      </c>
      <c r="C17691" s="97" t="s">
        <v>561</v>
      </c>
      <c r="D17691" s="817" t="s">
        <v>11949</v>
      </c>
      <c r="E17691" s="95"/>
      <c r="F17691" s="95">
        <v>850000</v>
      </c>
      <c r="G17691" s="95">
        <f t="shared" ref="G17691:G17695" si="399">F17691-E17691</f>
        <v>850000</v>
      </c>
      <c r="H17691" s="715" t="s">
        <v>11645</v>
      </c>
    </row>
    <row r="17692" spans="1:8" ht="15" x14ac:dyDescent="0.2">
      <c r="A17692" s="743">
        <v>45254</v>
      </c>
      <c r="B17692" s="94" t="s">
        <v>11022</v>
      </c>
      <c r="C17692" s="97" t="s">
        <v>561</v>
      </c>
      <c r="D17692" s="817" t="s">
        <v>11949</v>
      </c>
      <c r="E17692" s="95"/>
      <c r="F17692" s="95">
        <v>840000</v>
      </c>
      <c r="G17692" s="95">
        <f t="shared" si="399"/>
        <v>840000</v>
      </c>
      <c r="H17692" s="715" t="s">
        <v>11645</v>
      </c>
    </row>
    <row r="17693" spans="1:8" ht="15" x14ac:dyDescent="0.2">
      <c r="A17693" s="743">
        <v>45254</v>
      </c>
      <c r="B17693" s="94" t="s">
        <v>11022</v>
      </c>
      <c r="C17693" s="97" t="s">
        <v>561</v>
      </c>
      <c r="D17693" s="817" t="s">
        <v>11949</v>
      </c>
      <c r="E17693" s="95"/>
      <c r="F17693" s="95">
        <v>830000</v>
      </c>
      <c r="G17693" s="95">
        <f t="shared" si="399"/>
        <v>830000</v>
      </c>
      <c r="H17693" s="715" t="s">
        <v>11645</v>
      </c>
    </row>
    <row r="17694" spans="1:8" ht="15" x14ac:dyDescent="0.2">
      <c r="A17694" s="743">
        <v>45254</v>
      </c>
      <c r="B17694" s="94" t="s">
        <v>11022</v>
      </c>
      <c r="C17694" s="97" t="s">
        <v>561</v>
      </c>
      <c r="D17694" s="817" t="s">
        <v>11949</v>
      </c>
      <c r="E17694" s="95"/>
      <c r="F17694" s="95">
        <v>830000</v>
      </c>
      <c r="G17694" s="95">
        <f t="shared" si="399"/>
        <v>830000</v>
      </c>
      <c r="H17694" s="715" t="s">
        <v>11645</v>
      </c>
    </row>
    <row r="17695" spans="1:8" ht="15" x14ac:dyDescent="0.2">
      <c r="A17695" s="743">
        <v>45254</v>
      </c>
      <c r="B17695" s="94" t="s">
        <v>11022</v>
      </c>
      <c r="C17695" s="97" t="s">
        <v>561</v>
      </c>
      <c r="D17695" s="817" t="s">
        <v>11949</v>
      </c>
      <c r="E17695" s="95"/>
      <c r="F17695" s="95">
        <v>800000</v>
      </c>
      <c r="G17695" s="95">
        <f t="shared" si="399"/>
        <v>800000</v>
      </c>
      <c r="H17695" s="715" t="s">
        <v>11645</v>
      </c>
    </row>
    <row r="17696" spans="1:8" ht="15" x14ac:dyDescent="0.2">
      <c r="A17696" s="743">
        <v>45254</v>
      </c>
      <c r="B17696" s="97" t="s">
        <v>11022</v>
      </c>
      <c r="C17696" s="97" t="s">
        <v>561</v>
      </c>
      <c r="D17696" s="908" t="s">
        <v>11922</v>
      </c>
      <c r="E17696" s="182"/>
      <c r="F17696" s="182">
        <v>28200</v>
      </c>
      <c r="G17696" s="182">
        <f t="shared" ref="G17696:G17852" si="400">F17696-E17696</f>
        <v>28200</v>
      </c>
      <c r="H17696" s="715" t="s">
        <v>11645</v>
      </c>
    </row>
    <row r="17697" spans="1:8" ht="15" x14ac:dyDescent="0.2">
      <c r="A17697" s="743">
        <v>45260</v>
      </c>
      <c r="B17697" s="97" t="s">
        <v>3978</v>
      </c>
      <c r="C17697" s="97" t="s">
        <v>561</v>
      </c>
      <c r="D17697" s="908" t="s">
        <v>11950</v>
      </c>
      <c r="E17697" s="182"/>
      <c r="F17697" s="182">
        <v>333522</v>
      </c>
      <c r="G17697" s="182">
        <f t="shared" si="400"/>
        <v>333522</v>
      </c>
      <c r="H17697" s="715" t="s">
        <v>11645</v>
      </c>
    </row>
    <row r="17698" spans="1:8" ht="15" x14ac:dyDescent="0.2">
      <c r="A17698" s="747">
        <v>45261</v>
      </c>
      <c r="B17698" s="43" t="s">
        <v>10582</v>
      </c>
      <c r="C17698" s="65" t="s">
        <v>9568</v>
      </c>
      <c r="D17698" s="807" t="s">
        <v>1164</v>
      </c>
      <c r="E17698" s="60">
        <v>20000</v>
      </c>
      <c r="F17698" s="60"/>
      <c r="G17698" s="132">
        <f t="shared" si="400"/>
        <v>-20000</v>
      </c>
      <c r="H17698" s="718" t="s">
        <v>11963</v>
      </c>
    </row>
    <row r="17699" spans="1:8" ht="15" x14ac:dyDescent="0.2">
      <c r="A17699" s="747">
        <v>45261</v>
      </c>
      <c r="B17699" s="43" t="s">
        <v>11758</v>
      </c>
      <c r="C17699" s="65" t="s">
        <v>5434</v>
      </c>
      <c r="D17699" s="807" t="s">
        <v>372</v>
      </c>
      <c r="E17699" s="60">
        <v>6000</v>
      </c>
      <c r="F17699" s="60"/>
      <c r="G17699" s="132">
        <f t="shared" si="400"/>
        <v>-6000</v>
      </c>
      <c r="H17699" s="718" t="s">
        <v>11963</v>
      </c>
    </row>
    <row r="17700" spans="1:8" ht="15" x14ac:dyDescent="0.2">
      <c r="A17700" s="747">
        <v>45261</v>
      </c>
      <c r="B17700" s="43" t="s">
        <v>103</v>
      </c>
      <c r="C17700" s="65" t="s">
        <v>394</v>
      </c>
      <c r="D17700" s="807" t="s">
        <v>11962</v>
      </c>
      <c r="E17700" s="60">
        <v>450</v>
      </c>
      <c r="F17700" s="60"/>
      <c r="G17700" s="132">
        <f t="shared" si="400"/>
        <v>-450</v>
      </c>
      <c r="H17700" s="718" t="s">
        <v>11963</v>
      </c>
    </row>
    <row r="17701" spans="1:8" ht="15" x14ac:dyDescent="0.2">
      <c r="A17701" s="747">
        <v>45261</v>
      </c>
      <c r="B17701" s="43" t="s">
        <v>11746</v>
      </c>
      <c r="C17701" s="65" t="s">
        <v>288</v>
      </c>
      <c r="D17701" s="807" t="s">
        <v>8758</v>
      </c>
      <c r="E17701" s="60">
        <v>1450</v>
      </c>
      <c r="F17701" s="60"/>
      <c r="G17701" s="132">
        <f t="shared" si="400"/>
        <v>-1450</v>
      </c>
      <c r="H17701" s="718" t="s">
        <v>11963</v>
      </c>
    </row>
    <row r="17702" spans="1:8" ht="15" x14ac:dyDescent="0.2">
      <c r="A17702" s="747">
        <v>45261</v>
      </c>
      <c r="B17702" s="43" t="s">
        <v>11254</v>
      </c>
      <c r="C17702" s="65" t="s">
        <v>11815</v>
      </c>
      <c r="D17702" s="807" t="s">
        <v>8278</v>
      </c>
      <c r="E17702" s="60">
        <v>25000</v>
      </c>
      <c r="F17702" s="60"/>
      <c r="G17702" s="132">
        <f t="shared" si="400"/>
        <v>-25000</v>
      </c>
      <c r="H17702" s="718" t="s">
        <v>11963</v>
      </c>
    </row>
    <row r="17703" spans="1:8" ht="15" x14ac:dyDescent="0.2">
      <c r="A17703" s="747">
        <v>45261</v>
      </c>
      <c r="B17703" s="43" t="s">
        <v>11568</v>
      </c>
      <c r="C17703" s="65" t="s">
        <v>11682</v>
      </c>
      <c r="D17703" s="807" t="s">
        <v>11905</v>
      </c>
      <c r="E17703" s="60">
        <v>50000</v>
      </c>
      <c r="F17703" s="60"/>
      <c r="G17703" s="132">
        <f t="shared" ref="G17703:G17705" si="401">F17703-E17703</f>
        <v>-50000</v>
      </c>
      <c r="H17703" s="718" t="s">
        <v>11963</v>
      </c>
    </row>
    <row r="17704" spans="1:8" ht="15" x14ac:dyDescent="0.2">
      <c r="A17704" s="747">
        <v>45261</v>
      </c>
      <c r="B17704" s="43" t="s">
        <v>11740</v>
      </c>
      <c r="C17704" s="65" t="s">
        <v>11217</v>
      </c>
      <c r="D17704" s="807" t="s">
        <v>11996</v>
      </c>
      <c r="E17704" s="60">
        <v>50000</v>
      </c>
      <c r="F17704" s="60"/>
      <c r="G17704" s="132">
        <f t="shared" si="401"/>
        <v>-50000</v>
      </c>
      <c r="H17704" s="718" t="s">
        <v>11963</v>
      </c>
    </row>
    <row r="17705" spans="1:8" ht="15" x14ac:dyDescent="0.2">
      <c r="A17705" s="747">
        <v>45261</v>
      </c>
      <c r="B17705" s="43" t="s">
        <v>10261</v>
      </c>
      <c r="C17705" s="65" t="s">
        <v>12025</v>
      </c>
      <c r="D17705" s="807" t="s">
        <v>11996</v>
      </c>
      <c r="E17705" s="60">
        <v>50000</v>
      </c>
      <c r="F17705" s="60"/>
      <c r="G17705" s="132">
        <f t="shared" si="401"/>
        <v>-50000</v>
      </c>
      <c r="H17705" s="718" t="s">
        <v>11963</v>
      </c>
    </row>
    <row r="17706" spans="1:8" ht="15" x14ac:dyDescent="0.2">
      <c r="A17706" s="747">
        <v>45261</v>
      </c>
      <c r="B17706" s="43" t="s">
        <v>11746</v>
      </c>
      <c r="C17706" s="65" t="s">
        <v>5791</v>
      </c>
      <c r="D17706" s="807" t="s">
        <v>372</v>
      </c>
      <c r="E17706" s="60">
        <v>5000</v>
      </c>
      <c r="F17706" s="60"/>
      <c r="G17706" s="132">
        <f t="shared" si="400"/>
        <v>-5000</v>
      </c>
      <c r="H17706" s="718" t="s">
        <v>11963</v>
      </c>
    </row>
    <row r="17707" spans="1:8" ht="15" x14ac:dyDescent="0.2">
      <c r="A17707" s="747">
        <v>45261</v>
      </c>
      <c r="B17707" s="65" t="s">
        <v>11633</v>
      </c>
      <c r="C17707" s="65" t="s">
        <v>11108</v>
      </c>
      <c r="D17707" s="807" t="s">
        <v>11964</v>
      </c>
      <c r="E17707" s="132">
        <v>18700</v>
      </c>
      <c r="F17707" s="132"/>
      <c r="G17707" s="132">
        <f t="shared" si="400"/>
        <v>-18700</v>
      </c>
      <c r="H17707" s="718" t="s">
        <v>11963</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11963</v>
      </c>
    </row>
    <row r="17709" spans="1:8" ht="15" x14ac:dyDescent="0.2">
      <c r="A17709" s="747">
        <v>45262</v>
      </c>
      <c r="B17709" s="65" t="s">
        <v>11568</v>
      </c>
      <c r="C17709" s="65" t="s">
        <v>11108</v>
      </c>
      <c r="D17709" s="807" t="s">
        <v>12002</v>
      </c>
      <c r="E17709" s="132">
        <v>5000</v>
      </c>
      <c r="F17709" s="132"/>
      <c r="G17709" s="132">
        <f t="shared" si="402"/>
        <v>-5000</v>
      </c>
      <c r="H17709" s="718" t="s">
        <v>11963</v>
      </c>
    </row>
    <row r="17710" spans="1:8" ht="15" x14ac:dyDescent="0.2">
      <c r="A17710" s="747">
        <v>45262</v>
      </c>
      <c r="B17710" s="65" t="s">
        <v>11022</v>
      </c>
      <c r="C17710" s="65" t="s">
        <v>11108</v>
      </c>
      <c r="D17710" s="807" t="s">
        <v>11397</v>
      </c>
      <c r="E17710" s="132">
        <v>1500</v>
      </c>
      <c r="F17710" s="132"/>
      <c r="G17710" s="132">
        <f t="shared" si="402"/>
        <v>-1500</v>
      </c>
      <c r="H17710" s="718" t="s">
        <v>11963</v>
      </c>
    </row>
    <row r="17711" spans="1:8" ht="15" x14ac:dyDescent="0.2">
      <c r="A17711" s="747">
        <v>45262</v>
      </c>
      <c r="B17711" s="65" t="s">
        <v>11568</v>
      </c>
      <c r="C17711" s="65" t="s">
        <v>11108</v>
      </c>
      <c r="D17711" s="807" t="s">
        <v>11965</v>
      </c>
      <c r="E17711" s="132">
        <v>11620</v>
      </c>
      <c r="F17711" s="132"/>
      <c r="G17711" s="132">
        <f t="shared" si="402"/>
        <v>-11620</v>
      </c>
      <c r="H17711" s="718" t="s">
        <v>11963</v>
      </c>
    </row>
    <row r="17712" spans="1:8" ht="15" x14ac:dyDescent="0.2">
      <c r="A17712" s="747">
        <v>45262</v>
      </c>
      <c r="B17712" s="65" t="s">
        <v>11758</v>
      </c>
      <c r="C17712" s="65" t="s">
        <v>7538</v>
      </c>
      <c r="D17712" s="807" t="s">
        <v>11966</v>
      </c>
      <c r="E17712" s="132">
        <v>1000000</v>
      </c>
      <c r="F17712" s="132"/>
      <c r="G17712" s="132">
        <f t="shared" si="402"/>
        <v>-1000000</v>
      </c>
      <c r="H17712" s="718" t="s">
        <v>11963</v>
      </c>
    </row>
    <row r="17713" spans="1:8" ht="15" x14ac:dyDescent="0.2">
      <c r="A17713" s="747">
        <v>45263</v>
      </c>
      <c r="B17713" s="65" t="s">
        <v>10096</v>
      </c>
      <c r="C17713" s="65" t="s">
        <v>6533</v>
      </c>
      <c r="D17713" s="807" t="s">
        <v>11996</v>
      </c>
      <c r="E17713" s="132">
        <v>100000</v>
      </c>
      <c r="F17713" s="132"/>
      <c r="G17713" s="132">
        <f t="shared" si="402"/>
        <v>-100000</v>
      </c>
      <c r="H17713" s="718" t="s">
        <v>11963</v>
      </c>
    </row>
    <row r="17714" spans="1:8" ht="15" x14ac:dyDescent="0.2">
      <c r="A17714" s="747">
        <v>45264</v>
      </c>
      <c r="B17714" s="65" t="s">
        <v>10096</v>
      </c>
      <c r="C17714" s="65" t="s">
        <v>6533</v>
      </c>
      <c r="D17714" s="807" t="s">
        <v>11996</v>
      </c>
      <c r="E17714" s="132">
        <v>30000</v>
      </c>
      <c r="F17714" s="132"/>
      <c r="G17714" s="132">
        <f t="shared" si="402"/>
        <v>-30000</v>
      </c>
      <c r="H17714" s="718" t="s">
        <v>11963</v>
      </c>
    </row>
    <row r="17715" spans="1:8" ht="15" x14ac:dyDescent="0.2">
      <c r="A17715" s="747">
        <v>45264</v>
      </c>
      <c r="B17715" s="65" t="s">
        <v>11758</v>
      </c>
      <c r="C17715" s="65" t="s">
        <v>7538</v>
      </c>
      <c r="D17715" s="807" t="s">
        <v>11293</v>
      </c>
      <c r="E17715" s="132">
        <v>600000</v>
      </c>
      <c r="F17715" s="132"/>
      <c r="G17715" s="132">
        <f t="shared" si="402"/>
        <v>-600000</v>
      </c>
      <c r="H17715" s="718" t="s">
        <v>11963</v>
      </c>
    </row>
    <row r="17716" spans="1:8" ht="15" x14ac:dyDescent="0.2">
      <c r="A17716" s="747">
        <v>45264</v>
      </c>
      <c r="B17716" s="65" t="s">
        <v>11568</v>
      </c>
      <c r="C17716" s="65" t="s">
        <v>11108</v>
      </c>
      <c r="D17716" s="807" t="s">
        <v>11968</v>
      </c>
      <c r="E17716" s="132">
        <v>45000</v>
      </c>
      <c r="F17716" s="132"/>
      <c r="G17716" s="132">
        <f t="shared" ref="G17716:G17721" si="403">F17716-E17716</f>
        <v>-45000</v>
      </c>
      <c r="H17716" s="718" t="s">
        <v>11963</v>
      </c>
    </row>
    <row r="17717" spans="1:8" ht="15" x14ac:dyDescent="0.2">
      <c r="A17717" s="747">
        <v>45264</v>
      </c>
      <c r="B17717" s="65" t="s">
        <v>11022</v>
      </c>
      <c r="C17717" s="65" t="s">
        <v>5791</v>
      </c>
      <c r="D17717" s="807" t="s">
        <v>10448</v>
      </c>
      <c r="E17717" s="132">
        <v>300</v>
      </c>
      <c r="F17717" s="132"/>
      <c r="G17717" s="132">
        <f t="shared" si="403"/>
        <v>-300</v>
      </c>
      <c r="H17717" s="718" t="s">
        <v>11963</v>
      </c>
    </row>
    <row r="17718" spans="1:8" ht="15" x14ac:dyDescent="0.2">
      <c r="A17718" s="747">
        <v>45264</v>
      </c>
      <c r="B17718" s="65" t="s">
        <v>11746</v>
      </c>
      <c r="C17718" s="65" t="s">
        <v>5791</v>
      </c>
      <c r="D17718" s="807" t="s">
        <v>372</v>
      </c>
      <c r="E17718" s="132">
        <v>5000</v>
      </c>
      <c r="F17718" s="132"/>
      <c r="G17718" s="132">
        <f t="shared" si="403"/>
        <v>-5000</v>
      </c>
      <c r="H17718" s="718" t="s">
        <v>11963</v>
      </c>
    </row>
    <row r="17719" spans="1:8" ht="15" x14ac:dyDescent="0.2">
      <c r="A17719" s="747">
        <v>45264</v>
      </c>
      <c r="B17719" s="65" t="s">
        <v>103</v>
      </c>
      <c r="C17719" s="65" t="s">
        <v>103</v>
      </c>
      <c r="D17719" s="807" t="s">
        <v>11896</v>
      </c>
      <c r="E17719" s="132">
        <v>2000</v>
      </c>
      <c r="F17719" s="132"/>
      <c r="G17719" s="132">
        <f t="shared" si="403"/>
        <v>-2000</v>
      </c>
      <c r="H17719" s="718" t="s">
        <v>11963</v>
      </c>
    </row>
    <row r="17720" spans="1:8" ht="15" x14ac:dyDescent="0.2">
      <c r="A17720" s="747">
        <v>45264</v>
      </c>
      <c r="B17720" s="65" t="s">
        <v>11758</v>
      </c>
      <c r="C17720" s="65" t="s">
        <v>5791</v>
      </c>
      <c r="D17720" s="807" t="s">
        <v>372</v>
      </c>
      <c r="E17720" s="132">
        <v>1700</v>
      </c>
      <c r="F17720" s="132"/>
      <c r="G17720" s="132">
        <f t="shared" si="403"/>
        <v>-1700</v>
      </c>
      <c r="H17720" s="718" t="s">
        <v>11963</v>
      </c>
    </row>
    <row r="17721" spans="1:8" ht="15" x14ac:dyDescent="0.2">
      <c r="A17721" s="747">
        <v>45265</v>
      </c>
      <c r="B17721" s="65" t="s">
        <v>11758</v>
      </c>
      <c r="C17721" s="65" t="s">
        <v>11411</v>
      </c>
      <c r="D17721" s="807" t="s">
        <v>11966</v>
      </c>
      <c r="E17721" s="132">
        <v>100000</v>
      </c>
      <c r="F17721" s="132"/>
      <c r="G17721" s="132">
        <f t="shared" si="403"/>
        <v>-100000</v>
      </c>
      <c r="H17721" s="718" t="s">
        <v>11963</v>
      </c>
    </row>
    <row r="17722" spans="1:8" ht="15" x14ac:dyDescent="0.2">
      <c r="A17722" s="747">
        <v>45265</v>
      </c>
      <c r="B17722" s="65" t="s">
        <v>11758</v>
      </c>
      <c r="C17722" s="65" t="s">
        <v>8460</v>
      </c>
      <c r="D17722" s="807" t="s">
        <v>11969</v>
      </c>
      <c r="E17722" s="132">
        <v>11000</v>
      </c>
      <c r="F17722" s="132"/>
      <c r="G17722" s="132">
        <f t="shared" ref="G17722:G17733" si="404">F17722-E17722</f>
        <v>-11000</v>
      </c>
      <c r="H17722" s="718" t="s">
        <v>11963</v>
      </c>
    </row>
    <row r="17723" spans="1:8" ht="15" x14ac:dyDescent="0.2">
      <c r="A17723" s="747">
        <v>45265</v>
      </c>
      <c r="B17723" s="65" t="s">
        <v>11748</v>
      </c>
      <c r="C17723" s="65" t="s">
        <v>11749</v>
      </c>
      <c r="D17723" s="807" t="s">
        <v>1164</v>
      </c>
      <c r="E17723" s="132">
        <v>30000</v>
      </c>
      <c r="F17723" s="132"/>
      <c r="G17723" s="132">
        <f t="shared" si="404"/>
        <v>-30000</v>
      </c>
      <c r="H17723" s="718" t="s">
        <v>11963</v>
      </c>
    </row>
    <row r="17724" spans="1:8" ht="15" x14ac:dyDescent="0.2">
      <c r="A17724" s="747">
        <v>45265</v>
      </c>
      <c r="B17724" s="65" t="s">
        <v>103</v>
      </c>
      <c r="C17724" s="65" t="s">
        <v>394</v>
      </c>
      <c r="D17724" s="807" t="s">
        <v>11103</v>
      </c>
      <c r="E17724" s="132">
        <v>1600</v>
      </c>
      <c r="F17724" s="132"/>
      <c r="G17724" s="132">
        <f t="shared" si="404"/>
        <v>-1600</v>
      </c>
      <c r="H17724" s="718" t="s">
        <v>11963</v>
      </c>
    </row>
    <row r="17725" spans="1:8" ht="15" x14ac:dyDescent="0.2">
      <c r="A17725" s="747">
        <v>45265</v>
      </c>
      <c r="B17725" s="65" t="s">
        <v>103</v>
      </c>
      <c r="C17725" s="65" t="s">
        <v>103</v>
      </c>
      <c r="D17725" s="807" t="s">
        <v>11896</v>
      </c>
      <c r="E17725" s="132">
        <v>5000</v>
      </c>
      <c r="F17725" s="132"/>
      <c r="G17725" s="132">
        <f t="shared" si="404"/>
        <v>-5000</v>
      </c>
      <c r="H17725" s="718" t="s">
        <v>11963</v>
      </c>
    </row>
    <row r="17726" spans="1:8" ht="15" x14ac:dyDescent="0.2">
      <c r="A17726" s="747">
        <v>45265</v>
      </c>
      <c r="B17726" s="65" t="s">
        <v>11758</v>
      </c>
      <c r="C17726" s="65" t="s">
        <v>5457</v>
      </c>
      <c r="D17726" s="807" t="s">
        <v>11970</v>
      </c>
      <c r="E17726" s="132">
        <v>5000</v>
      </c>
      <c r="F17726" s="132"/>
      <c r="G17726" s="132">
        <f t="shared" si="404"/>
        <v>-5000</v>
      </c>
      <c r="H17726" s="718" t="s">
        <v>11963</v>
      </c>
    </row>
    <row r="17727" spans="1:8" ht="15" x14ac:dyDescent="0.2">
      <c r="A17727" s="747">
        <v>45265</v>
      </c>
      <c r="B17727" s="65" t="s">
        <v>11853</v>
      </c>
      <c r="C17727" s="65" t="s">
        <v>5791</v>
      </c>
      <c r="D17727" s="807" t="s">
        <v>10448</v>
      </c>
      <c r="E17727" s="132">
        <v>500</v>
      </c>
      <c r="F17727" s="132"/>
      <c r="G17727" s="132">
        <f t="shared" si="404"/>
        <v>-500</v>
      </c>
      <c r="H17727" s="718" t="s">
        <v>11963</v>
      </c>
    </row>
    <row r="17728" spans="1:8" ht="15" x14ac:dyDescent="0.2">
      <c r="A17728" s="747">
        <v>45265</v>
      </c>
      <c r="B17728" s="65" t="s">
        <v>11853</v>
      </c>
      <c r="C17728" s="575" t="s">
        <v>11674</v>
      </c>
      <c r="D17728" s="1074" t="s">
        <v>11990</v>
      </c>
      <c r="E17728" s="576">
        <v>27000</v>
      </c>
      <c r="F17728" s="132"/>
      <c r="G17728" s="132">
        <f t="shared" si="404"/>
        <v>-27000</v>
      </c>
      <c r="H17728" s="718" t="s">
        <v>11963</v>
      </c>
    </row>
    <row r="17729" spans="1:8" ht="15" x14ac:dyDescent="0.2">
      <c r="A17729" s="747">
        <v>45265</v>
      </c>
      <c r="B17729" s="65" t="s">
        <v>11568</v>
      </c>
      <c r="C17729" s="575" t="s">
        <v>11674</v>
      </c>
      <c r="D17729" s="1074" t="s">
        <v>11990</v>
      </c>
      <c r="E17729" s="576">
        <v>23000</v>
      </c>
      <c r="F17729" s="132"/>
      <c r="G17729" s="132">
        <f t="shared" si="404"/>
        <v>-23000</v>
      </c>
      <c r="H17729" s="718" t="s">
        <v>11963</v>
      </c>
    </row>
    <row r="17730" spans="1:8" ht="15" x14ac:dyDescent="0.2">
      <c r="A17730" s="747">
        <v>45265</v>
      </c>
      <c r="B17730" s="65" t="s">
        <v>11853</v>
      </c>
      <c r="C17730" s="575" t="s">
        <v>11674</v>
      </c>
      <c r="D17730" s="1074" t="s">
        <v>11990</v>
      </c>
      <c r="E17730" s="576">
        <v>82000</v>
      </c>
      <c r="F17730" s="132"/>
      <c r="G17730" s="132">
        <f t="shared" si="404"/>
        <v>-82000</v>
      </c>
      <c r="H17730" s="718" t="s">
        <v>11963</v>
      </c>
    </row>
    <row r="17731" spans="1:8" ht="15" x14ac:dyDescent="0.2">
      <c r="A17731" s="747">
        <v>45265</v>
      </c>
      <c r="B17731" s="65" t="s">
        <v>11633</v>
      </c>
      <c r="C17731" s="65" t="s">
        <v>11108</v>
      </c>
      <c r="D17731" s="807" t="s">
        <v>6543</v>
      </c>
      <c r="E17731" s="132">
        <v>15880</v>
      </c>
      <c r="F17731" s="132"/>
      <c r="G17731" s="132">
        <f t="shared" si="404"/>
        <v>-15880</v>
      </c>
      <c r="H17731" s="718" t="s">
        <v>11963</v>
      </c>
    </row>
    <row r="17732" spans="1:8" ht="15" x14ac:dyDescent="0.2">
      <c r="A17732" s="747">
        <v>45265</v>
      </c>
      <c r="B17732" s="65" t="s">
        <v>10688</v>
      </c>
      <c r="C17732" s="65" t="s">
        <v>11108</v>
      </c>
      <c r="D17732" s="807" t="s">
        <v>11971</v>
      </c>
      <c r="E17732" s="132">
        <v>13000</v>
      </c>
      <c r="F17732" s="132"/>
      <c r="G17732" s="132">
        <f t="shared" si="404"/>
        <v>-13000</v>
      </c>
      <c r="H17732" s="718" t="s">
        <v>11963</v>
      </c>
    </row>
    <row r="17733" spans="1:8" ht="15" x14ac:dyDescent="0.2">
      <c r="A17733" s="747">
        <v>45266</v>
      </c>
      <c r="B17733" s="65" t="s">
        <v>11740</v>
      </c>
      <c r="C17733" s="65" t="s">
        <v>11217</v>
      </c>
      <c r="D17733" s="807" t="s">
        <v>11997</v>
      </c>
      <c r="E17733" s="132">
        <v>100000</v>
      </c>
      <c r="F17733" s="132"/>
      <c r="G17733" s="132">
        <f t="shared" si="404"/>
        <v>-100000</v>
      </c>
      <c r="H17733" s="718" t="s">
        <v>11963</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11963</v>
      </c>
    </row>
    <row r="17735" spans="1:8" ht="15" x14ac:dyDescent="0.2">
      <c r="A17735" s="747">
        <v>45266</v>
      </c>
      <c r="B17735" s="65" t="s">
        <v>103</v>
      </c>
      <c r="C17735" s="65" t="s">
        <v>8230</v>
      </c>
      <c r="D17735" s="807" t="s">
        <v>6365</v>
      </c>
      <c r="E17735" s="132">
        <v>190</v>
      </c>
      <c r="F17735" s="132"/>
      <c r="G17735" s="132">
        <f t="shared" si="405"/>
        <v>-190</v>
      </c>
      <c r="H17735" s="718" t="s">
        <v>11963</v>
      </c>
    </row>
    <row r="17736" spans="1:8" ht="15" x14ac:dyDescent="0.2">
      <c r="A17736" s="747">
        <v>45266</v>
      </c>
      <c r="B17736" s="65" t="s">
        <v>10342</v>
      </c>
      <c r="C17736" s="65" t="s">
        <v>5791</v>
      </c>
      <c r="D17736" s="807" t="s">
        <v>372</v>
      </c>
      <c r="E17736" s="132">
        <v>3800</v>
      </c>
      <c r="F17736" s="132"/>
      <c r="G17736" s="132">
        <f t="shared" si="405"/>
        <v>-3800</v>
      </c>
      <c r="H17736" s="718" t="s">
        <v>11963</v>
      </c>
    </row>
    <row r="17737" spans="1:8" ht="15" x14ac:dyDescent="0.2">
      <c r="A17737" s="747">
        <v>45266</v>
      </c>
      <c r="B17737" s="65" t="s">
        <v>11853</v>
      </c>
      <c r="C17737" s="65" t="s">
        <v>5791</v>
      </c>
      <c r="D17737" s="807" t="s">
        <v>372</v>
      </c>
      <c r="E17737" s="132">
        <v>4000</v>
      </c>
      <c r="F17737" s="132"/>
      <c r="G17737" s="132">
        <f t="shared" si="405"/>
        <v>-4000</v>
      </c>
      <c r="H17737" s="718" t="s">
        <v>11963</v>
      </c>
    </row>
    <row r="17738" spans="1:8" ht="15" x14ac:dyDescent="0.2">
      <c r="A17738" s="747">
        <v>45266</v>
      </c>
      <c r="B17738" s="65" t="s">
        <v>11022</v>
      </c>
      <c r="C17738" s="65" t="s">
        <v>11108</v>
      </c>
      <c r="D17738" s="807" t="s">
        <v>11972</v>
      </c>
      <c r="E17738" s="132">
        <v>4250</v>
      </c>
      <c r="F17738" s="132"/>
      <c r="G17738" s="132">
        <f t="shared" si="405"/>
        <v>-4250</v>
      </c>
      <c r="H17738" s="718" t="s">
        <v>11963</v>
      </c>
    </row>
    <row r="17739" spans="1:8" ht="15" x14ac:dyDescent="0.2">
      <c r="A17739" s="747">
        <v>45266</v>
      </c>
      <c r="B17739" s="65" t="s">
        <v>37</v>
      </c>
      <c r="C17739" s="65" t="s">
        <v>394</v>
      </c>
      <c r="D17739" s="807" t="s">
        <v>11724</v>
      </c>
      <c r="E17739" s="132">
        <v>3000</v>
      </c>
      <c r="F17739" s="132"/>
      <c r="G17739" s="132">
        <f t="shared" si="405"/>
        <v>-3000</v>
      </c>
      <c r="H17739" s="718" t="s">
        <v>11963</v>
      </c>
    </row>
    <row r="17740" spans="1:8" ht="15" x14ac:dyDescent="0.2">
      <c r="A17740" s="747">
        <v>45266</v>
      </c>
      <c r="B17740" s="65" t="s">
        <v>11853</v>
      </c>
      <c r="C17740" s="65" t="s">
        <v>11108</v>
      </c>
      <c r="D17740" s="807" t="s">
        <v>11388</v>
      </c>
      <c r="E17740" s="132">
        <v>3650</v>
      </c>
      <c r="F17740" s="132"/>
      <c r="G17740" s="132">
        <f t="shared" ref="G17740:G17742" si="406">F17740-E17740</f>
        <v>-3650</v>
      </c>
      <c r="H17740" s="718" t="s">
        <v>11963</v>
      </c>
    </row>
    <row r="17741" spans="1:8" ht="15" x14ac:dyDescent="0.2">
      <c r="A17741" s="747">
        <v>45266</v>
      </c>
      <c r="B17741" s="65" t="s">
        <v>11207</v>
      </c>
      <c r="C17741" s="65" t="s">
        <v>394</v>
      </c>
      <c r="D17741" s="807" t="s">
        <v>10170</v>
      </c>
      <c r="E17741" s="132">
        <v>1000</v>
      </c>
      <c r="F17741" s="132"/>
      <c r="G17741" s="132">
        <f t="shared" si="406"/>
        <v>-1000</v>
      </c>
      <c r="H17741" s="718" t="s">
        <v>11963</v>
      </c>
    </row>
    <row r="17742" spans="1:8" ht="15" x14ac:dyDescent="0.2">
      <c r="A17742" s="747">
        <v>45266</v>
      </c>
      <c r="B17742" s="65" t="s">
        <v>103</v>
      </c>
      <c r="C17742" s="65" t="s">
        <v>103</v>
      </c>
      <c r="D17742" s="807" t="s">
        <v>11896</v>
      </c>
      <c r="E17742" s="132">
        <v>3000</v>
      </c>
      <c r="F17742" s="132"/>
      <c r="G17742" s="132">
        <f t="shared" si="406"/>
        <v>-3000</v>
      </c>
      <c r="H17742" s="718" t="s">
        <v>11963</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11963</v>
      </c>
    </row>
    <row r="17744" spans="1:8" ht="15" x14ac:dyDescent="0.2">
      <c r="A17744" s="747">
        <v>45267</v>
      </c>
      <c r="B17744" s="65" t="s">
        <v>11207</v>
      </c>
      <c r="C17744" s="65" t="s">
        <v>11108</v>
      </c>
      <c r="D17744" s="807" t="s">
        <v>11983</v>
      </c>
      <c r="E17744" s="132">
        <v>8000</v>
      </c>
      <c r="F17744" s="132"/>
      <c r="G17744" s="132">
        <f t="shared" si="407"/>
        <v>-8000</v>
      </c>
      <c r="H17744" s="718" t="s">
        <v>11963</v>
      </c>
    </row>
    <row r="17745" spans="1:8" ht="15" x14ac:dyDescent="0.2">
      <c r="A17745" s="747">
        <v>45267</v>
      </c>
      <c r="B17745" s="65" t="s">
        <v>11853</v>
      </c>
      <c r="C17745" s="65" t="s">
        <v>11108</v>
      </c>
      <c r="D17745" s="807" t="s">
        <v>11984</v>
      </c>
      <c r="E17745" s="132">
        <v>28000</v>
      </c>
      <c r="F17745" s="132"/>
      <c r="G17745" s="132">
        <f t="shared" ref="G17745:G17760" si="408">F17745-E17745</f>
        <v>-28000</v>
      </c>
      <c r="H17745" s="718" t="s">
        <v>11963</v>
      </c>
    </row>
    <row r="17746" spans="1:8" ht="15" x14ac:dyDescent="0.2">
      <c r="A17746" s="747">
        <v>45267</v>
      </c>
      <c r="B17746" s="65" t="s">
        <v>11022</v>
      </c>
      <c r="C17746" s="65" t="s">
        <v>11108</v>
      </c>
      <c r="D17746" s="807" t="s">
        <v>10938</v>
      </c>
      <c r="E17746" s="132">
        <v>8500</v>
      </c>
      <c r="F17746" s="132"/>
      <c r="G17746" s="132">
        <f t="shared" si="408"/>
        <v>-8500</v>
      </c>
      <c r="H17746" s="718" t="s">
        <v>11963</v>
      </c>
    </row>
    <row r="17747" spans="1:8" ht="15" x14ac:dyDescent="0.2">
      <c r="A17747" s="747">
        <v>45267</v>
      </c>
      <c r="B17747" s="65" t="s">
        <v>11853</v>
      </c>
      <c r="C17747" s="65" t="s">
        <v>5791</v>
      </c>
      <c r="D17747" s="807" t="s">
        <v>372</v>
      </c>
      <c r="E17747" s="132">
        <v>950</v>
      </c>
      <c r="F17747" s="132"/>
      <c r="G17747" s="132">
        <f t="shared" si="408"/>
        <v>-950</v>
      </c>
      <c r="H17747" s="718" t="s">
        <v>11963</v>
      </c>
    </row>
    <row r="17748" spans="1:8" ht="15" x14ac:dyDescent="0.2">
      <c r="A17748" s="747">
        <v>45267</v>
      </c>
      <c r="B17748" s="65" t="s">
        <v>11853</v>
      </c>
      <c r="C17748" s="65" t="s">
        <v>11108</v>
      </c>
      <c r="D17748" s="807" t="s">
        <v>1628</v>
      </c>
      <c r="E17748" s="132">
        <v>540</v>
      </c>
      <c r="F17748" s="132"/>
      <c r="G17748" s="132">
        <f t="shared" si="408"/>
        <v>-540</v>
      </c>
      <c r="H17748" s="718" t="s">
        <v>11963</v>
      </c>
    </row>
    <row r="17749" spans="1:8" ht="15" x14ac:dyDescent="0.2">
      <c r="A17749" s="747">
        <v>45267</v>
      </c>
      <c r="B17749" s="65" t="s">
        <v>103</v>
      </c>
      <c r="C17749" s="65" t="s">
        <v>103</v>
      </c>
      <c r="D17749" s="807" t="s">
        <v>11896</v>
      </c>
      <c r="E17749" s="132">
        <v>4000</v>
      </c>
      <c r="F17749" s="132"/>
      <c r="G17749" s="132">
        <f t="shared" si="408"/>
        <v>-4000</v>
      </c>
      <c r="H17749" s="718" t="s">
        <v>11963</v>
      </c>
    </row>
    <row r="17750" spans="1:8" ht="15" x14ac:dyDescent="0.2">
      <c r="A17750" s="747">
        <v>45267</v>
      </c>
      <c r="B17750" s="65" t="s">
        <v>103</v>
      </c>
      <c r="C17750" s="65" t="s">
        <v>103</v>
      </c>
      <c r="D17750" s="807" t="s">
        <v>11985</v>
      </c>
      <c r="E17750" s="132">
        <v>800</v>
      </c>
      <c r="F17750" s="132"/>
      <c r="G17750" s="132">
        <f t="shared" si="408"/>
        <v>-800</v>
      </c>
      <c r="H17750" s="718" t="s">
        <v>11963</v>
      </c>
    </row>
    <row r="17751" spans="1:8" ht="15" x14ac:dyDescent="0.2">
      <c r="A17751" s="747">
        <v>45268</v>
      </c>
      <c r="B17751" s="65" t="s">
        <v>11022</v>
      </c>
      <c r="C17751" s="65" t="s">
        <v>11108</v>
      </c>
      <c r="D17751" s="807" t="s">
        <v>11986</v>
      </c>
      <c r="E17751" s="132">
        <v>1200</v>
      </c>
      <c r="F17751" s="132"/>
      <c r="G17751" s="132">
        <f t="shared" si="408"/>
        <v>-1200</v>
      </c>
      <c r="H17751" s="718" t="s">
        <v>11963</v>
      </c>
    </row>
    <row r="17752" spans="1:8" ht="15" x14ac:dyDescent="0.2">
      <c r="A17752" s="747">
        <v>45268</v>
      </c>
      <c r="B17752" s="65" t="s">
        <v>11022</v>
      </c>
      <c r="C17752" s="65" t="s">
        <v>5791</v>
      </c>
      <c r="D17752" s="807" t="s">
        <v>372</v>
      </c>
      <c r="E17752" s="132">
        <v>500</v>
      </c>
      <c r="F17752" s="132"/>
      <c r="G17752" s="132">
        <f t="shared" si="408"/>
        <v>-500</v>
      </c>
      <c r="H17752" s="718" t="s">
        <v>11963</v>
      </c>
    </row>
    <row r="17753" spans="1:8" ht="15" x14ac:dyDescent="0.2">
      <c r="A17753" s="747">
        <v>45268</v>
      </c>
      <c r="B17753" s="65" t="s">
        <v>11022</v>
      </c>
      <c r="C17753" s="65" t="s">
        <v>5791</v>
      </c>
      <c r="D17753" s="807" t="s">
        <v>11987</v>
      </c>
      <c r="E17753" s="132">
        <v>1000</v>
      </c>
      <c r="F17753" s="132"/>
      <c r="G17753" s="132">
        <f t="shared" si="408"/>
        <v>-1000</v>
      </c>
      <c r="H17753" s="718" t="s">
        <v>11963</v>
      </c>
    </row>
    <row r="17754" spans="1:8" ht="15" x14ac:dyDescent="0.2">
      <c r="A17754" s="747">
        <v>45268</v>
      </c>
      <c r="B17754" s="65" t="s">
        <v>11740</v>
      </c>
      <c r="C17754" s="679" t="s">
        <v>11108</v>
      </c>
      <c r="D17754" s="928" t="s">
        <v>11988</v>
      </c>
      <c r="E17754" s="681">
        <v>114500</v>
      </c>
      <c r="F17754" s="132"/>
      <c r="G17754" s="132">
        <f t="shared" si="408"/>
        <v>-114500</v>
      </c>
      <c r="H17754" s="718" t="s">
        <v>11963</v>
      </c>
    </row>
    <row r="17755" spans="1:8" ht="15" x14ac:dyDescent="0.2">
      <c r="A17755" s="747">
        <v>45268</v>
      </c>
      <c r="B17755" s="65" t="s">
        <v>11758</v>
      </c>
      <c r="C17755" s="679" t="s">
        <v>11108</v>
      </c>
      <c r="D17755" s="928" t="s">
        <v>11988</v>
      </c>
      <c r="E17755" s="681">
        <v>9000</v>
      </c>
      <c r="F17755" s="132"/>
      <c r="G17755" s="132">
        <f t="shared" si="408"/>
        <v>-9000</v>
      </c>
      <c r="H17755" s="718" t="s">
        <v>11963</v>
      </c>
    </row>
    <row r="17756" spans="1:8" ht="15" x14ac:dyDescent="0.2">
      <c r="A17756" s="747">
        <v>45268</v>
      </c>
      <c r="B17756" s="65" t="s">
        <v>11022</v>
      </c>
      <c r="C17756" s="679" t="s">
        <v>11108</v>
      </c>
      <c r="D17756" s="928" t="s">
        <v>11988</v>
      </c>
      <c r="E17756" s="681">
        <v>41500</v>
      </c>
      <c r="F17756" s="132"/>
      <c r="G17756" s="132">
        <f t="shared" si="408"/>
        <v>-41500</v>
      </c>
      <c r="H17756" s="718" t="s">
        <v>11963</v>
      </c>
    </row>
    <row r="17757" spans="1:8" ht="24" x14ac:dyDescent="0.2">
      <c r="A17757" s="747">
        <v>45268</v>
      </c>
      <c r="B17757" s="65" t="s">
        <v>11758</v>
      </c>
      <c r="C17757" s="575" t="s">
        <v>11108</v>
      </c>
      <c r="D17757" s="891" t="s">
        <v>11989</v>
      </c>
      <c r="E17757" s="576">
        <v>28700</v>
      </c>
      <c r="F17757" s="132"/>
      <c r="G17757" s="132">
        <f t="shared" si="408"/>
        <v>-28700</v>
      </c>
      <c r="H17757" s="718" t="s">
        <v>11963</v>
      </c>
    </row>
    <row r="17758" spans="1:8" ht="24" x14ac:dyDescent="0.2">
      <c r="A17758" s="747">
        <v>45268</v>
      </c>
      <c r="B17758" s="65" t="s">
        <v>11022</v>
      </c>
      <c r="C17758" s="575" t="s">
        <v>11108</v>
      </c>
      <c r="D17758" s="891" t="s">
        <v>11989</v>
      </c>
      <c r="E17758" s="576">
        <v>28500</v>
      </c>
      <c r="F17758" s="132"/>
      <c r="G17758" s="132">
        <f t="shared" si="408"/>
        <v>-28500</v>
      </c>
      <c r="H17758" s="718" t="s">
        <v>11963</v>
      </c>
    </row>
    <row r="17759" spans="1:8" ht="24" x14ac:dyDescent="0.2">
      <c r="A17759" s="747">
        <v>45268</v>
      </c>
      <c r="B17759" s="65" t="s">
        <v>11568</v>
      </c>
      <c r="C17759" s="575" t="s">
        <v>11108</v>
      </c>
      <c r="D17759" s="891" t="s">
        <v>11989</v>
      </c>
      <c r="E17759" s="576">
        <v>28500</v>
      </c>
      <c r="F17759" s="132"/>
      <c r="G17759" s="132">
        <f t="shared" si="408"/>
        <v>-28500</v>
      </c>
      <c r="H17759" s="718" t="s">
        <v>11963</v>
      </c>
    </row>
    <row r="17760" spans="1:8" ht="24" x14ac:dyDescent="0.2">
      <c r="A17760" s="747">
        <v>45268</v>
      </c>
      <c r="B17760" s="65" t="s">
        <v>11758</v>
      </c>
      <c r="C17760" s="575" t="s">
        <v>11108</v>
      </c>
      <c r="D17760" s="891" t="s">
        <v>11989</v>
      </c>
      <c r="E17760" s="576">
        <v>27000</v>
      </c>
      <c r="F17760" s="132"/>
      <c r="G17760" s="132">
        <f t="shared" si="408"/>
        <v>-27000</v>
      </c>
      <c r="H17760" s="718" t="s">
        <v>11963</v>
      </c>
    </row>
    <row r="17761" spans="1:8" ht="15" x14ac:dyDescent="0.2">
      <c r="A17761" s="747">
        <v>45268</v>
      </c>
      <c r="B17761" s="65" t="s">
        <v>11568</v>
      </c>
      <c r="C17761" s="65" t="s">
        <v>11577</v>
      </c>
      <c r="D17761" s="807" t="s">
        <v>11992</v>
      </c>
      <c r="E17761" s="132">
        <v>61500</v>
      </c>
      <c r="F17761" s="132"/>
      <c r="G17761" s="132">
        <f t="shared" ref="G17761:G17838" si="409">F17761-E17761</f>
        <v>-61500</v>
      </c>
      <c r="H17761" s="718" t="s">
        <v>11963</v>
      </c>
    </row>
    <row r="17762" spans="1:8" ht="15" x14ac:dyDescent="0.2">
      <c r="A17762" s="747">
        <v>45268</v>
      </c>
      <c r="B17762" s="65" t="s">
        <v>11254</v>
      </c>
      <c r="C17762" s="65" t="s">
        <v>10882</v>
      </c>
      <c r="D17762" s="807" t="s">
        <v>11991</v>
      </c>
      <c r="E17762" s="132">
        <v>340000</v>
      </c>
      <c r="F17762" s="132"/>
      <c r="G17762" s="132">
        <f t="shared" si="409"/>
        <v>-340000</v>
      </c>
      <c r="H17762" s="718" t="s">
        <v>11963</v>
      </c>
    </row>
    <row r="17763" spans="1:8" ht="15" x14ac:dyDescent="0.2">
      <c r="A17763" s="747">
        <v>45268</v>
      </c>
      <c r="B17763" s="65" t="s">
        <v>11022</v>
      </c>
      <c r="C17763" s="65" t="s">
        <v>11108</v>
      </c>
      <c r="D17763" s="807" t="s">
        <v>11998</v>
      </c>
      <c r="E17763" s="132">
        <v>11750</v>
      </c>
      <c r="F17763" s="132"/>
      <c r="G17763" s="132">
        <f t="shared" ref="G17763:G17770" si="410">F17763-E17763</f>
        <v>-11750</v>
      </c>
      <c r="H17763" s="718" t="s">
        <v>11963</v>
      </c>
    </row>
    <row r="17764" spans="1:8" ht="15" x14ac:dyDescent="0.2">
      <c r="A17764" s="747">
        <v>45268</v>
      </c>
      <c r="B17764" s="65" t="s">
        <v>11022</v>
      </c>
      <c r="C17764" s="65" t="s">
        <v>11108</v>
      </c>
      <c r="D17764" s="807" t="s">
        <v>11999</v>
      </c>
      <c r="E17764" s="132">
        <v>5000</v>
      </c>
      <c r="F17764" s="132"/>
      <c r="G17764" s="132">
        <f t="shared" si="410"/>
        <v>-5000</v>
      </c>
      <c r="H17764" s="718" t="s">
        <v>11963</v>
      </c>
    </row>
    <row r="17765" spans="1:8" ht="15" x14ac:dyDescent="0.2">
      <c r="A17765" s="747">
        <v>45268</v>
      </c>
      <c r="B17765" s="65" t="s">
        <v>11022</v>
      </c>
      <c r="C17765" s="65" t="s">
        <v>11108</v>
      </c>
      <c r="D17765" s="807" t="s">
        <v>12000</v>
      </c>
      <c r="E17765" s="132">
        <v>2700</v>
      </c>
      <c r="F17765" s="132"/>
      <c r="G17765" s="132">
        <f t="shared" si="410"/>
        <v>-2700</v>
      </c>
      <c r="H17765" s="718" t="s">
        <v>11963</v>
      </c>
    </row>
    <row r="17766" spans="1:8" ht="15" x14ac:dyDescent="0.2">
      <c r="A17766" s="747">
        <v>45268</v>
      </c>
      <c r="B17766" s="65" t="s">
        <v>11022</v>
      </c>
      <c r="C17766" s="65" t="s">
        <v>5791</v>
      </c>
      <c r="D17766" s="807" t="s">
        <v>372</v>
      </c>
      <c r="E17766" s="132">
        <v>4000</v>
      </c>
      <c r="F17766" s="132"/>
      <c r="G17766" s="132">
        <f t="shared" si="410"/>
        <v>-4000</v>
      </c>
      <c r="H17766" s="718" t="s">
        <v>11963</v>
      </c>
    </row>
    <row r="17767" spans="1:8" ht="15" x14ac:dyDescent="0.2">
      <c r="A17767" s="747">
        <v>45268</v>
      </c>
      <c r="B17767" s="65" t="s">
        <v>103</v>
      </c>
      <c r="C17767" s="65" t="s">
        <v>103</v>
      </c>
      <c r="D17767" s="807" t="s">
        <v>11896</v>
      </c>
      <c r="E17767" s="132">
        <v>2000</v>
      </c>
      <c r="F17767" s="132"/>
      <c r="G17767" s="132">
        <f t="shared" si="410"/>
        <v>-2000</v>
      </c>
      <c r="H17767" s="718" t="s">
        <v>11963</v>
      </c>
    </row>
    <row r="17768" spans="1:8" ht="36" x14ac:dyDescent="0.2">
      <c r="A17768" s="747">
        <v>45268</v>
      </c>
      <c r="B17768" s="65" t="s">
        <v>11022</v>
      </c>
      <c r="C17768" s="65" t="s">
        <v>9872</v>
      </c>
      <c r="D17768" s="189" t="s">
        <v>12003</v>
      </c>
      <c r="E17768" s="132">
        <v>53300</v>
      </c>
      <c r="F17768" s="132"/>
      <c r="G17768" s="132">
        <f t="shared" si="410"/>
        <v>-53300</v>
      </c>
      <c r="H17768" s="718" t="s">
        <v>11963</v>
      </c>
    </row>
    <row r="17769" spans="1:8" ht="15" x14ac:dyDescent="0.2">
      <c r="A17769" s="747">
        <v>45268</v>
      </c>
      <c r="B17769" s="65" t="s">
        <v>11022</v>
      </c>
      <c r="C17769" s="65" t="s">
        <v>11108</v>
      </c>
      <c r="D17769" s="189" t="s">
        <v>7447</v>
      </c>
      <c r="E17769" s="132">
        <v>2460</v>
      </c>
      <c r="F17769" s="132"/>
      <c r="G17769" s="132">
        <f t="shared" si="410"/>
        <v>-2460</v>
      </c>
      <c r="H17769" s="718" t="s">
        <v>11963</v>
      </c>
    </row>
    <row r="17770" spans="1:8" ht="15" x14ac:dyDescent="0.2">
      <c r="A17770" s="747">
        <v>45268</v>
      </c>
      <c r="B17770" s="65" t="s">
        <v>11633</v>
      </c>
      <c r="C17770" s="65" t="s">
        <v>11108</v>
      </c>
      <c r="D17770" s="189" t="s">
        <v>12005</v>
      </c>
      <c r="E17770" s="132">
        <v>14860</v>
      </c>
      <c r="F17770" s="132"/>
      <c r="G17770" s="132">
        <f t="shared" si="410"/>
        <v>-14860</v>
      </c>
      <c r="H17770" s="718" t="s">
        <v>11963</v>
      </c>
    </row>
    <row r="17771" spans="1:8" ht="15" x14ac:dyDescent="0.2">
      <c r="A17771" s="747">
        <v>45268</v>
      </c>
      <c r="B17771" s="65" t="s">
        <v>11853</v>
      </c>
      <c r="C17771" s="65" t="s">
        <v>5791</v>
      </c>
      <c r="D17771" s="189" t="s">
        <v>12006</v>
      </c>
      <c r="E17771" s="132">
        <v>3600</v>
      </c>
      <c r="F17771" s="132"/>
      <c r="G17771" s="132">
        <f t="shared" ref="G17771" si="411">F17771-E17771</f>
        <v>-3600</v>
      </c>
      <c r="H17771" s="718" t="s">
        <v>11963</v>
      </c>
    </row>
    <row r="17772" spans="1:8" ht="15" x14ac:dyDescent="0.2">
      <c r="A17772" s="747">
        <v>45271</v>
      </c>
      <c r="B17772" s="65" t="s">
        <v>11863</v>
      </c>
      <c r="C17772" s="1120" t="s">
        <v>799</v>
      </c>
      <c r="D17772" s="1123" t="s">
        <v>12007</v>
      </c>
      <c r="E17772" s="1122">
        <v>147980</v>
      </c>
      <c r="F17772" s="132"/>
      <c r="G17772" s="132">
        <f t="shared" ref="G17772:G17775" si="412">F17772-E17772</f>
        <v>-147980</v>
      </c>
      <c r="H17772" s="718" t="s">
        <v>11963</v>
      </c>
    </row>
    <row r="17773" spans="1:8" ht="15" x14ac:dyDescent="0.2">
      <c r="A17773" s="747">
        <v>45271</v>
      </c>
      <c r="B17773" s="65" t="s">
        <v>10096</v>
      </c>
      <c r="C17773" s="1120" t="s">
        <v>799</v>
      </c>
      <c r="D17773" s="1123" t="s">
        <v>12008</v>
      </c>
      <c r="E17773" s="1122">
        <v>70690</v>
      </c>
      <c r="F17773" s="132"/>
      <c r="G17773" s="132">
        <f t="shared" si="412"/>
        <v>-70690</v>
      </c>
      <c r="H17773" s="718" t="s">
        <v>11963</v>
      </c>
    </row>
    <row r="17774" spans="1:8" ht="15" x14ac:dyDescent="0.2">
      <c r="A17774" s="747">
        <v>45271</v>
      </c>
      <c r="B17774" s="65" t="s">
        <v>11022</v>
      </c>
      <c r="C17774" s="1120" t="s">
        <v>799</v>
      </c>
      <c r="D17774" s="1123" t="s">
        <v>12009</v>
      </c>
      <c r="E17774" s="1122">
        <v>30750</v>
      </c>
      <c r="F17774" s="132"/>
      <c r="G17774" s="132">
        <f t="shared" si="412"/>
        <v>-30750</v>
      </c>
      <c r="H17774" s="718" t="s">
        <v>11963</v>
      </c>
    </row>
    <row r="17775" spans="1:8" ht="15" x14ac:dyDescent="0.2">
      <c r="A17775" s="747">
        <v>45271</v>
      </c>
      <c r="B17775" s="65" t="s">
        <v>10096</v>
      </c>
      <c r="C17775" s="65" t="s">
        <v>394</v>
      </c>
      <c r="D17775" s="189" t="s">
        <v>12010</v>
      </c>
      <c r="E17775" s="132">
        <v>1000</v>
      </c>
      <c r="F17775" s="132"/>
      <c r="G17775" s="132">
        <f t="shared" si="412"/>
        <v>-1000</v>
      </c>
      <c r="H17775" s="718" t="s">
        <v>11963</v>
      </c>
    </row>
    <row r="17776" spans="1:8" ht="15" x14ac:dyDescent="0.2">
      <c r="A17776" s="747">
        <v>45271</v>
      </c>
      <c r="B17776" s="65" t="s">
        <v>37</v>
      </c>
      <c r="C17776" s="65" t="s">
        <v>5791</v>
      </c>
      <c r="D17776" s="189" t="s">
        <v>10448</v>
      </c>
      <c r="E17776" s="132">
        <v>550</v>
      </c>
      <c r="F17776" s="132"/>
      <c r="G17776" s="132">
        <f t="shared" ref="G17776:G17791" si="413">F17776-E17776</f>
        <v>-550</v>
      </c>
      <c r="H17776" s="718" t="s">
        <v>11963</v>
      </c>
    </row>
    <row r="17777" spans="1:8" ht="15" x14ac:dyDescent="0.2">
      <c r="A17777" s="747">
        <v>45271</v>
      </c>
      <c r="B17777" s="65" t="s">
        <v>3978</v>
      </c>
      <c r="C17777" s="1120" t="s">
        <v>799</v>
      </c>
      <c r="D17777" s="1123" t="s">
        <v>12079</v>
      </c>
      <c r="E17777" s="1122">
        <v>136964.58333333334</v>
      </c>
      <c r="F17777" s="132"/>
      <c r="G17777" s="132">
        <f t="shared" si="413"/>
        <v>-136964.58333333334</v>
      </c>
      <c r="H17777" s="718" t="s">
        <v>11963</v>
      </c>
    </row>
    <row r="17778" spans="1:8" ht="15" x14ac:dyDescent="0.2">
      <c r="A17778" s="747">
        <v>45271</v>
      </c>
      <c r="B17778" s="65" t="s">
        <v>12011</v>
      </c>
      <c r="C17778" s="1120" t="s">
        <v>799</v>
      </c>
      <c r="D17778" s="1123" t="s">
        <v>6762</v>
      </c>
      <c r="E17778" s="1122">
        <v>25050</v>
      </c>
      <c r="F17778" s="132"/>
      <c r="G17778" s="132">
        <f t="shared" si="413"/>
        <v>-25050</v>
      </c>
      <c r="H17778" s="718" t="s">
        <v>11963</v>
      </c>
    </row>
    <row r="17779" spans="1:8" ht="15" x14ac:dyDescent="0.2">
      <c r="A17779" s="747">
        <v>45271</v>
      </c>
      <c r="B17779" s="65" t="s">
        <v>11568</v>
      </c>
      <c r="C17779" s="65" t="s">
        <v>12013</v>
      </c>
      <c r="D17779" s="189" t="s">
        <v>8283</v>
      </c>
      <c r="E17779" s="132">
        <v>9300</v>
      </c>
      <c r="F17779" s="132"/>
      <c r="G17779" s="132">
        <f t="shared" si="413"/>
        <v>-9300</v>
      </c>
      <c r="H17779" s="718" t="s">
        <v>11963</v>
      </c>
    </row>
    <row r="17780" spans="1:8" ht="15" x14ac:dyDescent="0.2">
      <c r="A17780" s="747">
        <v>45271</v>
      </c>
      <c r="B17780" s="65" t="s">
        <v>11568</v>
      </c>
      <c r="C17780" s="65" t="s">
        <v>11850</v>
      </c>
      <c r="D17780" s="189" t="s">
        <v>12014</v>
      </c>
      <c r="E17780" s="132">
        <v>24000</v>
      </c>
      <c r="F17780" s="132"/>
      <c r="G17780" s="132">
        <f t="shared" si="413"/>
        <v>-24000</v>
      </c>
      <c r="H17780" s="718" t="s">
        <v>11963</v>
      </c>
    </row>
    <row r="17781" spans="1:8" ht="15" x14ac:dyDescent="0.2">
      <c r="A17781" s="747">
        <v>45271</v>
      </c>
      <c r="B17781" s="65" t="s">
        <v>103</v>
      </c>
      <c r="C17781" s="65" t="s">
        <v>1504</v>
      </c>
      <c r="D17781" s="189" t="s">
        <v>12015</v>
      </c>
      <c r="E17781" s="132">
        <v>2200</v>
      </c>
      <c r="F17781" s="132"/>
      <c r="G17781" s="132">
        <f t="shared" si="413"/>
        <v>-2200</v>
      </c>
      <c r="H17781" s="718" t="s">
        <v>11963</v>
      </c>
    </row>
    <row r="17782" spans="1:8" ht="15" x14ac:dyDescent="0.2">
      <c r="A17782" s="747">
        <v>45271</v>
      </c>
      <c r="B17782" s="65" t="s">
        <v>12011</v>
      </c>
      <c r="C17782" s="65" t="s">
        <v>799</v>
      </c>
      <c r="D17782" s="189" t="s">
        <v>12012</v>
      </c>
      <c r="E17782" s="132">
        <v>45750</v>
      </c>
      <c r="F17782" s="132"/>
      <c r="G17782" s="132">
        <f t="shared" si="413"/>
        <v>-45750</v>
      </c>
      <c r="H17782" s="718" t="s">
        <v>11963</v>
      </c>
    </row>
    <row r="17783" spans="1:8" ht="15" x14ac:dyDescent="0.2">
      <c r="A17783" s="747">
        <v>45271</v>
      </c>
      <c r="B17783" s="65" t="s">
        <v>103</v>
      </c>
      <c r="C17783" s="65" t="s">
        <v>394</v>
      </c>
      <c r="D17783" s="189" t="s">
        <v>12016</v>
      </c>
      <c r="E17783" s="132">
        <v>880</v>
      </c>
      <c r="F17783" s="132"/>
      <c r="G17783" s="132">
        <f t="shared" si="413"/>
        <v>-880</v>
      </c>
      <c r="H17783" s="718" t="s">
        <v>11963</v>
      </c>
    </row>
    <row r="17784" spans="1:8" ht="15" x14ac:dyDescent="0.2">
      <c r="A17784" s="747">
        <v>45271</v>
      </c>
      <c r="B17784" s="65" t="s">
        <v>103</v>
      </c>
      <c r="C17784" s="65" t="s">
        <v>103</v>
      </c>
      <c r="D17784" s="189" t="s">
        <v>11896</v>
      </c>
      <c r="E17784" s="132">
        <v>4000</v>
      </c>
      <c r="F17784" s="132"/>
      <c r="G17784" s="132">
        <f t="shared" si="413"/>
        <v>-4000</v>
      </c>
      <c r="H17784" s="718" t="s">
        <v>11963</v>
      </c>
    </row>
    <row r="17785" spans="1:8" ht="15" x14ac:dyDescent="0.2">
      <c r="A17785" s="747">
        <v>45272</v>
      </c>
      <c r="B17785" s="65" t="s">
        <v>10342</v>
      </c>
      <c r="C17785" s="65" t="s">
        <v>5791</v>
      </c>
      <c r="D17785" s="189" t="s">
        <v>372</v>
      </c>
      <c r="E17785" s="132">
        <v>2000</v>
      </c>
      <c r="F17785" s="132"/>
      <c r="G17785" s="132">
        <f t="shared" si="413"/>
        <v>-2000</v>
      </c>
      <c r="H17785" s="718" t="s">
        <v>11963</v>
      </c>
    </row>
    <row r="17786" spans="1:8" ht="15" x14ac:dyDescent="0.2">
      <c r="A17786" s="747">
        <v>45272</v>
      </c>
      <c r="B17786" s="65" t="s">
        <v>3979</v>
      </c>
      <c r="C17786" s="1120" t="s">
        <v>799</v>
      </c>
      <c r="D17786" s="1123" t="s">
        <v>12017</v>
      </c>
      <c r="E17786" s="1122">
        <v>39300</v>
      </c>
      <c r="F17786" s="132"/>
      <c r="G17786" s="132">
        <f t="shared" si="413"/>
        <v>-39300</v>
      </c>
      <c r="H17786" s="718" t="s">
        <v>11963</v>
      </c>
    </row>
    <row r="17787" spans="1:8" ht="15" x14ac:dyDescent="0.2">
      <c r="A17787" s="747">
        <v>45272</v>
      </c>
      <c r="B17787" s="65" t="s">
        <v>10096</v>
      </c>
      <c r="C17787" s="560" t="s">
        <v>440</v>
      </c>
      <c r="D17787" s="753" t="s">
        <v>12018</v>
      </c>
      <c r="E17787" s="561">
        <v>7000</v>
      </c>
      <c r="F17787" s="132"/>
      <c r="G17787" s="132">
        <f t="shared" si="413"/>
        <v>-7000</v>
      </c>
      <c r="H17787" s="718" t="s">
        <v>11963</v>
      </c>
    </row>
    <row r="17788" spans="1:8" ht="15" x14ac:dyDescent="0.2">
      <c r="A17788" s="747">
        <v>45272</v>
      </c>
      <c r="B17788" s="65" t="s">
        <v>10582</v>
      </c>
      <c r="C17788" s="560" t="s">
        <v>440</v>
      </c>
      <c r="D17788" s="753" t="s">
        <v>12018</v>
      </c>
      <c r="E17788" s="561">
        <v>52000</v>
      </c>
      <c r="F17788" s="132"/>
      <c r="G17788" s="132">
        <f t="shared" si="413"/>
        <v>-52000</v>
      </c>
      <c r="H17788" s="718" t="s">
        <v>11963</v>
      </c>
    </row>
    <row r="17789" spans="1:8" ht="15" x14ac:dyDescent="0.2">
      <c r="A17789" s="747">
        <v>45272</v>
      </c>
      <c r="B17789" s="65" t="s">
        <v>11207</v>
      </c>
      <c r="C17789" s="65" t="s">
        <v>12026</v>
      </c>
      <c r="D17789" s="189" t="s">
        <v>11290</v>
      </c>
      <c r="E17789" s="132">
        <v>400000</v>
      </c>
      <c r="F17789" s="132"/>
      <c r="G17789" s="132">
        <f t="shared" si="413"/>
        <v>-400000</v>
      </c>
      <c r="H17789" s="718" t="s">
        <v>11963</v>
      </c>
    </row>
    <row r="17790" spans="1:8" ht="15" x14ac:dyDescent="0.2">
      <c r="A17790" s="747">
        <v>45272</v>
      </c>
      <c r="B17790" s="65" t="s">
        <v>11207</v>
      </c>
      <c r="C17790" s="65" t="s">
        <v>12026</v>
      </c>
      <c r="D17790" s="189" t="s">
        <v>11290</v>
      </c>
      <c r="E17790" s="132">
        <v>600000</v>
      </c>
      <c r="F17790" s="132"/>
      <c r="G17790" s="132">
        <f t="shared" si="413"/>
        <v>-600000</v>
      </c>
      <c r="H17790" s="718" t="s">
        <v>11963</v>
      </c>
    </row>
    <row r="17791" spans="1:8" ht="15" x14ac:dyDescent="0.2">
      <c r="A17791" s="747">
        <v>45273</v>
      </c>
      <c r="B17791" s="65" t="s">
        <v>12027</v>
      </c>
      <c r="C17791" s="65" t="s">
        <v>12028</v>
      </c>
      <c r="D17791" s="189" t="s">
        <v>12029</v>
      </c>
      <c r="E17791" s="132">
        <v>1500000</v>
      </c>
      <c r="F17791" s="132"/>
      <c r="G17791" s="132">
        <f t="shared" si="413"/>
        <v>-1500000</v>
      </c>
      <c r="H17791" s="718" t="s">
        <v>11963</v>
      </c>
    </row>
    <row r="17792" spans="1:8" ht="15" x14ac:dyDescent="0.2">
      <c r="A17792" s="747">
        <v>45273</v>
      </c>
      <c r="B17792" s="65" t="s">
        <v>103</v>
      </c>
      <c r="C17792" s="65" t="s">
        <v>103</v>
      </c>
      <c r="D17792" s="189" t="s">
        <v>12030</v>
      </c>
      <c r="E17792" s="132">
        <v>15000</v>
      </c>
      <c r="F17792" s="132"/>
      <c r="G17792" s="132">
        <f t="shared" ref="G17792:G17810" si="414">F17792-E17792</f>
        <v>-15000</v>
      </c>
      <c r="H17792" s="718" t="s">
        <v>11963</v>
      </c>
    </row>
    <row r="17793" spans="1:8" ht="15" x14ac:dyDescent="0.2">
      <c r="A17793" s="747">
        <v>45273</v>
      </c>
      <c r="B17793" s="65" t="s">
        <v>12027</v>
      </c>
      <c r="C17793" s="65" t="s">
        <v>5457</v>
      </c>
      <c r="D17793" s="189" t="s">
        <v>12031</v>
      </c>
      <c r="E17793" s="132">
        <v>10000</v>
      </c>
      <c r="F17793" s="132"/>
      <c r="G17793" s="132">
        <f t="shared" si="414"/>
        <v>-10000</v>
      </c>
      <c r="H17793" s="718" t="s">
        <v>11963</v>
      </c>
    </row>
    <row r="17794" spans="1:8" ht="15" x14ac:dyDescent="0.2">
      <c r="A17794" s="747">
        <v>45273</v>
      </c>
      <c r="B17794" s="65" t="s">
        <v>11853</v>
      </c>
      <c r="C17794" s="65" t="s">
        <v>11108</v>
      </c>
      <c r="D17794" s="189" t="s">
        <v>12032</v>
      </c>
      <c r="E17794" s="132">
        <v>3900</v>
      </c>
      <c r="F17794" s="132"/>
      <c r="G17794" s="132">
        <f t="shared" si="414"/>
        <v>-3900</v>
      </c>
      <c r="H17794" s="718" t="s">
        <v>11963</v>
      </c>
    </row>
    <row r="17795" spans="1:8" ht="15" x14ac:dyDescent="0.2">
      <c r="A17795" s="747">
        <v>45274</v>
      </c>
      <c r="B17795" s="65" t="s">
        <v>11022</v>
      </c>
      <c r="C17795" s="65" t="s">
        <v>5791</v>
      </c>
      <c r="D17795" s="189" t="s">
        <v>1164</v>
      </c>
      <c r="E17795" s="132">
        <v>1000</v>
      </c>
      <c r="F17795" s="132"/>
      <c r="G17795" s="132">
        <f t="shared" si="414"/>
        <v>-1000</v>
      </c>
      <c r="H17795" s="718" t="s">
        <v>11963</v>
      </c>
    </row>
    <row r="17796" spans="1:8" ht="15" x14ac:dyDescent="0.2">
      <c r="A17796" s="747">
        <v>45274</v>
      </c>
      <c r="B17796" s="65" t="s">
        <v>11758</v>
      </c>
      <c r="C17796" s="65" t="s">
        <v>11144</v>
      </c>
      <c r="D17796" s="189" t="s">
        <v>12033</v>
      </c>
      <c r="E17796" s="132">
        <v>40000</v>
      </c>
      <c r="F17796" s="132"/>
      <c r="G17796" s="132">
        <f t="shared" si="414"/>
        <v>-40000</v>
      </c>
      <c r="H17796" s="718" t="s">
        <v>11963</v>
      </c>
    </row>
    <row r="17797" spans="1:8" ht="15" x14ac:dyDescent="0.2">
      <c r="A17797" s="747">
        <v>45274</v>
      </c>
      <c r="B17797" s="65" t="s">
        <v>11022</v>
      </c>
      <c r="C17797" s="65" t="s">
        <v>5791</v>
      </c>
      <c r="D17797" s="189" t="s">
        <v>12034</v>
      </c>
      <c r="E17797" s="132">
        <v>2000</v>
      </c>
      <c r="F17797" s="132"/>
      <c r="G17797" s="132">
        <f t="shared" si="414"/>
        <v>-2000</v>
      </c>
      <c r="H17797" s="718" t="s">
        <v>11963</v>
      </c>
    </row>
    <row r="17798" spans="1:8" ht="15" x14ac:dyDescent="0.2">
      <c r="A17798" s="747">
        <v>45274</v>
      </c>
      <c r="B17798" s="65" t="s">
        <v>11853</v>
      </c>
      <c r="C17798" s="65" t="s">
        <v>5791</v>
      </c>
      <c r="D17798" s="189" t="s">
        <v>10448</v>
      </c>
      <c r="E17798" s="132">
        <v>250</v>
      </c>
      <c r="F17798" s="132"/>
      <c r="G17798" s="132">
        <f t="shared" si="414"/>
        <v>-250</v>
      </c>
      <c r="H17798" s="718" t="s">
        <v>11963</v>
      </c>
    </row>
    <row r="17799" spans="1:8" ht="15" x14ac:dyDescent="0.2">
      <c r="A17799" s="747">
        <v>45274</v>
      </c>
      <c r="B17799" s="65" t="s">
        <v>11207</v>
      </c>
      <c r="C17799" s="65" t="s">
        <v>12035</v>
      </c>
      <c r="D17799" s="189" t="s">
        <v>12060</v>
      </c>
      <c r="E17799" s="132">
        <v>155000</v>
      </c>
      <c r="F17799" s="132"/>
      <c r="G17799" s="132">
        <f t="shared" si="414"/>
        <v>-155000</v>
      </c>
      <c r="H17799" s="718" t="s">
        <v>11963</v>
      </c>
    </row>
    <row r="17800" spans="1:8" ht="15" x14ac:dyDescent="0.2">
      <c r="A17800" s="747">
        <v>45274</v>
      </c>
      <c r="B17800" s="65" t="s">
        <v>11740</v>
      </c>
      <c r="C17800" s="560" t="s">
        <v>674</v>
      </c>
      <c r="D17800" s="753" t="s">
        <v>12036</v>
      </c>
      <c r="E17800" s="561">
        <v>23750</v>
      </c>
      <c r="F17800" s="132"/>
      <c r="G17800" s="132">
        <f t="shared" si="414"/>
        <v>-23750</v>
      </c>
      <c r="H17800" s="718" t="s">
        <v>11963</v>
      </c>
    </row>
    <row r="17801" spans="1:8" ht="15" x14ac:dyDescent="0.2">
      <c r="A17801" s="747">
        <v>45274</v>
      </c>
      <c r="B17801" s="65" t="s">
        <v>11022</v>
      </c>
      <c r="C17801" s="560" t="s">
        <v>674</v>
      </c>
      <c r="D17801" s="753" t="s">
        <v>12036</v>
      </c>
      <c r="E17801" s="561">
        <v>23750</v>
      </c>
      <c r="F17801" s="132"/>
      <c r="G17801" s="132">
        <f t="shared" si="414"/>
        <v>-23750</v>
      </c>
      <c r="H17801" s="718" t="s">
        <v>11963</v>
      </c>
    </row>
    <row r="17802" spans="1:8" ht="15" x14ac:dyDescent="0.2">
      <c r="A17802" s="747">
        <v>45274</v>
      </c>
      <c r="B17802" s="65" t="s">
        <v>11746</v>
      </c>
      <c r="C17802" s="560" t="s">
        <v>674</v>
      </c>
      <c r="D17802" s="753" t="s">
        <v>12036</v>
      </c>
      <c r="E17802" s="561">
        <v>23750</v>
      </c>
      <c r="F17802" s="132"/>
      <c r="G17802" s="132">
        <f t="shared" si="414"/>
        <v>-23750</v>
      </c>
      <c r="H17802" s="718" t="s">
        <v>11963</v>
      </c>
    </row>
    <row r="17803" spans="1:8" ht="15" x14ac:dyDescent="0.2">
      <c r="A17803" s="747">
        <v>45274</v>
      </c>
      <c r="B17803" s="65" t="s">
        <v>10342</v>
      </c>
      <c r="C17803" s="560" t="s">
        <v>674</v>
      </c>
      <c r="D17803" s="753" t="s">
        <v>12036</v>
      </c>
      <c r="E17803" s="561">
        <v>23750</v>
      </c>
      <c r="F17803" s="132"/>
      <c r="G17803" s="132">
        <f t="shared" si="414"/>
        <v>-23750</v>
      </c>
      <c r="H17803" s="718" t="s">
        <v>11963</v>
      </c>
    </row>
    <row r="17804" spans="1:8" ht="24" x14ac:dyDescent="0.2">
      <c r="A17804" s="747">
        <v>45275</v>
      </c>
      <c r="B17804" s="65" t="s">
        <v>11740</v>
      </c>
      <c r="C17804" s="679" t="s">
        <v>11108</v>
      </c>
      <c r="D17804" s="923" t="s">
        <v>12061</v>
      </c>
      <c r="E17804" s="681">
        <v>20000</v>
      </c>
      <c r="F17804" s="132"/>
      <c r="G17804" s="132">
        <f t="shared" si="414"/>
        <v>-20000</v>
      </c>
      <c r="H17804" s="718" t="s">
        <v>11963</v>
      </c>
    </row>
    <row r="17805" spans="1:8" ht="24" x14ac:dyDescent="0.2">
      <c r="A17805" s="747">
        <v>45275</v>
      </c>
      <c r="B17805" s="65" t="s">
        <v>11746</v>
      </c>
      <c r="C17805" s="679" t="s">
        <v>11108</v>
      </c>
      <c r="D17805" s="923" t="s">
        <v>12061</v>
      </c>
      <c r="E17805" s="681">
        <v>9600</v>
      </c>
      <c r="F17805" s="132"/>
      <c r="G17805" s="132">
        <f t="shared" si="414"/>
        <v>-9600</v>
      </c>
      <c r="H17805" s="718" t="s">
        <v>11963</v>
      </c>
    </row>
    <row r="17806" spans="1:8" ht="15" x14ac:dyDescent="0.2">
      <c r="A17806" s="747">
        <v>45275</v>
      </c>
      <c r="B17806" s="65" t="s">
        <v>11853</v>
      </c>
      <c r="C17806" s="65" t="s">
        <v>11577</v>
      </c>
      <c r="D17806" s="189" t="s">
        <v>12062</v>
      </c>
      <c r="E17806" s="132">
        <v>143500</v>
      </c>
      <c r="F17806" s="132"/>
      <c r="G17806" s="132">
        <f t="shared" si="414"/>
        <v>-143500</v>
      </c>
      <c r="H17806" s="718" t="s">
        <v>11963</v>
      </c>
    </row>
    <row r="17807" spans="1:8" ht="15" x14ac:dyDescent="0.2">
      <c r="A17807" s="747">
        <v>45275</v>
      </c>
      <c r="B17807" s="65" t="s">
        <v>12027</v>
      </c>
      <c r="C17807" s="65" t="s">
        <v>258</v>
      </c>
      <c r="D17807" s="189" t="s">
        <v>12063</v>
      </c>
      <c r="E17807" s="132">
        <v>1500000</v>
      </c>
      <c r="F17807" s="132"/>
      <c r="G17807" s="132">
        <f t="shared" si="414"/>
        <v>-1500000</v>
      </c>
      <c r="H17807" s="718" t="s">
        <v>11963</v>
      </c>
    </row>
    <row r="17808" spans="1:8" ht="15" x14ac:dyDescent="0.2">
      <c r="A17808" s="747">
        <v>45275</v>
      </c>
      <c r="B17808" s="65" t="s">
        <v>11758</v>
      </c>
      <c r="C17808" s="65" t="s">
        <v>11879</v>
      </c>
      <c r="D17808" s="189" t="s">
        <v>12063</v>
      </c>
      <c r="E17808" s="132">
        <v>1000000</v>
      </c>
      <c r="F17808" s="132"/>
      <c r="G17808" s="132">
        <f t="shared" si="414"/>
        <v>-1000000</v>
      </c>
      <c r="H17808" s="718" t="s">
        <v>11963</v>
      </c>
    </row>
    <row r="17809" spans="1:8" ht="15" x14ac:dyDescent="0.2">
      <c r="A17809" s="747">
        <v>45275</v>
      </c>
      <c r="B17809" s="65" t="s">
        <v>12027</v>
      </c>
      <c r="C17809" s="65" t="s">
        <v>10972</v>
      </c>
      <c r="D17809" s="189" t="s">
        <v>12063</v>
      </c>
      <c r="E17809" s="132">
        <v>1000000</v>
      </c>
      <c r="F17809" s="132"/>
      <c r="G17809" s="132">
        <f t="shared" si="414"/>
        <v>-1000000</v>
      </c>
      <c r="H17809" s="718" t="s">
        <v>11963</v>
      </c>
    </row>
    <row r="17810" spans="1:8" ht="24" x14ac:dyDescent="0.2">
      <c r="A17810" s="747">
        <v>45275</v>
      </c>
      <c r="B17810" s="65" t="s">
        <v>10342</v>
      </c>
      <c r="C17810" s="560" t="s">
        <v>8483</v>
      </c>
      <c r="D17810" s="753" t="s">
        <v>12064</v>
      </c>
      <c r="E17810" s="561">
        <v>250000</v>
      </c>
      <c r="F17810" s="132"/>
      <c r="G17810" s="132">
        <f t="shared" si="414"/>
        <v>-250000</v>
      </c>
      <c r="H17810" s="718" t="s">
        <v>11963</v>
      </c>
    </row>
    <row r="17811" spans="1:8" ht="24" x14ac:dyDescent="0.2">
      <c r="A17811" s="747">
        <v>45275</v>
      </c>
      <c r="B17811" s="65" t="s">
        <v>10688</v>
      </c>
      <c r="C17811" s="560" t="s">
        <v>8483</v>
      </c>
      <c r="D17811" s="753" t="s">
        <v>12064</v>
      </c>
      <c r="E17811" s="561">
        <v>250000</v>
      </c>
      <c r="F17811" s="132"/>
      <c r="G17811" s="132">
        <f t="shared" ref="G17811:G17813" si="415">F17811-E17811</f>
        <v>-250000</v>
      </c>
      <c r="H17811" s="718" t="s">
        <v>11963</v>
      </c>
    </row>
    <row r="17812" spans="1:8" ht="24" x14ac:dyDescent="0.2">
      <c r="A17812" s="747">
        <v>45275</v>
      </c>
      <c r="B17812" s="65" t="s">
        <v>11023</v>
      </c>
      <c r="C17812" s="560" t="s">
        <v>8483</v>
      </c>
      <c r="D17812" s="753" t="s">
        <v>12064</v>
      </c>
      <c r="E17812" s="561">
        <v>250000</v>
      </c>
      <c r="F17812" s="132"/>
      <c r="G17812" s="132">
        <f t="shared" si="415"/>
        <v>-250000</v>
      </c>
      <c r="H17812" s="718" t="s">
        <v>11963</v>
      </c>
    </row>
    <row r="17813" spans="1:8" ht="24" x14ac:dyDescent="0.2">
      <c r="A17813" s="747">
        <v>45275</v>
      </c>
      <c r="B17813" s="65" t="s">
        <v>11568</v>
      </c>
      <c r="C17813" s="560" t="s">
        <v>8483</v>
      </c>
      <c r="D17813" s="753" t="s">
        <v>12064</v>
      </c>
      <c r="E17813" s="561">
        <v>250000</v>
      </c>
      <c r="F17813" s="132"/>
      <c r="G17813" s="132">
        <f t="shared" si="415"/>
        <v>-250000</v>
      </c>
      <c r="H17813" s="718" t="s">
        <v>11963</v>
      </c>
    </row>
    <row r="17814" spans="1:8" ht="15" x14ac:dyDescent="0.2">
      <c r="A17814" s="747">
        <v>45275</v>
      </c>
      <c r="B17814" s="65" t="s">
        <v>10342</v>
      </c>
      <c r="C17814" s="65" t="s">
        <v>7538</v>
      </c>
      <c r="D17814" s="189" t="s">
        <v>12063</v>
      </c>
      <c r="E17814" s="132">
        <v>1000000</v>
      </c>
      <c r="F17814" s="132"/>
      <c r="G17814" s="132">
        <f t="shared" ref="G17814" si="416">F17814-E17814</f>
        <v>-1000000</v>
      </c>
      <c r="H17814" s="718" t="s">
        <v>11963</v>
      </c>
    </row>
    <row r="17815" spans="1:8" ht="15" x14ac:dyDescent="0.2">
      <c r="A17815" s="747">
        <v>45275</v>
      </c>
      <c r="B17815" s="65" t="s">
        <v>11853</v>
      </c>
      <c r="C17815" s="65" t="s">
        <v>11108</v>
      </c>
      <c r="D17815" s="189" t="s">
        <v>12065</v>
      </c>
      <c r="E17815" s="132">
        <v>4150</v>
      </c>
      <c r="F17815" s="132"/>
      <c r="G17815" s="132">
        <f t="shared" ref="G17815:G17820" si="417">F17815-E17815</f>
        <v>-4150</v>
      </c>
      <c r="H17815" s="718" t="s">
        <v>11963</v>
      </c>
    </row>
    <row r="17816" spans="1:8" ht="15" x14ac:dyDescent="0.2">
      <c r="A17816" s="747">
        <v>45275</v>
      </c>
      <c r="B17816" s="65" t="s">
        <v>11853</v>
      </c>
      <c r="C17816" s="65" t="s">
        <v>5791</v>
      </c>
      <c r="D17816" s="189" t="s">
        <v>372</v>
      </c>
      <c r="E17816" s="132">
        <v>800</v>
      </c>
      <c r="F17816" s="132"/>
      <c r="G17816" s="132">
        <f t="shared" si="417"/>
        <v>-800</v>
      </c>
      <c r="H17816" s="718" t="s">
        <v>11963</v>
      </c>
    </row>
    <row r="17817" spans="1:8" ht="15" x14ac:dyDescent="0.2">
      <c r="A17817" s="747">
        <v>45275</v>
      </c>
      <c r="B17817" s="65" t="s">
        <v>11853</v>
      </c>
      <c r="C17817" s="65" t="s">
        <v>394</v>
      </c>
      <c r="D17817" s="189" t="s">
        <v>12066</v>
      </c>
      <c r="E17817" s="132">
        <v>50</v>
      </c>
      <c r="F17817" s="132"/>
      <c r="G17817" s="132">
        <f t="shared" si="417"/>
        <v>-50</v>
      </c>
      <c r="H17817" s="718" t="s">
        <v>11963</v>
      </c>
    </row>
    <row r="17818" spans="1:8" ht="15" x14ac:dyDescent="0.2">
      <c r="A17818" s="747">
        <v>45275</v>
      </c>
      <c r="B17818" s="65" t="s">
        <v>25</v>
      </c>
      <c r="C17818" s="65" t="s">
        <v>8230</v>
      </c>
      <c r="D17818" s="189" t="s">
        <v>7664</v>
      </c>
      <c r="E17818" s="132">
        <v>2060</v>
      </c>
      <c r="F17818" s="132"/>
      <c r="G17818" s="132">
        <f t="shared" si="417"/>
        <v>-2060</v>
      </c>
      <c r="H17818" s="718" t="s">
        <v>11963</v>
      </c>
    </row>
    <row r="17819" spans="1:8" ht="15" x14ac:dyDescent="0.2">
      <c r="A17819" s="747">
        <v>45275</v>
      </c>
      <c r="B17819" s="65" t="s">
        <v>103</v>
      </c>
      <c r="C17819" s="65" t="s">
        <v>8230</v>
      </c>
      <c r="D17819" s="189" t="s">
        <v>7664</v>
      </c>
      <c r="E17819" s="132">
        <v>7550</v>
      </c>
      <c r="F17819" s="132"/>
      <c r="G17819" s="132">
        <f t="shared" si="417"/>
        <v>-7550</v>
      </c>
      <c r="H17819" s="718" t="s">
        <v>11963</v>
      </c>
    </row>
    <row r="17820" spans="1:8" ht="15" x14ac:dyDescent="0.2">
      <c r="A17820" s="747">
        <v>45275</v>
      </c>
      <c r="B17820" s="65" t="s">
        <v>11758</v>
      </c>
      <c r="C17820" s="65" t="s">
        <v>394</v>
      </c>
      <c r="D17820" s="189" t="s">
        <v>12067</v>
      </c>
      <c r="E17820" s="132">
        <v>3000</v>
      </c>
      <c r="F17820" s="132"/>
      <c r="G17820" s="132">
        <f t="shared" si="417"/>
        <v>-3000</v>
      </c>
      <c r="H17820" s="718" t="s">
        <v>11963</v>
      </c>
    </row>
    <row r="17821" spans="1:8" ht="15" x14ac:dyDescent="0.2">
      <c r="A17821" s="747">
        <v>45275</v>
      </c>
      <c r="B17821" s="65" t="s">
        <v>12027</v>
      </c>
      <c r="C17821" s="65" t="s">
        <v>5434</v>
      </c>
      <c r="D17821" s="189" t="s">
        <v>10633</v>
      </c>
      <c r="E17821" s="132">
        <v>9000</v>
      </c>
      <c r="F17821" s="132"/>
      <c r="G17821" s="132">
        <f t="shared" ref="G17821:G17832" si="418">F17821-E17821</f>
        <v>-9000</v>
      </c>
      <c r="H17821" s="718" t="s">
        <v>11963</v>
      </c>
    </row>
    <row r="17822" spans="1:8" ht="15" x14ac:dyDescent="0.2">
      <c r="A17822" s="747">
        <v>45275</v>
      </c>
      <c r="B17822" s="65" t="s">
        <v>12027</v>
      </c>
      <c r="C17822" s="65" t="s">
        <v>5791</v>
      </c>
      <c r="D17822" s="189" t="s">
        <v>12068</v>
      </c>
      <c r="E17822" s="132">
        <v>7500</v>
      </c>
      <c r="F17822" s="132"/>
      <c r="G17822" s="132">
        <f t="shared" si="418"/>
        <v>-7500</v>
      </c>
      <c r="H17822" s="718" t="s">
        <v>11963</v>
      </c>
    </row>
    <row r="17823" spans="1:8" ht="15" x14ac:dyDescent="0.2">
      <c r="A17823" s="747">
        <v>45275</v>
      </c>
      <c r="B17823" s="65" t="s">
        <v>11853</v>
      </c>
      <c r="C17823" s="65" t="s">
        <v>11108</v>
      </c>
      <c r="D17823" s="189" t="s">
        <v>12069</v>
      </c>
      <c r="E17823" s="132">
        <v>40500</v>
      </c>
      <c r="F17823" s="132"/>
      <c r="G17823" s="132">
        <f t="shared" si="418"/>
        <v>-40500</v>
      </c>
      <c r="H17823" s="718" t="s">
        <v>11963</v>
      </c>
    </row>
    <row r="17824" spans="1:8" ht="15" x14ac:dyDescent="0.2">
      <c r="A17824" s="747">
        <v>45275</v>
      </c>
      <c r="B17824" s="65" t="s">
        <v>11853</v>
      </c>
      <c r="C17824" s="65" t="s">
        <v>11108</v>
      </c>
      <c r="D17824" s="189" t="s">
        <v>12070</v>
      </c>
      <c r="E17824" s="132">
        <v>28000</v>
      </c>
      <c r="F17824" s="132"/>
      <c r="G17824" s="132">
        <f t="shared" si="418"/>
        <v>-28000</v>
      </c>
      <c r="H17824" s="718" t="s">
        <v>11963</v>
      </c>
    </row>
    <row r="17825" spans="1:8" ht="15" x14ac:dyDescent="0.2">
      <c r="A17825" s="747">
        <v>45275</v>
      </c>
      <c r="B17825" s="65" t="s">
        <v>11207</v>
      </c>
      <c r="C17825" s="65" t="s">
        <v>11108</v>
      </c>
      <c r="D17825" s="189" t="s">
        <v>12071</v>
      </c>
      <c r="E17825" s="132">
        <v>4000</v>
      </c>
      <c r="F17825" s="132"/>
      <c r="G17825" s="132">
        <f t="shared" si="418"/>
        <v>-4000</v>
      </c>
      <c r="H17825" s="718" t="s">
        <v>11963</v>
      </c>
    </row>
    <row r="17826" spans="1:8" ht="15" x14ac:dyDescent="0.2">
      <c r="A17826" s="747">
        <v>45275</v>
      </c>
      <c r="B17826" s="65" t="s">
        <v>11207</v>
      </c>
      <c r="C17826" s="65" t="s">
        <v>11108</v>
      </c>
      <c r="D17826" s="189" t="s">
        <v>12072</v>
      </c>
      <c r="E17826" s="132">
        <v>1500</v>
      </c>
      <c r="F17826" s="132"/>
      <c r="G17826" s="132">
        <f t="shared" si="418"/>
        <v>-1500</v>
      </c>
      <c r="H17826" s="718" t="s">
        <v>11963</v>
      </c>
    </row>
    <row r="17827" spans="1:8" ht="15" x14ac:dyDescent="0.2">
      <c r="A17827" s="747">
        <v>45275</v>
      </c>
      <c r="B17827" s="65" t="s">
        <v>11022</v>
      </c>
      <c r="C17827" s="65" t="s">
        <v>11108</v>
      </c>
      <c r="D17827" s="189" t="s">
        <v>10938</v>
      </c>
      <c r="E17827" s="132">
        <v>1800</v>
      </c>
      <c r="F17827" s="132"/>
      <c r="G17827" s="132">
        <f t="shared" si="418"/>
        <v>-1800</v>
      </c>
      <c r="H17827" s="718" t="s">
        <v>11963</v>
      </c>
    </row>
    <row r="17828" spans="1:8" ht="15" x14ac:dyDescent="0.2">
      <c r="A17828" s="747">
        <v>45275</v>
      </c>
      <c r="B17828" s="65" t="s">
        <v>10342</v>
      </c>
      <c r="C17828" s="65" t="s">
        <v>11108</v>
      </c>
      <c r="D17828" s="189" t="s">
        <v>11397</v>
      </c>
      <c r="E17828" s="132">
        <v>3000</v>
      </c>
      <c r="F17828" s="132"/>
      <c r="G17828" s="132">
        <f t="shared" si="418"/>
        <v>-3000</v>
      </c>
      <c r="H17828" s="718" t="s">
        <v>11963</v>
      </c>
    </row>
    <row r="17829" spans="1:8" ht="15" x14ac:dyDescent="0.2">
      <c r="A17829" s="747">
        <v>45275</v>
      </c>
      <c r="B17829" s="65" t="s">
        <v>12027</v>
      </c>
      <c r="C17829" s="65" t="s">
        <v>394</v>
      </c>
      <c r="D17829" s="189" t="s">
        <v>12073</v>
      </c>
      <c r="E17829" s="132">
        <v>1500</v>
      </c>
      <c r="F17829" s="132"/>
      <c r="G17829" s="132">
        <f t="shared" si="418"/>
        <v>-1500</v>
      </c>
      <c r="H17829" s="718" t="s">
        <v>11963</v>
      </c>
    </row>
    <row r="17830" spans="1:8" ht="15" x14ac:dyDescent="0.2">
      <c r="A17830" s="747">
        <v>45275</v>
      </c>
      <c r="B17830" s="65" t="s">
        <v>11207</v>
      </c>
      <c r="C17830" s="65" t="s">
        <v>5791</v>
      </c>
      <c r="D17830" s="189" t="s">
        <v>372</v>
      </c>
      <c r="E17830" s="132">
        <v>1500</v>
      </c>
      <c r="F17830" s="132"/>
      <c r="G17830" s="132">
        <f t="shared" si="418"/>
        <v>-1500</v>
      </c>
      <c r="H17830" s="718" t="s">
        <v>11963</v>
      </c>
    </row>
    <row r="17831" spans="1:8" ht="15" x14ac:dyDescent="0.2">
      <c r="A17831" s="747">
        <v>45275</v>
      </c>
      <c r="B17831" s="65" t="s">
        <v>11207</v>
      </c>
      <c r="C17831" s="65" t="s">
        <v>394</v>
      </c>
      <c r="D17831" s="189" t="s">
        <v>4487</v>
      </c>
      <c r="E17831" s="132">
        <v>10600</v>
      </c>
      <c r="F17831" s="132"/>
      <c r="G17831" s="132">
        <f t="shared" si="418"/>
        <v>-10600</v>
      </c>
      <c r="H17831" s="718" t="s">
        <v>11963</v>
      </c>
    </row>
    <row r="17832" spans="1:8" ht="15" x14ac:dyDescent="0.2">
      <c r="A17832" s="747">
        <v>45275</v>
      </c>
      <c r="B17832" s="65" t="s">
        <v>11461</v>
      </c>
      <c r="C17832" s="65" t="s">
        <v>394</v>
      </c>
      <c r="D17832" s="189" t="s">
        <v>4487</v>
      </c>
      <c r="E17832" s="132">
        <v>12000</v>
      </c>
      <c r="F17832" s="132"/>
      <c r="G17832" s="132">
        <f t="shared" si="418"/>
        <v>-12000</v>
      </c>
      <c r="H17832" s="718" t="s">
        <v>11963</v>
      </c>
    </row>
    <row r="17833" spans="1:8" ht="15" x14ac:dyDescent="0.2">
      <c r="A17833" s="747">
        <v>45275</v>
      </c>
      <c r="B17833" s="65" t="s">
        <v>11943</v>
      </c>
      <c r="C17833" s="65" t="s">
        <v>11815</v>
      </c>
      <c r="D17833" s="189" t="s">
        <v>12074</v>
      </c>
      <c r="E17833" s="132">
        <v>6000</v>
      </c>
      <c r="F17833" s="132"/>
      <c r="G17833" s="132">
        <f t="shared" ref="G17833:G17837" si="419">F17833-E17833</f>
        <v>-6000</v>
      </c>
      <c r="H17833" s="718" t="s">
        <v>11963</v>
      </c>
    </row>
    <row r="17834" spans="1:8" ht="15" x14ac:dyDescent="0.2">
      <c r="A17834" s="747">
        <v>45275</v>
      </c>
      <c r="B17834" s="65" t="s">
        <v>11254</v>
      </c>
      <c r="C17834" s="65" t="s">
        <v>11815</v>
      </c>
      <c r="D17834" s="189" t="s">
        <v>12074</v>
      </c>
      <c r="E17834" s="132">
        <v>24000</v>
      </c>
      <c r="F17834" s="132"/>
      <c r="G17834" s="132">
        <f t="shared" si="419"/>
        <v>-24000</v>
      </c>
      <c r="H17834" s="718" t="s">
        <v>11963</v>
      </c>
    </row>
    <row r="17835" spans="1:8" ht="15" x14ac:dyDescent="0.2">
      <c r="A17835" s="747">
        <v>45275</v>
      </c>
      <c r="B17835" s="65" t="s">
        <v>11943</v>
      </c>
      <c r="C17835" s="65" t="s">
        <v>4916</v>
      </c>
      <c r="D17835" s="189" t="s">
        <v>12075</v>
      </c>
      <c r="E17835" s="132">
        <v>4000</v>
      </c>
      <c r="F17835" s="132"/>
      <c r="G17835" s="132">
        <f t="shared" si="419"/>
        <v>-4000</v>
      </c>
      <c r="H17835" s="718" t="s">
        <v>11963</v>
      </c>
    </row>
    <row r="17836" spans="1:8" ht="15" x14ac:dyDescent="0.2">
      <c r="A17836" s="747">
        <v>45275</v>
      </c>
      <c r="B17836" s="65" t="s">
        <v>11853</v>
      </c>
      <c r="C17836" s="65" t="s">
        <v>288</v>
      </c>
      <c r="D17836" s="189" t="s">
        <v>8758</v>
      </c>
      <c r="E17836" s="132">
        <v>1600</v>
      </c>
      <c r="F17836" s="132"/>
      <c r="G17836" s="132">
        <f t="shared" si="419"/>
        <v>-1600</v>
      </c>
      <c r="H17836" s="718" t="s">
        <v>11963</v>
      </c>
    </row>
    <row r="17837" spans="1:8" ht="15" x14ac:dyDescent="0.2">
      <c r="A17837" s="747">
        <v>45276</v>
      </c>
      <c r="B17837" s="65" t="s">
        <v>11853</v>
      </c>
      <c r="C17837" s="65" t="s">
        <v>5791</v>
      </c>
      <c r="D17837" s="189" t="s">
        <v>12076</v>
      </c>
      <c r="E17837" s="132">
        <v>1500</v>
      </c>
      <c r="F17837" s="132"/>
      <c r="G17837" s="132">
        <f t="shared" si="419"/>
        <v>-1500</v>
      </c>
      <c r="H17837" s="718" t="s">
        <v>11963</v>
      </c>
    </row>
    <row r="17838" spans="1:8" ht="15" x14ac:dyDescent="0.2">
      <c r="A17838" s="746">
        <v>45261</v>
      </c>
      <c r="B17838" s="180" t="s">
        <v>10261</v>
      </c>
      <c r="C17838" s="180" t="s">
        <v>6683</v>
      </c>
      <c r="D17838" s="234" t="s">
        <v>11993</v>
      </c>
      <c r="E17838" s="242">
        <v>80000</v>
      </c>
      <c r="F17838" s="242"/>
      <c r="G17838" s="242">
        <f t="shared" si="409"/>
        <v>-80000</v>
      </c>
      <c r="H17838" s="722" t="s">
        <v>11963</v>
      </c>
    </row>
    <row r="17839" spans="1:8" ht="15" x14ac:dyDescent="0.2">
      <c r="A17839" s="746">
        <v>45264</v>
      </c>
      <c r="B17839" s="180" t="s">
        <v>11022</v>
      </c>
      <c r="C17839" s="180" t="s">
        <v>11508</v>
      </c>
      <c r="D17839" s="234" t="s">
        <v>11994</v>
      </c>
      <c r="E17839" s="242">
        <v>250000</v>
      </c>
      <c r="F17839" s="242"/>
      <c r="G17839" s="242">
        <f t="shared" ref="G17839" si="420">F17839-E17839</f>
        <v>-250000</v>
      </c>
      <c r="H17839" s="722" t="s">
        <v>11963</v>
      </c>
    </row>
    <row r="17840" spans="1:8" ht="15" x14ac:dyDescent="0.2">
      <c r="A17840" s="746">
        <v>45268</v>
      </c>
      <c r="B17840" s="180" t="s">
        <v>11461</v>
      </c>
      <c r="C17840" s="560" t="s">
        <v>3031</v>
      </c>
      <c r="D17840" s="753" t="s">
        <v>11995</v>
      </c>
      <c r="E17840" s="561">
        <v>15900</v>
      </c>
      <c r="F17840" s="242"/>
      <c r="G17840" s="242">
        <f t="shared" ref="G17840" si="421">F17840-E17840</f>
        <v>-15900</v>
      </c>
      <c r="H17840" s="722" t="s">
        <v>11963</v>
      </c>
    </row>
    <row r="17841" spans="1:8" ht="15" x14ac:dyDescent="0.2">
      <c r="A17841" s="746">
        <v>45268</v>
      </c>
      <c r="B17841" s="180" t="s">
        <v>3979</v>
      </c>
      <c r="C17841" s="560" t="s">
        <v>3031</v>
      </c>
      <c r="D17841" s="753" t="s">
        <v>11995</v>
      </c>
      <c r="E17841" s="561">
        <v>32760</v>
      </c>
      <c r="F17841" s="242"/>
      <c r="G17841" s="242">
        <f t="shared" ref="G17841:G17849" si="422">F17841-E17841</f>
        <v>-32760</v>
      </c>
      <c r="H17841" s="722" t="s">
        <v>11963</v>
      </c>
    </row>
    <row r="17842" spans="1:8" ht="15" x14ac:dyDescent="0.2">
      <c r="A17842" s="746">
        <v>45268</v>
      </c>
      <c r="B17842" s="180" t="s">
        <v>3978</v>
      </c>
      <c r="C17842" s="560" t="s">
        <v>3031</v>
      </c>
      <c r="D17842" s="753" t="s">
        <v>11995</v>
      </c>
      <c r="E17842" s="561">
        <v>35360</v>
      </c>
      <c r="F17842" s="242"/>
      <c r="G17842" s="242">
        <f t="shared" si="422"/>
        <v>-35360</v>
      </c>
      <c r="H17842" s="722" t="s">
        <v>11963</v>
      </c>
    </row>
    <row r="17843" spans="1:8" ht="15" x14ac:dyDescent="0.2">
      <c r="A17843" s="746">
        <v>45272</v>
      </c>
      <c r="B17843" s="180" t="s">
        <v>11022</v>
      </c>
      <c r="C17843" s="180" t="s">
        <v>11658</v>
      </c>
      <c r="D17843" s="234" t="s">
        <v>12021</v>
      </c>
      <c r="E17843" s="242">
        <v>250000</v>
      </c>
      <c r="F17843" s="242"/>
      <c r="G17843" s="242">
        <f t="shared" si="422"/>
        <v>-250000</v>
      </c>
      <c r="H17843" s="722" t="s">
        <v>11963</v>
      </c>
    </row>
    <row r="17844" spans="1:8" ht="15" x14ac:dyDescent="0.2">
      <c r="A17844" s="746">
        <v>45273</v>
      </c>
      <c r="B17844" s="180" t="s">
        <v>11758</v>
      </c>
      <c r="C17844" s="180" t="s">
        <v>8337</v>
      </c>
      <c r="D17844" s="234" t="s">
        <v>12022</v>
      </c>
      <c r="E17844" s="242">
        <v>150000</v>
      </c>
      <c r="F17844" s="242"/>
      <c r="G17844" s="242">
        <f t="shared" si="422"/>
        <v>-150000</v>
      </c>
      <c r="H17844" s="722" t="s">
        <v>11963</v>
      </c>
    </row>
    <row r="17845" spans="1:8" ht="15" x14ac:dyDescent="0.2">
      <c r="A17845" s="746">
        <v>45273</v>
      </c>
      <c r="B17845" s="180" t="s">
        <v>10582</v>
      </c>
      <c r="C17845" s="180" t="s">
        <v>9568</v>
      </c>
      <c r="D17845" s="234" t="s">
        <v>12023</v>
      </c>
      <c r="E17845" s="242">
        <v>50000</v>
      </c>
      <c r="F17845" s="242"/>
      <c r="G17845" s="242">
        <f t="shared" si="422"/>
        <v>-50000</v>
      </c>
      <c r="H17845" s="722" t="s">
        <v>11963</v>
      </c>
    </row>
    <row r="17846" spans="1:8" ht="15" x14ac:dyDescent="0.2">
      <c r="A17846" s="746">
        <v>45273</v>
      </c>
      <c r="B17846" s="180" t="s">
        <v>11746</v>
      </c>
      <c r="C17846" s="560" t="s">
        <v>11508</v>
      </c>
      <c r="D17846" s="753" t="s">
        <v>12024</v>
      </c>
      <c r="E17846" s="561">
        <v>45000</v>
      </c>
      <c r="F17846" s="242"/>
      <c r="G17846" s="242">
        <f t="shared" si="422"/>
        <v>-45000</v>
      </c>
      <c r="H17846" s="722" t="s">
        <v>11963</v>
      </c>
    </row>
    <row r="17847" spans="1:8" ht="15" x14ac:dyDescent="0.2">
      <c r="A17847" s="746">
        <v>45273</v>
      </c>
      <c r="B17847" s="180" t="s">
        <v>11211</v>
      </c>
      <c r="C17847" s="560" t="s">
        <v>11508</v>
      </c>
      <c r="D17847" s="753" t="s">
        <v>12024</v>
      </c>
      <c r="E17847" s="561">
        <v>10000</v>
      </c>
      <c r="F17847" s="242"/>
      <c r="G17847" s="242">
        <f t="shared" si="422"/>
        <v>-10000</v>
      </c>
      <c r="H17847" s="722" t="s">
        <v>11963</v>
      </c>
    </row>
    <row r="17848" spans="1:8" ht="15" x14ac:dyDescent="0.2">
      <c r="A17848" s="746">
        <v>45273</v>
      </c>
      <c r="B17848" s="180" t="s">
        <v>11568</v>
      </c>
      <c r="C17848" s="560" t="s">
        <v>11508</v>
      </c>
      <c r="D17848" s="753" t="s">
        <v>12024</v>
      </c>
      <c r="E17848" s="561">
        <v>75000</v>
      </c>
      <c r="F17848" s="242"/>
      <c r="G17848" s="242">
        <f t="shared" si="422"/>
        <v>-75000</v>
      </c>
      <c r="H17848" s="722" t="s">
        <v>11963</v>
      </c>
    </row>
    <row r="17849" spans="1:8" ht="15" x14ac:dyDescent="0.2">
      <c r="A17849" s="746">
        <v>45273</v>
      </c>
      <c r="B17849" s="180" t="s">
        <v>11022</v>
      </c>
      <c r="C17849" s="560" t="s">
        <v>11508</v>
      </c>
      <c r="D17849" s="753" t="s">
        <v>12024</v>
      </c>
      <c r="E17849" s="561">
        <v>49000</v>
      </c>
      <c r="F17849" s="242"/>
      <c r="G17849" s="242">
        <f t="shared" si="422"/>
        <v>-49000</v>
      </c>
      <c r="H17849" s="722" t="s">
        <v>11963</v>
      </c>
    </row>
    <row r="17850" spans="1:8" ht="15" x14ac:dyDescent="0.2">
      <c r="A17850" s="743">
        <v>45267</v>
      </c>
      <c r="B17850" s="97" t="s">
        <v>11676</v>
      </c>
      <c r="C17850" s="97" t="s">
        <v>561</v>
      </c>
      <c r="D17850" s="908" t="s">
        <v>11956</v>
      </c>
      <c r="E17850" s="182"/>
      <c r="F17850" s="182">
        <v>1000000</v>
      </c>
      <c r="G17850" s="182">
        <f t="shared" si="400"/>
        <v>1000000</v>
      </c>
      <c r="H17850" s="715" t="s">
        <v>11963</v>
      </c>
    </row>
    <row r="17851" spans="1:8" ht="15" x14ac:dyDescent="0.2">
      <c r="A17851" s="743">
        <v>45267</v>
      </c>
      <c r="B17851" s="97" t="s">
        <v>10232</v>
      </c>
      <c r="C17851" s="97" t="s">
        <v>561</v>
      </c>
      <c r="D17851" s="908" t="s">
        <v>11957</v>
      </c>
      <c r="E17851" s="182"/>
      <c r="F17851" s="182">
        <v>100000</v>
      </c>
      <c r="G17851" s="182">
        <f t="shared" si="400"/>
        <v>100000</v>
      </c>
      <c r="H17851" s="715" t="s">
        <v>11963</v>
      </c>
    </row>
    <row r="17852" spans="1:8" ht="15" x14ac:dyDescent="0.2">
      <c r="A17852" s="743">
        <v>45267</v>
      </c>
      <c r="B17852" s="97" t="s">
        <v>10232</v>
      </c>
      <c r="C17852" s="97" t="s">
        <v>561</v>
      </c>
      <c r="D17852" s="908" t="s">
        <v>12078</v>
      </c>
      <c r="E17852" s="182"/>
      <c r="F17852" s="182">
        <v>-100000</v>
      </c>
      <c r="G17852" s="182">
        <f t="shared" si="400"/>
        <v>-100000</v>
      </c>
      <c r="H17852" s="715" t="s">
        <v>11963</v>
      </c>
    </row>
    <row r="17853" spans="1:8" ht="24" x14ac:dyDescent="0.2">
      <c r="A17853" s="743">
        <v>45267</v>
      </c>
      <c r="B17853" s="97" t="s">
        <v>10096</v>
      </c>
      <c r="C17853" s="97" t="s">
        <v>561</v>
      </c>
      <c r="D17853" s="818" t="s">
        <v>11958</v>
      </c>
      <c r="E17853" s="182"/>
      <c r="F17853" s="182">
        <v>520000</v>
      </c>
      <c r="G17853" s="182">
        <f t="shared" ref="G17853" si="423">F17853-E17853</f>
        <v>520000</v>
      </c>
      <c r="H17853" s="715" t="s">
        <v>11963</v>
      </c>
    </row>
    <row r="17854" spans="1:8" ht="15" x14ac:dyDescent="0.2">
      <c r="A17854" s="743">
        <v>45272</v>
      </c>
      <c r="B17854" s="97" t="s">
        <v>9769</v>
      </c>
      <c r="C17854" s="97" t="s">
        <v>561</v>
      </c>
      <c r="D17854" s="818" t="s">
        <v>12004</v>
      </c>
      <c r="E17854" s="182"/>
      <c r="F17854" s="182">
        <v>3221233</v>
      </c>
      <c r="G17854" s="182">
        <f t="shared" ref="G17854:G17855" si="424">F17854-E17854</f>
        <v>3221233</v>
      </c>
      <c r="H17854" s="715" t="s">
        <v>11963</v>
      </c>
    </row>
    <row r="17855" spans="1:8" ht="15" x14ac:dyDescent="0.2">
      <c r="A17855" s="743">
        <v>45272</v>
      </c>
      <c r="B17855" s="97" t="s">
        <v>11740</v>
      </c>
      <c r="C17855" s="97" t="s">
        <v>561</v>
      </c>
      <c r="D17855" s="818" t="s">
        <v>12004</v>
      </c>
      <c r="E17855" s="182"/>
      <c r="F17855" s="182">
        <v>1000000</v>
      </c>
      <c r="G17855" s="182">
        <f t="shared" si="424"/>
        <v>1000000</v>
      </c>
      <c r="H17855" s="715" t="s">
        <v>11963</v>
      </c>
    </row>
    <row r="17856" spans="1:8" ht="15" x14ac:dyDescent="0.2">
      <c r="A17856" s="743">
        <v>45272</v>
      </c>
      <c r="B17856" s="97" t="s">
        <v>3979</v>
      </c>
      <c r="C17856" s="97" t="s">
        <v>561</v>
      </c>
      <c r="D17856" s="908" t="s">
        <v>12019</v>
      </c>
      <c r="E17856" s="182"/>
      <c r="F17856" s="182">
        <v>359992</v>
      </c>
      <c r="G17856" s="182">
        <f t="shared" ref="G17856" si="425">F17856-E17856</f>
        <v>359992</v>
      </c>
      <c r="H17856" s="715" t="s">
        <v>11963</v>
      </c>
    </row>
    <row r="17857" spans="1:8" ht="15" x14ac:dyDescent="0.2">
      <c r="A17857" s="743">
        <v>45273</v>
      </c>
      <c r="B17857" s="97" t="s">
        <v>10342</v>
      </c>
      <c r="C17857" s="97" t="s">
        <v>561</v>
      </c>
      <c r="D17857" s="908" t="s">
        <v>12020</v>
      </c>
      <c r="E17857" s="182"/>
      <c r="F17857" s="182">
        <v>1500000</v>
      </c>
      <c r="G17857" s="182">
        <f t="shared" ref="G17857" si="426">F17857-E17857</f>
        <v>1500000</v>
      </c>
      <c r="H17857" s="715" t="s">
        <v>11963</v>
      </c>
    </row>
    <row r="17858" spans="1:8" ht="15" x14ac:dyDescent="0.2">
      <c r="A17858" s="743">
        <v>45275</v>
      </c>
      <c r="B17858" s="97" t="s">
        <v>10342</v>
      </c>
      <c r="C17858" s="97" t="s">
        <v>561</v>
      </c>
      <c r="D17858" s="908" t="s">
        <v>12038</v>
      </c>
      <c r="E17858" s="182"/>
      <c r="F17858" s="182">
        <v>1000000</v>
      </c>
      <c r="G17858" s="182">
        <f t="shared" ref="G17858:G17861" si="427">F17858-E17858</f>
        <v>1000000</v>
      </c>
      <c r="H17858" s="715" t="s">
        <v>11963</v>
      </c>
    </row>
    <row r="17859" spans="1:8" ht="24" x14ac:dyDescent="0.2">
      <c r="A17859" s="743">
        <v>45275</v>
      </c>
      <c r="B17859" s="97" t="s">
        <v>10342</v>
      </c>
      <c r="C17859" s="97" t="s">
        <v>561</v>
      </c>
      <c r="D17859" s="818" t="s">
        <v>12039</v>
      </c>
      <c r="E17859" s="182"/>
      <c r="F17859" s="182">
        <v>1000000</v>
      </c>
      <c r="G17859" s="182">
        <f t="shared" si="427"/>
        <v>1000000</v>
      </c>
      <c r="H17859" s="715" t="s">
        <v>11963</v>
      </c>
    </row>
    <row r="17860" spans="1:8" ht="15" x14ac:dyDescent="0.2">
      <c r="A17860" s="743">
        <v>45275</v>
      </c>
      <c r="B17860" s="97" t="s">
        <v>10342</v>
      </c>
      <c r="C17860" s="97" t="s">
        <v>561</v>
      </c>
      <c r="D17860" s="908" t="s">
        <v>12040</v>
      </c>
      <c r="E17860" s="182"/>
      <c r="F17860" s="182">
        <v>1000000</v>
      </c>
      <c r="G17860" s="182">
        <f t="shared" si="427"/>
        <v>1000000</v>
      </c>
      <c r="H17860" s="715" t="s">
        <v>11963</v>
      </c>
    </row>
    <row r="17861" spans="1:8" ht="15" x14ac:dyDescent="0.2">
      <c r="A17861" s="743">
        <v>45275</v>
      </c>
      <c r="B17861" s="97" t="s">
        <v>10342</v>
      </c>
      <c r="C17861" s="97" t="s">
        <v>561</v>
      </c>
      <c r="D17861" s="908" t="s">
        <v>12037</v>
      </c>
      <c r="E17861" s="182"/>
      <c r="F17861" s="182">
        <v>1000000</v>
      </c>
      <c r="G17861" s="182">
        <f t="shared" si="427"/>
        <v>1000000</v>
      </c>
      <c r="H17861" s="715" t="s">
        <v>11963</v>
      </c>
    </row>
    <row r="17862" spans="1:8" ht="15" x14ac:dyDescent="0.2">
      <c r="A17862" s="743">
        <v>45275</v>
      </c>
      <c r="B17862" s="97" t="s">
        <v>10342</v>
      </c>
      <c r="C17862" s="97" t="s">
        <v>561</v>
      </c>
      <c r="D17862" s="908" t="s">
        <v>12041</v>
      </c>
      <c r="E17862" s="182"/>
      <c r="F17862" s="182">
        <v>1500000</v>
      </c>
      <c r="G17862" s="182">
        <f t="shared" ref="G17862" si="428">F17862-E17862</f>
        <v>1500000</v>
      </c>
      <c r="H17862" s="715" t="s">
        <v>11963</v>
      </c>
    </row>
    <row r="17863" spans="1:8" ht="15" x14ac:dyDescent="0.2">
      <c r="A17863" s="743">
        <v>45276</v>
      </c>
      <c r="B17863" s="97" t="s">
        <v>10342</v>
      </c>
      <c r="C17863" s="97" t="s">
        <v>561</v>
      </c>
      <c r="D17863" s="908" t="s">
        <v>12080</v>
      </c>
      <c r="E17863" s="182"/>
      <c r="F17863" s="182">
        <v>1000000</v>
      </c>
      <c r="G17863" s="182">
        <f t="shared" ref="G17863:G17868" si="429">F17863-E17863</f>
        <v>1000000</v>
      </c>
      <c r="H17863" s="715" t="s">
        <v>11963</v>
      </c>
    </row>
    <row r="17864" spans="1:8" ht="15" x14ac:dyDescent="0.2">
      <c r="A17864" s="743">
        <v>45276</v>
      </c>
      <c r="B17864" s="97" t="s">
        <v>10342</v>
      </c>
      <c r="C17864" s="97" t="s">
        <v>561</v>
      </c>
      <c r="D17864" s="908" t="s">
        <v>12080</v>
      </c>
      <c r="E17864" s="182"/>
      <c r="F17864" s="182">
        <v>1000000</v>
      </c>
      <c r="G17864" s="182">
        <f t="shared" si="429"/>
        <v>1000000</v>
      </c>
      <c r="H17864" s="715" t="s">
        <v>11963</v>
      </c>
    </row>
    <row r="17865" spans="1:8" ht="15" x14ac:dyDescent="0.2">
      <c r="A17865" s="743">
        <v>45276</v>
      </c>
      <c r="B17865" s="97" t="s">
        <v>10342</v>
      </c>
      <c r="C17865" s="97" t="s">
        <v>561</v>
      </c>
      <c r="D17865" s="908" t="s">
        <v>12080</v>
      </c>
      <c r="E17865" s="182"/>
      <c r="F17865" s="182">
        <v>1000000</v>
      </c>
      <c r="G17865" s="182">
        <f t="shared" si="429"/>
        <v>1000000</v>
      </c>
      <c r="H17865" s="715" t="s">
        <v>11963</v>
      </c>
    </row>
    <row r="17866" spans="1:8" ht="15" x14ac:dyDescent="0.2">
      <c r="A17866" s="743">
        <v>45276</v>
      </c>
      <c r="B17866" s="97" t="s">
        <v>10342</v>
      </c>
      <c r="C17866" s="97" t="s">
        <v>561</v>
      </c>
      <c r="D17866" s="908" t="s">
        <v>12080</v>
      </c>
      <c r="E17866" s="182"/>
      <c r="F17866" s="182">
        <v>1500000</v>
      </c>
      <c r="G17866" s="182">
        <f t="shared" si="429"/>
        <v>1500000</v>
      </c>
      <c r="H17866" s="715" t="s">
        <v>11963</v>
      </c>
    </row>
    <row r="17867" spans="1:8" ht="15" x14ac:dyDescent="0.2">
      <c r="A17867" s="743">
        <v>45276</v>
      </c>
      <c r="B17867" s="97" t="s">
        <v>10342</v>
      </c>
      <c r="C17867" s="97" t="s">
        <v>561</v>
      </c>
      <c r="D17867" s="908" t="s">
        <v>12080</v>
      </c>
      <c r="E17867" s="182"/>
      <c r="F17867" s="182">
        <v>1500000</v>
      </c>
      <c r="G17867" s="182">
        <f t="shared" si="429"/>
        <v>1500000</v>
      </c>
      <c r="H17867" s="715" t="s">
        <v>11963</v>
      </c>
    </row>
    <row r="17868" spans="1:8" ht="15" x14ac:dyDescent="0.2">
      <c r="A17868" s="743">
        <v>45276</v>
      </c>
      <c r="B17868" s="97" t="s">
        <v>10342</v>
      </c>
      <c r="C17868" s="97" t="s">
        <v>561</v>
      </c>
      <c r="D17868" s="908" t="s">
        <v>12080</v>
      </c>
      <c r="E17868" s="182"/>
      <c r="F17868" s="182">
        <v>1417880</v>
      </c>
      <c r="G17868" s="182">
        <f t="shared" si="429"/>
        <v>1417880</v>
      </c>
      <c r="H17868" s="715" t="s">
        <v>11963</v>
      </c>
    </row>
    <row r="17869" spans="1:8" ht="15" x14ac:dyDescent="0.2">
      <c r="A17869" s="743">
        <v>45276</v>
      </c>
      <c r="B17869" s="97" t="s">
        <v>10342</v>
      </c>
      <c r="C17869" s="97" t="s">
        <v>561</v>
      </c>
      <c r="D17869" s="908" t="s">
        <v>12081</v>
      </c>
      <c r="E17869" s="182"/>
      <c r="F17869" s="182">
        <v>2200</v>
      </c>
      <c r="G17869" s="182">
        <f t="shared" ref="G17869" si="430">F17869-E17869</f>
        <v>2200</v>
      </c>
      <c r="H17869" s="715" t="s">
        <v>11963</v>
      </c>
    </row>
  </sheetData>
  <autoFilter ref="A1:P1786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72" activePane="bottomLeft" state="frozen"/>
      <selection pane="bottomLeft" activeCell="B13" sqref="B13"/>
    </sheetView>
  </sheetViews>
  <sheetFormatPr defaultColWidth="8.85546875" defaultRowHeight="18.75" x14ac:dyDescent="0.3"/>
  <cols>
    <col min="1" max="1" width="55.5703125" style="251" bestFit="1" customWidth="1"/>
    <col min="2" max="2" width="24.5703125" style="251" bestFit="1" customWidth="1"/>
    <col min="3" max="3" width="27.710937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82" t="s">
        <v>0</v>
      </c>
      <c r="B1" s="1382" t="s">
        <v>47</v>
      </c>
    </row>
    <row r="2" spans="1:11" hidden="1" x14ac:dyDescent="0.3">
      <c r="A2" s="1382" t="s">
        <v>2</v>
      </c>
      <c r="B2" s="1382" t="s">
        <v>47</v>
      </c>
    </row>
    <row r="3" spans="1:11" hidden="1" x14ac:dyDescent="0.3">
      <c r="A3" s="1382" t="s">
        <v>845</v>
      </c>
      <c r="B3" s="1382" t="s">
        <v>47</v>
      </c>
    </row>
    <row r="4" spans="1:11" ht="24" hidden="1" thickBot="1" x14ac:dyDescent="0.35">
      <c r="A4"/>
      <c r="B4"/>
      <c r="C4"/>
      <c r="D4"/>
      <c r="F4" s="101" t="s">
        <v>1779</v>
      </c>
      <c r="H4" s="1125" t="s">
        <v>1779</v>
      </c>
      <c r="I4" s="1125"/>
      <c r="J4" s="1125"/>
    </row>
    <row r="5" spans="1:11" ht="24" thickBot="1" x14ac:dyDescent="0.35">
      <c r="A5" s="1383" t="s">
        <v>4172</v>
      </c>
      <c r="B5" s="1384" t="s">
        <v>4169</v>
      </c>
      <c r="C5" s="1384" t="s">
        <v>4170</v>
      </c>
      <c r="D5" s="1384" t="s">
        <v>4171</v>
      </c>
      <c r="E5" s="355"/>
      <c r="H5" s="1125"/>
      <c r="I5" s="1125"/>
      <c r="J5" s="1125"/>
      <c r="K5" s="1033" t="s">
        <v>10974</v>
      </c>
    </row>
    <row r="6" spans="1:11" ht="26.25" x14ac:dyDescent="0.4">
      <c r="A6" s="751" t="s">
        <v>12027</v>
      </c>
      <c r="B6" s="752">
        <v>4028000</v>
      </c>
      <c r="C6" s="752"/>
      <c r="D6" s="752">
        <v>-4028000</v>
      </c>
      <c r="F6" s="710" t="s">
        <v>155</v>
      </c>
      <c r="G6" s="711" t="s">
        <v>2636</v>
      </c>
      <c r="H6" s="711" t="s">
        <v>7761</v>
      </c>
      <c r="I6" s="710" t="s">
        <v>2638</v>
      </c>
    </row>
    <row r="7" spans="1:11" ht="26.25" x14ac:dyDescent="0.4">
      <c r="A7" s="751" t="s">
        <v>11740</v>
      </c>
      <c r="B7" s="752">
        <v>777484</v>
      </c>
      <c r="C7" s="752">
        <v>2600000</v>
      </c>
      <c r="D7" s="752">
        <v>1822516</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11633</v>
      </c>
      <c r="B8" s="752">
        <v>868234</v>
      </c>
      <c r="C8" s="752"/>
      <c r="D8" s="752">
        <v>-868234</v>
      </c>
      <c r="F8" s="708" t="s">
        <v>4760</v>
      </c>
      <c r="G8" s="709">
        <f t="shared" si="0"/>
        <v>10957853.041129032</v>
      </c>
      <c r="H8" s="709">
        <f>VLOOKUP(F8,'Project wise Supplier balance'!$A$6:$D$91,4,0)</f>
        <v>99334</v>
      </c>
      <c r="I8" s="706">
        <f t="shared" si="1"/>
        <v>10858519.041129032</v>
      </c>
    </row>
    <row r="9" spans="1:11" ht="26.25" x14ac:dyDescent="0.4">
      <c r="A9" s="751" t="s">
        <v>11568</v>
      </c>
      <c r="B9" s="752">
        <v>2522110</v>
      </c>
      <c r="C9" s="752"/>
      <c r="D9" s="752">
        <v>-2522110</v>
      </c>
      <c r="F9" s="708" t="s">
        <v>2675</v>
      </c>
      <c r="G9" s="709">
        <f t="shared" si="0"/>
        <v>10068965.30031715</v>
      </c>
      <c r="H9" s="709">
        <f>VLOOKUP(F9,'Project wise Supplier balance'!$A$6:$D$91,4,0)</f>
        <v>0</v>
      </c>
      <c r="I9" s="706">
        <f t="shared" si="1"/>
        <v>10068965.30031715</v>
      </c>
    </row>
    <row r="10" spans="1:11" ht="26.25" x14ac:dyDescent="0.4">
      <c r="A10" s="751" t="s">
        <v>7886</v>
      </c>
      <c r="B10" s="752">
        <v>2000330</v>
      </c>
      <c r="C10" s="752">
        <v>2434251</v>
      </c>
      <c r="D10" s="752">
        <v>433921</v>
      </c>
      <c r="F10" s="708" t="s">
        <v>1407</v>
      </c>
      <c r="G10" s="709">
        <f t="shared" si="0"/>
        <v>16037003.15589213</v>
      </c>
      <c r="H10" s="709">
        <f>VLOOKUP(F10,'Project wise Supplier balance'!$A$6:$D$91,4,0)</f>
        <v>261345</v>
      </c>
      <c r="I10" s="706">
        <f t="shared" si="1"/>
        <v>15775658.15589213</v>
      </c>
    </row>
    <row r="11" spans="1:11" ht="26.25" x14ac:dyDescent="0.4">
      <c r="A11" s="751" t="s">
        <v>11461</v>
      </c>
      <c r="B11" s="752">
        <v>38020</v>
      </c>
      <c r="C11" s="752"/>
      <c r="D11" s="752">
        <v>-38020</v>
      </c>
      <c r="F11" s="708" t="s">
        <v>7191</v>
      </c>
      <c r="G11" s="709">
        <f t="shared" si="0"/>
        <v>27649</v>
      </c>
      <c r="H11" s="709">
        <f>VLOOKUP(F11,'Project wise Supplier balance'!$A$6:$D$91,4,0)</f>
        <v>0</v>
      </c>
      <c r="I11" s="706">
        <f t="shared" si="1"/>
        <v>27649</v>
      </c>
    </row>
    <row r="12" spans="1:11" ht="26.25" x14ac:dyDescent="0.4">
      <c r="A12" s="751" t="s">
        <v>11193</v>
      </c>
      <c r="B12" s="752">
        <v>978658</v>
      </c>
      <c r="C12" s="752">
        <v>1000000</v>
      </c>
      <c r="D12" s="752">
        <v>21342</v>
      </c>
      <c r="F12" s="708" t="s">
        <v>7132</v>
      </c>
      <c r="G12" s="709">
        <f t="shared" si="0"/>
        <v>5665632</v>
      </c>
      <c r="H12" s="709" t="e">
        <f>VLOOKUP(F12,'Project wise Supplier balance'!$A$6:$D$91,4,0)</f>
        <v>#N/A</v>
      </c>
      <c r="I12" s="706" t="e">
        <f t="shared" si="1"/>
        <v>#N/A</v>
      </c>
    </row>
    <row r="13" spans="1:11" ht="26.25" x14ac:dyDescent="0.4">
      <c r="A13" s="751" t="s">
        <v>11391</v>
      </c>
      <c r="B13" s="752">
        <v>568840</v>
      </c>
      <c r="C13" s="752">
        <v>1300000</v>
      </c>
      <c r="D13" s="752">
        <v>731160</v>
      </c>
      <c r="F13" s="708" t="s">
        <v>6568</v>
      </c>
      <c r="G13" s="709">
        <f t="shared" si="0"/>
        <v>2445161</v>
      </c>
      <c r="H13" s="709" t="e">
        <f>VLOOKUP(F13,'Project wise Supplier balance'!$A$6:$D$91,4,0)</f>
        <v>#N/A</v>
      </c>
      <c r="I13" s="706" t="e">
        <f t="shared" si="1"/>
        <v>#N/A</v>
      </c>
    </row>
    <row r="14" spans="1:11" ht="26.25" x14ac:dyDescent="0.4">
      <c r="A14" s="751" t="s">
        <v>11122</v>
      </c>
      <c r="B14" s="752">
        <v>249580</v>
      </c>
      <c r="C14" s="752">
        <v>900000</v>
      </c>
      <c r="D14" s="752">
        <v>650420</v>
      </c>
      <c r="F14" s="708" t="s">
        <v>6575</v>
      </c>
      <c r="G14" s="709">
        <f t="shared" si="0"/>
        <v>1915801.3763440857</v>
      </c>
      <c r="H14" s="709" t="e">
        <f>VLOOKUP(F14,'Project wise Supplier balance'!$A$6:$D$91,4,0)</f>
        <v>#N/A</v>
      </c>
      <c r="I14" s="706" t="e">
        <f t="shared" si="1"/>
        <v>#N/A</v>
      </c>
    </row>
    <row r="15" spans="1:11" ht="26.25" x14ac:dyDescent="0.4">
      <c r="A15" s="751" t="s">
        <v>9827</v>
      </c>
      <c r="B15" s="752">
        <v>138515</v>
      </c>
      <c r="C15" s="752">
        <v>500000</v>
      </c>
      <c r="D15" s="752">
        <v>361485</v>
      </c>
      <c r="F15" s="708" t="s">
        <v>6565</v>
      </c>
      <c r="G15" s="709">
        <f t="shared" si="0"/>
        <v>2118178</v>
      </c>
      <c r="H15" s="709">
        <f>VLOOKUP(F15,'Project wise Supplier balance'!$A$6:$D$91,4,0)</f>
        <v>4245</v>
      </c>
      <c r="I15" s="706">
        <f t="shared" si="1"/>
        <v>2113933</v>
      </c>
    </row>
    <row r="16" spans="1:11" ht="26.25" x14ac:dyDescent="0.4">
      <c r="A16" s="751" t="s">
        <v>11023</v>
      </c>
      <c r="B16" s="752">
        <v>14460153.333333334</v>
      </c>
      <c r="C16" s="752">
        <v>22005520</v>
      </c>
      <c r="D16" s="752">
        <v>7545366.6666666679</v>
      </c>
      <c r="F16" s="708" t="s">
        <v>6562</v>
      </c>
      <c r="G16" s="709">
        <f t="shared" si="0"/>
        <v>4541791.3617511522</v>
      </c>
      <c r="H16" s="709">
        <f>VLOOKUP(F16,'Project wise Supplier balance'!$A$6:$D$91,4,0)</f>
        <v>0</v>
      </c>
      <c r="I16" s="706">
        <f t="shared" si="1"/>
        <v>4541791.3617511522</v>
      </c>
    </row>
    <row r="17" spans="1:9" ht="26.25" x14ac:dyDescent="0.4">
      <c r="A17" s="751" t="s">
        <v>10688</v>
      </c>
      <c r="B17" s="752">
        <v>27815930.333333336</v>
      </c>
      <c r="C17" s="752">
        <v>35032291</v>
      </c>
      <c r="D17" s="752">
        <v>7216360.6666666679</v>
      </c>
      <c r="F17" s="708" t="s">
        <v>7627</v>
      </c>
      <c r="G17" s="709">
        <f t="shared" si="0"/>
        <v>946445.53225806449</v>
      </c>
      <c r="H17" s="709">
        <f>VLOOKUP(F17,'Project wise Supplier balance'!$A$6:$D$91,4,0)</f>
        <v>0</v>
      </c>
      <c r="I17" s="706">
        <f t="shared" si="1"/>
        <v>946445.53225806449</v>
      </c>
    </row>
    <row r="18" spans="1:9" ht="26.25" x14ac:dyDescent="0.4">
      <c r="A18" s="751" t="s">
        <v>10490</v>
      </c>
      <c r="B18" s="752">
        <v>3506345</v>
      </c>
      <c r="C18" s="752">
        <v>3000000</v>
      </c>
      <c r="D18" s="752">
        <v>-506345</v>
      </c>
      <c r="F18" s="708" t="s">
        <v>7015</v>
      </c>
      <c r="G18" s="709">
        <f t="shared" si="0"/>
        <v>1351664</v>
      </c>
      <c r="H18" s="709">
        <f>VLOOKUP(F18,'Project wise Supplier balance'!$A$6:$D$91,4,0)</f>
        <v>0</v>
      </c>
      <c r="I18" s="706">
        <f t="shared" si="1"/>
        <v>1351664</v>
      </c>
    </row>
    <row r="19" spans="1:9" ht="26.25" x14ac:dyDescent="0.4">
      <c r="A19" s="751" t="s">
        <v>10449</v>
      </c>
      <c r="B19" s="752">
        <v>4344152</v>
      </c>
      <c r="C19" s="752">
        <v>6586000</v>
      </c>
      <c r="D19" s="752">
        <v>2241848</v>
      </c>
      <c r="F19" s="708" t="s">
        <v>6706</v>
      </c>
      <c r="G19" s="709">
        <f t="shared" si="0"/>
        <v>67087</v>
      </c>
      <c r="H19" s="709" t="e">
        <f>VLOOKUP(F19,'Project wise Supplier balance'!$A$6:$D$91,4,0)</f>
        <v>#N/A</v>
      </c>
      <c r="I19" s="706" t="e">
        <f t="shared" si="1"/>
        <v>#N/A</v>
      </c>
    </row>
    <row r="20" spans="1:9" ht="26.25" x14ac:dyDescent="0.4">
      <c r="A20" s="751" t="s">
        <v>10406</v>
      </c>
      <c r="B20" s="752">
        <v>3754848.4623655914</v>
      </c>
      <c r="C20" s="752">
        <v>2000000</v>
      </c>
      <c r="D20" s="752">
        <v>-1754848.4623655914</v>
      </c>
      <c r="F20" s="708" t="s">
        <v>7177</v>
      </c>
      <c r="G20" s="709">
        <f t="shared" si="0"/>
        <v>641998.78494623653</v>
      </c>
      <c r="H20" s="709" t="e">
        <f>VLOOKUP(F20,'Project wise Supplier balance'!$A$6:$D$91,4,0)</f>
        <v>#N/A</v>
      </c>
      <c r="I20" s="706" t="e">
        <f t="shared" si="1"/>
        <v>#N/A</v>
      </c>
    </row>
    <row r="21" spans="1:9" ht="26.25" x14ac:dyDescent="0.4">
      <c r="A21" s="751" t="s">
        <v>10342</v>
      </c>
      <c r="B21" s="752">
        <v>14553057.333333334</v>
      </c>
      <c r="C21" s="752">
        <v>20920080</v>
      </c>
      <c r="D21" s="752">
        <v>6367022.666666666</v>
      </c>
      <c r="F21" s="708" t="s">
        <v>7733</v>
      </c>
      <c r="G21" s="709">
        <f t="shared" si="0"/>
        <v>702998.51</v>
      </c>
      <c r="H21" s="709">
        <f>VLOOKUP(F21,'Project wise Supplier balance'!$A$6:$D$91,4,0)</f>
        <v>0</v>
      </c>
      <c r="I21" s="706">
        <f t="shared" si="1"/>
        <v>702998.51</v>
      </c>
    </row>
    <row r="22" spans="1:9" ht="26.25" x14ac:dyDescent="0.4">
      <c r="A22" s="751" t="s">
        <v>10254</v>
      </c>
      <c r="B22" s="752">
        <v>6503079</v>
      </c>
      <c r="C22" s="752">
        <v>7704349</v>
      </c>
      <c r="D22" s="752">
        <v>1201270</v>
      </c>
      <c r="F22" s="708" t="s">
        <v>6463</v>
      </c>
      <c r="G22" s="709">
        <f t="shared" si="0"/>
        <v>-209739.22580645164</v>
      </c>
      <c r="H22" s="709">
        <f>VLOOKUP(F22,'Project wise Supplier balance'!$A$6:$D$91,4,0)</f>
        <v>80843</v>
      </c>
      <c r="I22" s="706">
        <f t="shared" si="1"/>
        <v>-290582.22580645164</v>
      </c>
    </row>
    <row r="23" spans="1:9" ht="26.25" x14ac:dyDescent="0.4">
      <c r="A23" s="751" t="s">
        <v>10232</v>
      </c>
      <c r="B23" s="752">
        <v>83200</v>
      </c>
      <c r="C23" s="752">
        <v>0</v>
      </c>
      <c r="D23" s="752">
        <v>-83200</v>
      </c>
      <c r="F23" s="708" t="s">
        <v>7811</v>
      </c>
      <c r="G23" s="709">
        <f t="shared" si="0"/>
        <v>301911.87096774194</v>
      </c>
      <c r="H23" s="709">
        <f>VLOOKUP(F23,'Project wise Supplier balance'!$A$6:$D$91,4,0)</f>
        <v>0</v>
      </c>
      <c r="I23" s="706">
        <f t="shared" si="1"/>
        <v>301911.87096774194</v>
      </c>
    </row>
    <row r="24" spans="1:9" ht="26.25" x14ac:dyDescent="0.4">
      <c r="A24" s="751" t="s">
        <v>10133</v>
      </c>
      <c r="B24" s="752">
        <v>6367709.5</v>
      </c>
      <c r="C24" s="752">
        <v>3520000</v>
      </c>
      <c r="D24" s="752">
        <v>-2847709.5</v>
      </c>
      <c r="F24" s="708" t="s">
        <v>7825</v>
      </c>
      <c r="G24" s="709" t="e">
        <f t="shared" si="0"/>
        <v>#N/A</v>
      </c>
      <c r="H24" s="709" t="e">
        <f>VLOOKUP(F24,'Project wise Supplier balance'!$A$6:$D$91,4,0)</f>
        <v>#N/A</v>
      </c>
      <c r="I24" s="706" t="e">
        <f t="shared" si="1"/>
        <v>#N/A</v>
      </c>
    </row>
    <row r="25" spans="1:9" ht="26.25" x14ac:dyDescent="0.4">
      <c r="A25" s="751" t="s">
        <v>9940</v>
      </c>
      <c r="B25" s="752">
        <v>17434875</v>
      </c>
      <c r="C25" s="752">
        <v>19830000</v>
      </c>
      <c r="D25" s="752">
        <v>2395125</v>
      </c>
    </row>
    <row r="26" spans="1:9" ht="26.25" x14ac:dyDescent="0.4">
      <c r="A26" s="751" t="s">
        <v>9877</v>
      </c>
      <c r="B26" s="752">
        <v>16061004</v>
      </c>
      <c r="C26" s="752">
        <v>19855650</v>
      </c>
      <c r="D26" s="752">
        <v>3794646</v>
      </c>
    </row>
    <row r="27" spans="1:9" ht="26.25" x14ac:dyDescent="0.4">
      <c r="A27" s="751" t="s">
        <v>9769</v>
      </c>
      <c r="B27" s="752">
        <v>4704328.9032258065</v>
      </c>
      <c r="C27" s="752">
        <v>8221233</v>
      </c>
      <c r="D27" s="752">
        <v>3516904.0967741935</v>
      </c>
    </row>
    <row r="28" spans="1:9" ht="26.25" x14ac:dyDescent="0.4">
      <c r="A28" s="751" t="s">
        <v>9572</v>
      </c>
      <c r="B28" s="752">
        <v>2064125</v>
      </c>
      <c r="C28" s="752">
        <v>2722000</v>
      </c>
      <c r="D28" s="752">
        <v>657875</v>
      </c>
    </row>
    <row r="29" spans="1:9" ht="26.25" x14ac:dyDescent="0.4">
      <c r="A29" s="751" t="s">
        <v>9615</v>
      </c>
      <c r="B29" s="752">
        <v>2522814</v>
      </c>
      <c r="C29" s="752">
        <v>3185630</v>
      </c>
      <c r="D29" s="752">
        <v>662816</v>
      </c>
    </row>
    <row r="30" spans="1:9" ht="26.25" x14ac:dyDescent="0.4">
      <c r="A30" s="751" t="s">
        <v>9516</v>
      </c>
      <c r="B30" s="752">
        <v>6179137.7741935486</v>
      </c>
      <c r="C30" s="752">
        <v>11548048</v>
      </c>
      <c r="D30" s="752">
        <v>5368910.2258064514</v>
      </c>
    </row>
    <row r="31" spans="1:9" ht="26.25" x14ac:dyDescent="0.4">
      <c r="A31" s="751" t="s">
        <v>9509</v>
      </c>
      <c r="B31" s="752">
        <v>4492625.5483870972</v>
      </c>
      <c r="C31" s="752">
        <v>2358850</v>
      </c>
      <c r="D31" s="752">
        <v>-2133775.5483870967</v>
      </c>
    </row>
    <row r="32" spans="1:9" ht="26.25" x14ac:dyDescent="0.4">
      <c r="A32" s="751" t="s">
        <v>9463</v>
      </c>
      <c r="B32" s="752">
        <v>22311005.833333332</v>
      </c>
      <c r="C32" s="752">
        <v>19140130</v>
      </c>
      <c r="D32" s="752">
        <v>-3170875.833333334</v>
      </c>
    </row>
    <row r="33" spans="1:9" ht="26.25" x14ac:dyDescent="0.4">
      <c r="A33" s="751" t="s">
        <v>8974</v>
      </c>
      <c r="B33" s="752">
        <v>3486728</v>
      </c>
      <c r="C33" s="752">
        <v>3500000</v>
      </c>
      <c r="D33" s="752">
        <v>13272</v>
      </c>
    </row>
    <row r="34" spans="1:9" ht="26.25" x14ac:dyDescent="0.4">
      <c r="A34" s="751" t="s">
        <v>8982</v>
      </c>
      <c r="B34" s="752">
        <v>7839484.3548387093</v>
      </c>
      <c r="C34" s="752">
        <v>14475224</v>
      </c>
      <c r="D34" s="752">
        <v>6635739.6451612907</v>
      </c>
    </row>
    <row r="35" spans="1:9" ht="26.25" x14ac:dyDescent="0.4">
      <c r="A35" s="751" t="s">
        <v>8653</v>
      </c>
      <c r="B35" s="752">
        <v>4599493</v>
      </c>
      <c r="C35" s="752">
        <v>2874349</v>
      </c>
      <c r="D35" s="752">
        <v>-1753543</v>
      </c>
    </row>
    <row r="36" spans="1:9" ht="26.25" x14ac:dyDescent="0.4">
      <c r="A36" s="751" t="s">
        <v>8752</v>
      </c>
      <c r="B36" s="752">
        <v>16339873</v>
      </c>
      <c r="C36" s="752">
        <v>24057411.419999998</v>
      </c>
      <c r="D36" s="752">
        <v>7717538.4199999999</v>
      </c>
    </row>
    <row r="37" spans="1:9" ht="26.25" x14ac:dyDescent="0.4">
      <c r="A37" s="751" t="s">
        <v>8625</v>
      </c>
      <c r="B37" s="752">
        <v>543932</v>
      </c>
      <c r="C37" s="752">
        <v>600000</v>
      </c>
      <c r="D37" s="752">
        <v>56068</v>
      </c>
    </row>
    <row r="38" spans="1:9" ht="26.25" x14ac:dyDescent="0.4">
      <c r="A38" s="751" t="s">
        <v>8156</v>
      </c>
      <c r="B38" s="752">
        <v>1657197</v>
      </c>
      <c r="C38" s="752">
        <v>2614743</v>
      </c>
      <c r="D38" s="752">
        <v>957546</v>
      </c>
    </row>
    <row r="39" spans="1:9" ht="26.25" x14ac:dyDescent="0.4">
      <c r="A39" s="751" t="s">
        <v>8426</v>
      </c>
      <c r="B39" s="752">
        <v>9756255</v>
      </c>
      <c r="C39" s="752">
        <v>14204081</v>
      </c>
      <c r="D39" s="752">
        <v>4489919</v>
      </c>
    </row>
    <row r="40" spans="1:9" ht="26.25" x14ac:dyDescent="0.4">
      <c r="A40" s="751" t="s">
        <v>8000</v>
      </c>
      <c r="B40" s="752">
        <v>19551392</v>
      </c>
      <c r="C40" s="752">
        <v>26037593</v>
      </c>
      <c r="D40" s="752">
        <v>6468201</v>
      </c>
    </row>
    <row r="41" spans="1:9" ht="26.25" x14ac:dyDescent="0.4">
      <c r="A41" s="751" t="s">
        <v>8122</v>
      </c>
      <c r="B41" s="752">
        <v>20150378</v>
      </c>
      <c r="C41" s="752">
        <v>22909998</v>
      </c>
      <c r="D41" s="752">
        <v>2741620</v>
      </c>
    </row>
    <row r="42" spans="1:9" ht="26.25" x14ac:dyDescent="0.4">
      <c r="A42" s="1387" t="s">
        <v>6565</v>
      </c>
      <c r="B42" s="1386">
        <v>2808804</v>
      </c>
      <c r="C42" s="1386">
        <v>4926982</v>
      </c>
      <c r="D42" s="1386">
        <v>2118178</v>
      </c>
    </row>
    <row r="43" spans="1:9" ht="26.25" x14ac:dyDescent="0.4">
      <c r="A43" s="1387" t="s">
        <v>6568</v>
      </c>
      <c r="B43" s="1386">
        <v>7639492</v>
      </c>
      <c r="C43" s="1386">
        <v>10084653</v>
      </c>
      <c r="D43" s="1386">
        <v>2445161</v>
      </c>
      <c r="F43" s="298"/>
      <c r="G43" s="707"/>
      <c r="H43" s="707"/>
      <c r="I43" s="298"/>
    </row>
    <row r="44" spans="1:9" ht="26.25" x14ac:dyDescent="0.4">
      <c r="A44" s="1387" t="s">
        <v>7191</v>
      </c>
      <c r="B44" s="1386">
        <v>2367767</v>
      </c>
      <c r="C44" s="1386">
        <v>2395416</v>
      </c>
      <c r="D44" s="1386">
        <v>27649</v>
      </c>
      <c r="F44" s="298"/>
      <c r="G44" s="707"/>
      <c r="H44" s="707"/>
      <c r="I44" s="298"/>
    </row>
    <row r="45" spans="1:9" ht="26.25" x14ac:dyDescent="0.4">
      <c r="A45" s="1387" t="s">
        <v>6463</v>
      </c>
      <c r="B45" s="1386">
        <v>4913171.2258064514</v>
      </c>
      <c r="C45" s="1386">
        <v>4645812</v>
      </c>
      <c r="D45" s="1386">
        <v>-209739.22580645164</v>
      </c>
      <c r="F45" s="298"/>
      <c r="G45" s="707"/>
      <c r="H45" s="707"/>
      <c r="I45" s="298"/>
    </row>
    <row r="46" spans="1:9" ht="26.25" x14ac:dyDescent="0.4">
      <c r="A46" s="1387" t="s">
        <v>18</v>
      </c>
      <c r="B46" s="1386">
        <v>2368025.1605222733</v>
      </c>
      <c r="C46" s="1386">
        <v>3296750</v>
      </c>
      <c r="D46" s="1386">
        <v>938724.83947772672</v>
      </c>
      <c r="F46" s="298"/>
      <c r="G46" s="707"/>
      <c r="H46" s="707"/>
      <c r="I46" s="298"/>
    </row>
    <row r="47" spans="1:9" s="298" customFormat="1" ht="26.25" x14ac:dyDescent="0.4">
      <c r="A47" s="1387" t="s">
        <v>8032</v>
      </c>
      <c r="B47" s="1386">
        <v>4397458</v>
      </c>
      <c r="C47" s="1386">
        <v>6566988</v>
      </c>
      <c r="D47" s="1386">
        <v>2169530</v>
      </c>
      <c r="G47" s="707"/>
      <c r="H47" s="707"/>
    </row>
    <row r="48" spans="1:9" s="298" customFormat="1" ht="26.25" x14ac:dyDescent="0.4">
      <c r="A48" s="1387" t="s">
        <v>7896</v>
      </c>
      <c r="B48" s="1386">
        <v>781154</v>
      </c>
      <c r="C48" s="1386">
        <v>1300000</v>
      </c>
      <c r="D48" s="1386">
        <v>518846</v>
      </c>
      <c r="G48" s="707"/>
      <c r="H48" s="707"/>
    </row>
    <row r="49" spans="1:8" s="298" customFormat="1" ht="26.25" x14ac:dyDescent="0.4">
      <c r="A49" s="1387" t="s">
        <v>7811</v>
      </c>
      <c r="B49" s="1386">
        <v>428088.12903225806</v>
      </c>
      <c r="C49" s="1386">
        <v>730000</v>
      </c>
      <c r="D49" s="1386">
        <v>301911.87096774194</v>
      </c>
      <c r="G49" s="707"/>
      <c r="H49" s="707"/>
    </row>
    <row r="50" spans="1:8" s="298" customFormat="1" ht="26.25" x14ac:dyDescent="0.4">
      <c r="A50" s="1387" t="s">
        <v>4760</v>
      </c>
      <c r="B50" s="1386">
        <v>4198143.8588709673</v>
      </c>
      <c r="C50" s="1386">
        <v>15155996.9</v>
      </c>
      <c r="D50" s="1386">
        <v>10957853.041129032</v>
      </c>
      <c r="G50" s="707"/>
      <c r="H50" s="707"/>
    </row>
    <row r="51" spans="1:8" s="298" customFormat="1" ht="26.25" x14ac:dyDescent="0.4">
      <c r="A51" s="1387" t="s">
        <v>5862</v>
      </c>
      <c r="B51" s="1386">
        <v>3130611.7334869434</v>
      </c>
      <c r="C51" s="1386">
        <v>3500000</v>
      </c>
      <c r="D51" s="1386">
        <v>369388.26651305659</v>
      </c>
      <c r="G51" s="707"/>
      <c r="H51" s="707"/>
    </row>
    <row r="52" spans="1:8" s="298" customFormat="1" ht="26.25" x14ac:dyDescent="0.4">
      <c r="A52" s="1387" t="s">
        <v>3979</v>
      </c>
      <c r="B52" s="1386">
        <v>14052246.334058346</v>
      </c>
      <c r="C52" s="1386">
        <v>18645258</v>
      </c>
      <c r="D52" s="1386">
        <v>4610842.6659416538</v>
      </c>
      <c r="G52" s="707"/>
      <c r="H52" s="707"/>
    </row>
    <row r="53" spans="1:8" s="298" customFormat="1" ht="26.25" x14ac:dyDescent="0.4">
      <c r="A53" s="1387" t="s">
        <v>3978</v>
      </c>
      <c r="B53" s="1386">
        <v>9029498.1807199772</v>
      </c>
      <c r="C53" s="1386">
        <v>14778869</v>
      </c>
      <c r="D53" s="1386">
        <v>5752749.8515380863</v>
      </c>
      <c r="G53" s="707"/>
      <c r="H53" s="707"/>
    </row>
    <row r="54" spans="1:8" s="298" customFormat="1" ht="26.25" x14ac:dyDescent="0.4">
      <c r="A54" s="1387" t="s">
        <v>6157</v>
      </c>
      <c r="B54" s="1386">
        <v>289848</v>
      </c>
      <c r="C54" s="1386">
        <v>1337000</v>
      </c>
      <c r="D54" s="1386">
        <v>1047152</v>
      </c>
      <c r="G54" s="707"/>
      <c r="H54" s="707"/>
    </row>
    <row r="55" spans="1:8" s="298" customFormat="1" ht="26.25" x14ac:dyDescent="0.4">
      <c r="A55" s="1387" t="s">
        <v>1407</v>
      </c>
      <c r="B55" s="1386">
        <v>114510981.94410785</v>
      </c>
      <c r="C55" s="1386">
        <v>130502260.09999999</v>
      </c>
      <c r="D55" s="1386">
        <v>16037003.15589213</v>
      </c>
      <c r="G55" s="707"/>
      <c r="H55" s="707"/>
    </row>
    <row r="56" spans="1:8" s="298" customFormat="1" ht="26.25" x14ac:dyDescent="0.4">
      <c r="A56" s="1387" t="s">
        <v>2957</v>
      </c>
      <c r="B56" s="1386">
        <v>97556794.74362056</v>
      </c>
      <c r="C56" s="1386">
        <v>137552234</v>
      </c>
      <c r="D56" s="1386">
        <v>39998531.25637947</v>
      </c>
      <c r="G56" s="707"/>
      <c r="H56" s="707"/>
    </row>
    <row r="57" spans="1:8" s="298" customFormat="1" ht="26.25" x14ac:dyDescent="0.4">
      <c r="A57" s="1387" t="s">
        <v>7733</v>
      </c>
      <c r="B57" s="1386">
        <v>2210266</v>
      </c>
      <c r="C57" s="1386">
        <v>2913264.51</v>
      </c>
      <c r="D57" s="1386">
        <v>702998.51</v>
      </c>
      <c r="G57" s="707"/>
      <c r="H57" s="707"/>
    </row>
    <row r="58" spans="1:8" s="298" customFormat="1" ht="26.25" x14ac:dyDescent="0.4">
      <c r="A58" s="1387" t="s">
        <v>7177</v>
      </c>
      <c r="B58" s="1386">
        <v>3206398.2150537632</v>
      </c>
      <c r="C58" s="1386">
        <v>3848397</v>
      </c>
      <c r="D58" s="1386">
        <v>641998.78494623653</v>
      </c>
      <c r="G58" s="707"/>
      <c r="H58" s="707"/>
    </row>
    <row r="59" spans="1:8" s="298" customFormat="1" ht="26.25" x14ac:dyDescent="0.4">
      <c r="A59" s="1387" t="s">
        <v>7132</v>
      </c>
      <c r="B59" s="1386">
        <v>18681972</v>
      </c>
      <c r="C59" s="1386">
        <v>24347604</v>
      </c>
      <c r="D59" s="1386">
        <v>5665632</v>
      </c>
      <c r="G59" s="707"/>
      <c r="H59" s="707"/>
    </row>
    <row r="60" spans="1:8" s="298" customFormat="1" ht="26.25" x14ac:dyDescent="0.4">
      <c r="A60" s="1387" t="s">
        <v>6562</v>
      </c>
      <c r="B60" s="1386">
        <v>5051519.9715821808</v>
      </c>
      <c r="C60" s="1386">
        <v>9568884</v>
      </c>
      <c r="D60" s="1386">
        <v>4541791.3617511522</v>
      </c>
      <c r="G60" s="707"/>
      <c r="H60" s="707"/>
    </row>
    <row r="61" spans="1:8" s="298" customFormat="1" ht="26.25" x14ac:dyDescent="0.4">
      <c r="A61" s="1387" t="s">
        <v>7627</v>
      </c>
      <c r="B61" s="1386">
        <v>2463913.4677419355</v>
      </c>
      <c r="C61" s="1386">
        <v>3410359</v>
      </c>
      <c r="D61" s="1386">
        <v>946445.53225806449</v>
      </c>
      <c r="G61" s="707"/>
      <c r="H61" s="707"/>
    </row>
    <row r="62" spans="1:8" s="298" customFormat="1" ht="26.25" x14ac:dyDescent="0.4">
      <c r="A62" s="1387" t="s">
        <v>7015</v>
      </c>
      <c r="B62" s="1386">
        <v>3524112</v>
      </c>
      <c r="C62" s="1386">
        <v>4875776</v>
      </c>
      <c r="D62" s="1386">
        <v>1351664</v>
      </c>
      <c r="G62" s="707"/>
      <c r="H62" s="707"/>
    </row>
    <row r="63" spans="1:8" s="298" customFormat="1" ht="26.25" x14ac:dyDescent="0.4">
      <c r="A63" s="1387" t="s">
        <v>6706</v>
      </c>
      <c r="B63" s="1386">
        <v>381763</v>
      </c>
      <c r="C63" s="1386">
        <v>448850</v>
      </c>
      <c r="D63" s="1386">
        <v>67087</v>
      </c>
      <c r="G63" s="707"/>
      <c r="H63" s="707"/>
    </row>
    <row r="64" spans="1:8" s="298" customFormat="1" ht="26.25" x14ac:dyDescent="0.4">
      <c r="A64" s="1387" t="s">
        <v>6575</v>
      </c>
      <c r="B64" s="1386">
        <v>11348698.623655912</v>
      </c>
      <c r="C64" s="1386">
        <v>13264500</v>
      </c>
      <c r="D64" s="1386">
        <v>1915801.3763440857</v>
      </c>
      <c r="G64" s="707"/>
      <c r="H64" s="707"/>
    </row>
    <row r="65" spans="1:8" s="298" customFormat="1" ht="26.25" x14ac:dyDescent="0.4">
      <c r="A65" s="1387" t="s">
        <v>2675</v>
      </c>
      <c r="B65" s="1386">
        <v>26687909.699682843</v>
      </c>
      <c r="C65" s="1386">
        <v>36731542</v>
      </c>
      <c r="D65" s="1386">
        <v>10068965.30031715</v>
      </c>
      <c r="G65" s="707"/>
      <c r="H65" s="707"/>
    </row>
    <row r="66" spans="1:8" s="298" customFormat="1" ht="26.25" x14ac:dyDescent="0.4">
      <c r="A66" s="1387" t="s">
        <v>5593</v>
      </c>
      <c r="B66" s="1386">
        <v>678790.36290322582</v>
      </c>
      <c r="C66" s="1386">
        <v>872151</v>
      </c>
      <c r="D66" s="1386">
        <v>193360.63709677418</v>
      </c>
      <c r="G66" s="707"/>
      <c r="H66" s="707"/>
    </row>
    <row r="67" spans="1:8" s="298" customFormat="1" ht="26.25" x14ac:dyDescent="0.4">
      <c r="A67" s="1387" t="s">
        <v>5691</v>
      </c>
      <c r="B67" s="1386">
        <v>2512284.75</v>
      </c>
      <c r="C67" s="1386">
        <v>3685007</v>
      </c>
      <c r="D67" s="1386">
        <v>1236944.25</v>
      </c>
      <c r="G67" s="707"/>
      <c r="H67" s="707"/>
    </row>
    <row r="68" spans="1:8" s="298" customFormat="1" ht="26.25" x14ac:dyDescent="0.4">
      <c r="A68" s="1387" t="s">
        <v>5095</v>
      </c>
      <c r="B68" s="1386">
        <v>4445446.3494623657</v>
      </c>
      <c r="C68" s="1386">
        <v>6341262</v>
      </c>
      <c r="D68" s="1386">
        <v>1895815.6505376345</v>
      </c>
      <c r="G68" s="707"/>
      <c r="H68" s="707"/>
    </row>
    <row r="69" spans="1:8" s="298" customFormat="1" ht="26.25" x14ac:dyDescent="0.4">
      <c r="A69" s="1387" t="s">
        <v>5667</v>
      </c>
      <c r="B69" s="1386">
        <v>1142182.75</v>
      </c>
      <c r="C69" s="1386">
        <v>2131308</v>
      </c>
      <c r="D69" s="1386">
        <v>989125.25</v>
      </c>
      <c r="G69" s="707"/>
      <c r="H69" s="707"/>
    </row>
    <row r="70" spans="1:8" s="298" customFormat="1" ht="26.25" x14ac:dyDescent="0.4">
      <c r="A70" s="1387" t="s">
        <v>82</v>
      </c>
      <c r="B70" s="1386">
        <v>4379244</v>
      </c>
      <c r="C70" s="1386">
        <v>10411961</v>
      </c>
      <c r="D70" s="1386">
        <v>6032717</v>
      </c>
      <c r="G70" s="707"/>
      <c r="H70" s="707"/>
    </row>
    <row r="71" spans="1:8" s="298" customFormat="1" ht="26.25" x14ac:dyDescent="0.4">
      <c r="A71" s="1387" t="s">
        <v>154</v>
      </c>
      <c r="B71" s="1386">
        <v>6704728</v>
      </c>
      <c r="C71" s="1386">
        <v>10075309</v>
      </c>
      <c r="D71" s="1386">
        <v>3380173</v>
      </c>
      <c r="G71" s="707"/>
      <c r="H71" s="707"/>
    </row>
    <row r="72" spans="1:8" s="298" customFormat="1" ht="26.25" x14ac:dyDescent="0.4">
      <c r="A72" s="1387" t="s">
        <v>2109</v>
      </c>
      <c r="B72" s="1386">
        <v>5185502.0489631332</v>
      </c>
      <c r="C72" s="1386">
        <v>6644055</v>
      </c>
      <c r="D72" s="1386">
        <v>1458552.9510368668</v>
      </c>
      <c r="G72" s="707"/>
      <c r="H72" s="707"/>
    </row>
    <row r="73" spans="1:8" s="298" customFormat="1" ht="26.25" x14ac:dyDescent="0.4">
      <c r="A73" s="1387" t="s">
        <v>2810</v>
      </c>
      <c r="B73" s="1386">
        <v>45546316.695372485</v>
      </c>
      <c r="C73" s="1386">
        <v>60651110</v>
      </c>
      <c r="D73" s="1386">
        <v>15104793.304627493</v>
      </c>
      <c r="G73" s="707"/>
      <c r="H73" s="707"/>
    </row>
    <row r="74" spans="1:8" s="298" customFormat="1" ht="26.25" x14ac:dyDescent="0.4">
      <c r="A74" s="1387" t="s">
        <v>2571</v>
      </c>
      <c r="B74" s="1386">
        <v>1543068.4838709678</v>
      </c>
      <c r="C74" s="1386">
        <v>2378225</v>
      </c>
      <c r="D74" s="1386">
        <v>835156.51612903224</v>
      </c>
      <c r="G74" s="707"/>
      <c r="H74" s="707"/>
    </row>
    <row r="75" spans="1:8" s="298" customFormat="1" ht="26.25" x14ac:dyDescent="0.4">
      <c r="A75" s="1387" t="s">
        <v>75</v>
      </c>
      <c r="B75" s="1386">
        <v>139600</v>
      </c>
      <c r="C75" s="1386"/>
      <c r="D75" s="1386">
        <v>-139600</v>
      </c>
      <c r="G75" s="707"/>
      <c r="H75" s="707"/>
    </row>
    <row r="76" spans="1:8" s="298" customFormat="1" ht="26.25" x14ac:dyDescent="0.4">
      <c r="A76" s="1387" t="s">
        <v>1502</v>
      </c>
      <c r="B76" s="1386">
        <v>1943741.4677419357</v>
      </c>
      <c r="C76" s="1386">
        <v>3015886</v>
      </c>
      <c r="D76" s="1386">
        <v>1072144.5322580645</v>
      </c>
      <c r="G76" s="707"/>
      <c r="H76" s="707"/>
    </row>
    <row r="77" spans="1:8" s="298" customFormat="1" ht="26.25" x14ac:dyDescent="0.4">
      <c r="A77" s="1387" t="s">
        <v>37</v>
      </c>
      <c r="B77" s="1386">
        <v>15257116.794944117</v>
      </c>
      <c r="C77" s="1386">
        <v>22565993</v>
      </c>
      <c r="D77" s="1386">
        <v>7299528.7588193193</v>
      </c>
      <c r="G77" s="707"/>
      <c r="H77" s="707"/>
    </row>
    <row r="78" spans="1:8" s="298" customFormat="1" ht="26.25" x14ac:dyDescent="0.4">
      <c r="A78" s="1387" t="s">
        <v>11</v>
      </c>
      <c r="B78" s="1386">
        <v>1881153.2044930877</v>
      </c>
      <c r="C78" s="1386">
        <v>1656000</v>
      </c>
      <c r="D78" s="1386">
        <v>-230153.20449308754</v>
      </c>
      <c r="G78" s="707"/>
      <c r="H78" s="707"/>
    </row>
    <row r="79" spans="1:8" s="298" customFormat="1" ht="26.25" x14ac:dyDescent="0.4">
      <c r="A79" s="1387" t="s">
        <v>25</v>
      </c>
      <c r="B79" s="1386">
        <v>17895461.887096774</v>
      </c>
      <c r="C79" s="1386"/>
      <c r="D79" s="1386">
        <v>-17885461.887096774</v>
      </c>
      <c r="G79" s="707"/>
      <c r="H79" s="707"/>
    </row>
    <row r="80" spans="1:8" s="298" customFormat="1" ht="26.25" x14ac:dyDescent="0.4">
      <c r="A80" s="1387" t="s">
        <v>14</v>
      </c>
      <c r="B80" s="1386">
        <v>1066402</v>
      </c>
      <c r="C80" s="1386">
        <v>1440705</v>
      </c>
      <c r="D80" s="1386">
        <v>374303</v>
      </c>
      <c r="G80" s="707"/>
      <c r="H80" s="707"/>
    </row>
    <row r="81" spans="1:8" s="298" customFormat="1" ht="26.25" x14ac:dyDescent="0.4">
      <c r="A81" s="1387" t="s">
        <v>1703</v>
      </c>
      <c r="B81" s="1386">
        <v>1698566</v>
      </c>
      <c r="C81" s="1386"/>
      <c r="D81" s="1386">
        <v>-1698566</v>
      </c>
      <c r="G81" s="707"/>
      <c r="H81" s="707"/>
    </row>
    <row r="82" spans="1:8" s="298" customFormat="1" ht="26.25" x14ac:dyDescent="0.4">
      <c r="A82" s="1387" t="s">
        <v>16</v>
      </c>
      <c r="B82" s="1386">
        <v>21403444.691530842</v>
      </c>
      <c r="C82" s="1386">
        <v>50000</v>
      </c>
      <c r="D82" s="1386">
        <v>-21353485.885079227</v>
      </c>
      <c r="G82" s="707"/>
      <c r="H82" s="707"/>
    </row>
    <row r="83" spans="1:8" s="298" customFormat="1" ht="26.25" x14ac:dyDescent="0.4">
      <c r="A83" s="1387" t="s">
        <v>22</v>
      </c>
      <c r="B83" s="1386">
        <v>721543</v>
      </c>
      <c r="C83" s="1386">
        <v>1000426</v>
      </c>
      <c r="D83" s="1386">
        <v>278883</v>
      </c>
      <c r="G83" s="707"/>
      <c r="H83" s="707"/>
    </row>
    <row r="84" spans="1:8" s="298" customFormat="1" ht="26.25" x14ac:dyDescent="0.4">
      <c r="A84" s="1387" t="s">
        <v>2680</v>
      </c>
      <c r="B84" s="1386">
        <v>1592291.6774193549</v>
      </c>
      <c r="C84" s="1386">
        <v>2686275</v>
      </c>
      <c r="D84" s="1386">
        <v>1093983.3225806453</v>
      </c>
      <c r="G84" s="707"/>
      <c r="H84" s="707"/>
    </row>
    <row r="85" spans="1:8" s="298" customFormat="1" ht="26.25" x14ac:dyDescent="0.4">
      <c r="A85" s="1387" t="s">
        <v>5212</v>
      </c>
      <c r="B85" s="1386"/>
      <c r="C85" s="1386">
        <v>485141</v>
      </c>
      <c r="D85" s="1386">
        <v>485141</v>
      </c>
      <c r="G85" s="707"/>
      <c r="H85" s="707"/>
    </row>
    <row r="86" spans="1:8" s="298" customFormat="1" ht="26.25" x14ac:dyDescent="0.4">
      <c r="A86" s="1387" t="s">
        <v>6694</v>
      </c>
      <c r="B86" s="1386">
        <v>631720</v>
      </c>
      <c r="C86" s="1386">
        <v>1000000</v>
      </c>
      <c r="D86" s="1386">
        <v>368280</v>
      </c>
      <c r="G86" s="707"/>
      <c r="H86" s="707"/>
    </row>
    <row r="87" spans="1:8" s="298" customFormat="1" ht="26.25" x14ac:dyDescent="0.4">
      <c r="A87" s="1387" t="s">
        <v>6573</v>
      </c>
      <c r="B87" s="1386">
        <v>4971444.0025458178</v>
      </c>
      <c r="C87" s="1386">
        <v>7995733</v>
      </c>
      <c r="D87" s="1386">
        <v>3024288.9974541827</v>
      </c>
      <c r="G87" s="707"/>
      <c r="H87" s="707"/>
    </row>
    <row r="88" spans="1:8" s="298" customFormat="1" ht="26.25" x14ac:dyDescent="0.4">
      <c r="A88" s="1387" t="s">
        <v>6504</v>
      </c>
      <c r="B88" s="1386">
        <v>550023</v>
      </c>
      <c r="C88" s="1386">
        <v>1100470</v>
      </c>
      <c r="D88" s="1386">
        <v>550447</v>
      </c>
      <c r="G88" s="707"/>
      <c r="H88" s="707"/>
    </row>
    <row r="89" spans="1:8" s="298" customFormat="1" ht="26.25" x14ac:dyDescent="0.4">
      <c r="A89" s="1387" t="s">
        <v>5796</v>
      </c>
      <c r="B89" s="1386">
        <v>735045</v>
      </c>
      <c r="C89" s="1386">
        <v>1058484</v>
      </c>
      <c r="D89" s="1386">
        <v>323439</v>
      </c>
      <c r="G89" s="707"/>
      <c r="H89" s="707"/>
    </row>
    <row r="90" spans="1:8" s="298" customFormat="1" ht="26.25" x14ac:dyDescent="0.4">
      <c r="A90" s="1387" t="s">
        <v>5721</v>
      </c>
      <c r="B90" s="1386">
        <v>271826</v>
      </c>
      <c r="C90" s="1386">
        <v>563000</v>
      </c>
      <c r="D90" s="1386">
        <v>291174</v>
      </c>
      <c r="G90" s="707"/>
      <c r="H90" s="707"/>
    </row>
    <row r="91" spans="1:8" s="298" customFormat="1" ht="26.25" x14ac:dyDescent="0.4">
      <c r="A91" s="1387" t="s">
        <v>7843</v>
      </c>
      <c r="B91" s="1386"/>
      <c r="C91" s="1386">
        <v>64507</v>
      </c>
      <c r="D91" s="1386">
        <v>64507</v>
      </c>
      <c r="G91" s="707"/>
      <c r="H91" s="707"/>
    </row>
    <row r="92" spans="1:8" s="298" customFormat="1" ht="26.25" x14ac:dyDescent="0.4">
      <c r="A92" s="1387" t="s">
        <v>40</v>
      </c>
      <c r="B92" s="1386">
        <v>51386165.801987335</v>
      </c>
      <c r="C92" s="1386">
        <v>69560627</v>
      </c>
      <c r="D92" s="1386">
        <v>18225961.198012669</v>
      </c>
      <c r="G92" s="707"/>
      <c r="H92" s="707"/>
    </row>
    <row r="93" spans="1:8" s="298" customFormat="1" ht="26.25" x14ac:dyDescent="0.4">
      <c r="A93" s="1387" t="s">
        <v>5274</v>
      </c>
      <c r="B93" s="1386">
        <v>1808575</v>
      </c>
      <c r="C93" s="1386">
        <v>2875708</v>
      </c>
      <c r="D93" s="1386">
        <v>1067133</v>
      </c>
      <c r="G93" s="707"/>
      <c r="H93" s="707"/>
    </row>
    <row r="94" spans="1:8" s="298" customFormat="1" ht="26.25" x14ac:dyDescent="0.4">
      <c r="A94" s="1387" t="s">
        <v>3652</v>
      </c>
      <c r="B94" s="1386">
        <v>7385548</v>
      </c>
      <c r="C94" s="1386">
        <v>12071334</v>
      </c>
      <c r="D94" s="1386">
        <v>4685786</v>
      </c>
      <c r="G94" s="707"/>
      <c r="H94" s="707"/>
    </row>
    <row r="95" spans="1:8" s="298" customFormat="1" ht="26.25" x14ac:dyDescent="0.4">
      <c r="A95" s="1387" t="s">
        <v>3765</v>
      </c>
      <c r="B95" s="1386">
        <v>5642256.6693548393</v>
      </c>
      <c r="C95" s="1386">
        <v>6215763</v>
      </c>
      <c r="D95" s="1386">
        <v>573506.33064516122</v>
      </c>
      <c r="G95" s="707"/>
      <c r="H95" s="707"/>
    </row>
    <row r="96" spans="1:8" s="298" customFormat="1" ht="26.25" x14ac:dyDescent="0.4">
      <c r="A96" s="1387" t="s">
        <v>8932</v>
      </c>
      <c r="B96" s="1386">
        <v>785021</v>
      </c>
      <c r="C96" s="1386">
        <v>690021</v>
      </c>
      <c r="D96" s="1386">
        <v>-95000</v>
      </c>
      <c r="G96" s="707"/>
      <c r="H96" s="707"/>
    </row>
    <row r="97" spans="1:9" s="298" customFormat="1" ht="26.25" x14ac:dyDescent="0.4">
      <c r="A97" s="1387" t="s">
        <v>8997</v>
      </c>
      <c r="B97" s="1386">
        <v>84014</v>
      </c>
      <c r="C97" s="1386">
        <v>88818</v>
      </c>
      <c r="D97" s="1386">
        <v>4804</v>
      </c>
      <c r="G97" s="707"/>
      <c r="H97" s="707"/>
    </row>
    <row r="98" spans="1:9" s="298" customFormat="1" ht="26.25" x14ac:dyDescent="0.4">
      <c r="A98" s="1387" t="s">
        <v>9623</v>
      </c>
      <c r="B98" s="1386">
        <v>332250</v>
      </c>
      <c r="C98" s="1386"/>
      <c r="D98" s="1386">
        <v>-332250</v>
      </c>
      <c r="F98" s="4"/>
      <c r="G98" s="251"/>
      <c r="H98" s="251"/>
      <c r="I98" s="4"/>
    </row>
    <row r="99" spans="1:9" s="298" customFormat="1" ht="26.25" x14ac:dyDescent="0.4">
      <c r="A99" s="1387" t="s">
        <v>10484</v>
      </c>
      <c r="B99" s="1386">
        <v>25000</v>
      </c>
      <c r="C99" s="1386"/>
      <c r="D99" s="1386">
        <v>-25000</v>
      </c>
      <c r="F99" s="4"/>
      <c r="G99" s="251"/>
      <c r="H99" s="251"/>
      <c r="I99" s="4"/>
    </row>
    <row r="100" spans="1:9" s="298" customFormat="1" ht="26.25" x14ac:dyDescent="0.4">
      <c r="A100" s="1385" t="s">
        <v>11734</v>
      </c>
      <c r="B100" s="1386">
        <v>25000</v>
      </c>
      <c r="C100" s="1386"/>
      <c r="D100" s="1386">
        <v>-25000</v>
      </c>
      <c r="F100" s="4"/>
      <c r="G100" s="251"/>
      <c r="H100" s="251"/>
      <c r="I100" s="4"/>
    </row>
    <row r="101" spans="1:9" s="298" customFormat="1" ht="26.25" x14ac:dyDescent="0.4">
      <c r="A101" s="1385" t="s">
        <v>11748</v>
      </c>
      <c r="B101" s="1386">
        <v>80000</v>
      </c>
      <c r="C101" s="1386"/>
      <c r="D101" s="1386">
        <v>-80000</v>
      </c>
      <c r="F101" s="4"/>
      <c r="G101" s="251"/>
      <c r="H101" s="251"/>
      <c r="I101" s="4"/>
    </row>
    <row r="102" spans="1:9" ht="26.25" x14ac:dyDescent="0.4">
      <c r="A102" s="1385" t="s">
        <v>11760</v>
      </c>
      <c r="B102" s="1386">
        <v>500</v>
      </c>
      <c r="C102" s="1386"/>
      <c r="D102" s="1386">
        <v>-500</v>
      </c>
    </row>
    <row r="103" spans="1:9" ht="26.25" x14ac:dyDescent="0.4">
      <c r="A103" s="1385" t="s">
        <v>11943</v>
      </c>
      <c r="B103" s="1386">
        <v>14400</v>
      </c>
      <c r="C103" s="1386"/>
      <c r="D103" s="1386">
        <v>-14400</v>
      </c>
    </row>
    <row r="104" spans="1:9" ht="26.25" x14ac:dyDescent="0.4">
      <c r="A104" s="1385" t="s">
        <v>12011</v>
      </c>
      <c r="B104" s="1386">
        <v>70800</v>
      </c>
      <c r="C104" s="1386"/>
      <c r="D104" s="1386">
        <v>-70800</v>
      </c>
    </row>
    <row r="105" spans="1:9" ht="26.25" x14ac:dyDescent="0.4">
      <c r="A105" s="1387" t="s">
        <v>45</v>
      </c>
      <c r="B105" s="1386">
        <v>805818004.30197263</v>
      </c>
      <c r="C105" s="1386">
        <v>1001840105.9299999</v>
      </c>
      <c r="D105" s="1386">
        <v>196308128.35383379</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99"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0" t="s">
        <v>11010</v>
      </c>
      <c r="B1" s="1091" t="s">
        <v>11011</v>
      </c>
      <c r="C1" s="1091" t="s">
        <v>11012</v>
      </c>
      <c r="D1" s="1091" t="s">
        <v>960</v>
      </c>
      <c r="E1" s="1091" t="s">
        <v>11013</v>
      </c>
      <c r="F1" s="1092"/>
      <c r="G1" s="1091" t="s">
        <v>3</v>
      </c>
      <c r="H1" s="1091" t="s">
        <v>11014</v>
      </c>
      <c r="I1" s="1091" t="s">
        <v>11024</v>
      </c>
      <c r="J1" s="1093" t="s">
        <v>11067</v>
      </c>
      <c r="K1" s="1093" t="s">
        <v>11135</v>
      </c>
      <c r="L1" s="1093" t="s">
        <v>11665</v>
      </c>
      <c r="M1" s="1094" t="s">
        <v>11136</v>
      </c>
    </row>
    <row r="2" spans="1:16" x14ac:dyDescent="0.25">
      <c r="A2" s="1089" t="s">
        <v>10342</v>
      </c>
      <c r="B2" s="1126" t="s">
        <v>11015</v>
      </c>
      <c r="C2" s="1047">
        <v>47002950</v>
      </c>
      <c r="D2" s="1047">
        <f>C2*5%</f>
        <v>2350147.5</v>
      </c>
      <c r="E2" s="1047">
        <f>C2-D2</f>
        <v>44652802.5</v>
      </c>
      <c r="F2" s="1063"/>
      <c r="G2" s="1085">
        <f ca="1">SUMIF(Posting!$B:$E,A2,Posting!$E:$E)</f>
        <v>14553057.333333334</v>
      </c>
      <c r="H2" s="1086">
        <f ca="1">SUMIF(Posting!$B:$F,A2,Posting!$F:$F)</f>
        <v>20920080</v>
      </c>
      <c r="I2" s="1085">
        <f ca="1">SUMIF(Supplier!$B:$F,A2,Supplier!$E:$E)-SUMIF(Supplier!$B:$F,A2,Supplier!$F:$F)</f>
        <v>3836724</v>
      </c>
      <c r="J2" s="1085">
        <v>30787947.325000003</v>
      </c>
      <c r="K2" s="1085"/>
      <c r="L2" s="1085"/>
      <c r="M2" s="1086">
        <f ca="1">J2+K2-H2-L2</f>
        <v>9867867.325000003</v>
      </c>
    </row>
    <row r="3" spans="1:16" x14ac:dyDescent="0.25">
      <c r="A3" s="956" t="s">
        <v>10254</v>
      </c>
      <c r="B3" s="1126"/>
      <c r="C3" s="1040">
        <v>9767572.5</v>
      </c>
      <c r="D3" s="1040">
        <v>0</v>
      </c>
      <c r="E3" s="1040">
        <f t="shared" ref="E3:E43" si="0">C3-D3</f>
        <v>9767572.5</v>
      </c>
      <c r="F3" s="1059"/>
      <c r="G3" s="1041">
        <f ca="1">SUMIF(Posting!$B:$E,A3,Posting!$E:$E)</f>
        <v>6503079</v>
      </c>
      <c r="H3" s="1053">
        <f ca="1">SUMIF(Posting!$B:$F,A3,Posting!$F:$F)</f>
        <v>7704349</v>
      </c>
      <c r="I3" s="1041">
        <f ca="1">SUMIF(Supplier!$B:$F,A3,Supplier!$E:$E)-SUMIF(Supplier!$B:$F,A3,Supplier!$F:$F)</f>
        <v>21340</v>
      </c>
      <c r="J3" s="1112">
        <v>9117573</v>
      </c>
      <c r="K3" s="1041"/>
      <c r="L3" s="1041">
        <v>455879</v>
      </c>
      <c r="M3" s="1041">
        <f>L3</f>
        <v>455879</v>
      </c>
      <c r="N3" s="3"/>
    </row>
    <row r="4" spans="1:16" x14ac:dyDescent="0.25">
      <c r="A4" s="954" t="s">
        <v>10133</v>
      </c>
      <c r="B4" s="1126"/>
      <c r="C4" s="1040">
        <v>8741941</v>
      </c>
      <c r="D4" s="1040"/>
      <c r="E4" s="1040">
        <f t="shared" si="0"/>
        <v>8741941</v>
      </c>
      <c r="F4" s="1060"/>
      <c r="G4" s="1041">
        <f ca="1">SUMIF(Posting!$B:$E,A4,Posting!$E:$E)</f>
        <v>6367709.5</v>
      </c>
      <c r="H4" s="1041">
        <f ca="1">SUMIF(Posting!$B:$F,A4,Posting!$F:$F)</f>
        <v>3520000</v>
      </c>
      <c r="I4" s="1041">
        <f ca="1">SUMIF(Supplier!$B:$F,A4,Supplier!$E:$E)-SUMIF(Supplier!$B:$F,A4,Supplier!$F:$F)</f>
        <v>888667</v>
      </c>
      <c r="J4" s="1041">
        <v>9700603.1750000007</v>
      </c>
      <c r="K4" s="1041">
        <v>5557700</v>
      </c>
      <c r="L4" s="1041"/>
      <c r="M4" s="1041">
        <f ca="1">J4+K4-H4</f>
        <v>11738303.175000001</v>
      </c>
    </row>
    <row r="5" spans="1:16" x14ac:dyDescent="0.25">
      <c r="A5" s="1042" t="s">
        <v>11068</v>
      </c>
      <c r="B5" s="1126"/>
      <c r="C5" s="1043">
        <v>6335567.4188222345</v>
      </c>
      <c r="D5" s="1043">
        <f>C5*9.15%</f>
        <v>579704.4188222345</v>
      </c>
      <c r="E5" s="1040">
        <f t="shared" si="0"/>
        <v>5755863</v>
      </c>
      <c r="F5" s="1061"/>
      <c r="G5" s="1041">
        <f ca="1">SUMIF(Posting!$B:$E,A5,Posting!$E:$E)</f>
        <v>3754848.4623655914</v>
      </c>
      <c r="H5" s="1041">
        <f ca="1">SUMIF(Posting!$B:$F,A5,Posting!$F:$F)</f>
        <v>2000000</v>
      </c>
      <c r="I5" s="1041">
        <f ca="1">SUMIF(Supplier!$B:$F,A5,Supplier!$E:$E)-SUMIF(Supplier!$B:$F,A5,Supplier!$F:$F)</f>
        <v>112280</v>
      </c>
      <c r="J5" s="1087"/>
      <c r="K5" s="1041">
        <v>1365810.9350000001</v>
      </c>
      <c r="L5" s="1041"/>
      <c r="M5" s="1041"/>
      <c r="N5" s="1"/>
    </row>
    <row r="6" spans="1:16" x14ac:dyDescent="0.25">
      <c r="A6" s="1042" t="s">
        <v>4760</v>
      </c>
      <c r="B6" s="1126"/>
      <c r="C6" s="1043"/>
      <c r="D6" s="1043"/>
      <c r="E6" s="1043"/>
      <c r="F6" s="1061"/>
      <c r="G6" s="1041">
        <f ca="1">SUMIF(Posting!$B:$E,A6,Posting!$E:$E)</f>
        <v>4198143.8588709673</v>
      </c>
      <c r="H6" s="1041">
        <f ca="1">SUMIF(Posting!$B:$F,A6,Posting!$F:$F)</f>
        <v>15155996.9</v>
      </c>
      <c r="I6" s="1041">
        <f ca="1">SUMIF(Supplier!$B:$F,A6,Supplier!$E:$E)-SUMIF(Supplier!$B:$F,A6,Supplier!$F:$F)</f>
        <v>99334</v>
      </c>
      <c r="J6" s="1041"/>
      <c r="K6" s="1041"/>
      <c r="L6" s="1041">
        <v>244000.57500000007</v>
      </c>
      <c r="M6" s="1041">
        <f>L6</f>
        <v>244000.57500000007</v>
      </c>
      <c r="N6" s="1"/>
    </row>
    <row r="7" spans="1:16" x14ac:dyDescent="0.25">
      <c r="A7" s="1042" t="s">
        <v>6562</v>
      </c>
      <c r="B7" s="1126"/>
      <c r="C7" s="1043"/>
      <c r="D7" s="1043"/>
      <c r="E7" s="1043"/>
      <c r="F7" s="1061"/>
      <c r="G7" s="1041">
        <f ca="1">SUMIF(Posting!$B:$E,A7,Posting!$E:$E)</f>
        <v>5051519.9715821808</v>
      </c>
      <c r="H7" s="1041">
        <f ca="1">SUMIF(Posting!$B:$F,A7,Posting!$F:$F)</f>
        <v>9568884</v>
      </c>
      <c r="I7" s="1041">
        <f ca="1">SUMIF(Supplier!$B:$F,A7,Supplier!$E:$E)-SUMIF(Supplier!$B:$F,A7,Supplier!$F:$F)</f>
        <v>0</v>
      </c>
      <c r="J7" s="1041"/>
      <c r="K7" s="1041"/>
      <c r="L7" s="1041">
        <v>1290769.4662500001</v>
      </c>
      <c r="M7" s="1041">
        <f>L7</f>
        <v>1290769.4662500001</v>
      </c>
      <c r="N7" s="1"/>
    </row>
    <row r="8" spans="1:16" s="4" customFormat="1" ht="19.5" thickBot="1" x14ac:dyDescent="0.35">
      <c r="A8" s="955" t="s">
        <v>9940</v>
      </c>
      <c r="B8" s="1127"/>
      <c r="C8" s="1044">
        <v>78840000</v>
      </c>
      <c r="D8" s="1044">
        <v>11384496</v>
      </c>
      <c r="E8" s="1044">
        <f t="shared" si="0"/>
        <v>67455504</v>
      </c>
      <c r="F8" s="1062"/>
      <c r="G8" s="1041">
        <f ca="1">SUMIF(Posting!$B:$E,A8,Posting!$E:$E)</f>
        <v>17434875</v>
      </c>
      <c r="H8" s="1045">
        <f ca="1">SUMIF(Posting!$B:$F,A8,Posting!$F:$F)</f>
        <v>19830000</v>
      </c>
      <c r="I8" s="1041">
        <f ca="1">SUMIF(Supplier!$B:$F,A8,Supplier!$E:$E)-SUMIF(Supplier!$B:$F,A8,Supplier!$F:$F)</f>
        <v>-4436720</v>
      </c>
      <c r="J8" s="1087"/>
      <c r="K8" s="1041"/>
      <c r="L8" s="1041"/>
      <c r="M8" s="1041"/>
      <c r="N8" s="1118"/>
    </row>
    <row r="9" spans="1:16" s="4" customFormat="1" ht="7.5" customHeight="1" thickBot="1" x14ac:dyDescent="0.35">
      <c r="A9" s="1055"/>
      <c r="B9" s="1056"/>
      <c r="C9" s="1056"/>
      <c r="D9" s="1056"/>
      <c r="E9" s="1056"/>
      <c r="F9" s="1056"/>
      <c r="G9" s="1057"/>
      <c r="H9" s="1057"/>
      <c r="I9" s="1056"/>
      <c r="J9" s="1056"/>
      <c r="K9" s="1056"/>
      <c r="L9" s="1056"/>
      <c r="M9" s="1056"/>
    </row>
    <row r="10" spans="1:16" s="4" customFormat="1" ht="19.5" thickBot="1" x14ac:dyDescent="0.35">
      <c r="A10" s="1046" t="s">
        <v>9516</v>
      </c>
      <c r="B10" s="1128" t="s">
        <v>11016</v>
      </c>
      <c r="C10" s="1038">
        <v>13262828</v>
      </c>
      <c r="D10" s="1038"/>
      <c r="E10" s="1038">
        <f t="shared" si="0"/>
        <v>13262828</v>
      </c>
      <c r="F10" s="1058"/>
      <c r="G10" s="1041">
        <f ca="1">SUMIF(Posting!$B:$E,A10,Posting!$E:$E)</f>
        <v>6179137.7741935486</v>
      </c>
      <c r="H10" s="1039">
        <f ca="1">SUMIF(Posting!$B:$F,A10,Posting!$F:$F)</f>
        <v>11548048</v>
      </c>
      <c r="I10" s="1041">
        <f ca="1">SUMIF(Supplier!$B:$F,A10,Supplier!$E:$E)-SUMIF(Supplier!$B:$F,A10,Supplier!$F:$F)</f>
        <v>0</v>
      </c>
      <c r="J10" s="1041">
        <v>1128677.0199999996</v>
      </c>
      <c r="K10" s="1041"/>
      <c r="L10" s="1085"/>
      <c r="M10" s="1054">
        <f>J10</f>
        <v>1128677.0199999996</v>
      </c>
      <c r="N10" s="1118"/>
    </row>
    <row r="11" spans="1:16" s="4" customFormat="1" ht="19.5" thickBot="1" x14ac:dyDescent="0.35">
      <c r="A11" s="956" t="s">
        <v>9572</v>
      </c>
      <c r="B11" s="1126"/>
      <c r="C11" s="1040">
        <v>2954733</v>
      </c>
      <c r="D11" s="1040"/>
      <c r="E11" s="1040">
        <f t="shared" si="0"/>
        <v>2954733</v>
      </c>
      <c r="F11" s="1060"/>
      <c r="G11" s="1041">
        <f ca="1">SUMIF(Posting!$B:$E,A11,Posting!$E:$E)</f>
        <v>2064125</v>
      </c>
      <c r="H11" s="1041">
        <f ca="1">SUMIF(Posting!$B:$F,A11,Posting!$F:$F)</f>
        <v>2722000</v>
      </c>
      <c r="I11" s="1041">
        <f ca="1">SUMIF(Supplier!$B:$F,A11,Supplier!$E:$E)-SUMIF(Supplier!$B:$F,A11,Supplier!$F:$F)</f>
        <v>178594</v>
      </c>
      <c r="J11" s="1087"/>
      <c r="K11" s="1041"/>
      <c r="L11" s="1085"/>
      <c r="M11" s="1054"/>
      <c r="N11" s="1118"/>
      <c r="P11" s="1118"/>
    </row>
    <row r="12" spans="1:16" s="4" customFormat="1" x14ac:dyDescent="0.3">
      <c r="A12" s="956" t="s">
        <v>8653</v>
      </c>
      <c r="B12" s="1126"/>
      <c r="C12" s="1040"/>
      <c r="D12" s="1040"/>
      <c r="E12" s="1040"/>
      <c r="F12" s="1060"/>
      <c r="G12" s="1041">
        <f ca="1">SUMIF(Posting!$B:$E,A12,Posting!$E:$E)</f>
        <v>4599493</v>
      </c>
      <c r="H12" s="1041">
        <f ca="1">SUMIF(Posting!$B:$F,A12,Posting!$F:$F)</f>
        <v>2874349</v>
      </c>
      <c r="I12" s="1041">
        <f ca="1">SUMIF(Supplier!$B:$F,A12,Supplier!$E:$E)-SUMIF(Supplier!$B:$F,A12,Supplier!$F:$F)</f>
        <v>0</v>
      </c>
      <c r="J12" s="1041">
        <v>5746832</v>
      </c>
      <c r="K12" s="1041"/>
      <c r="L12" s="1085"/>
      <c r="M12" s="1054">
        <f ca="1">J12-H12</f>
        <v>2872483</v>
      </c>
      <c r="N12" s="1064"/>
    </row>
    <row r="13" spans="1:16" s="4" customFormat="1" x14ac:dyDescent="0.3">
      <c r="A13" s="956" t="s">
        <v>10490</v>
      </c>
      <c r="B13" s="1126"/>
      <c r="C13" s="1040"/>
      <c r="D13" s="1040"/>
      <c r="E13" s="1040"/>
      <c r="F13" s="1060"/>
      <c r="G13" s="1041">
        <f ca="1">SUMIF(Posting!$B:$E,A13,Posting!$E:$E)</f>
        <v>3506345</v>
      </c>
      <c r="H13" s="1041">
        <f ca="1">SUMIF(Posting!$B:$F,A13,Posting!$F:$F)</f>
        <v>3000000</v>
      </c>
      <c r="I13" s="1041">
        <f ca="1">SUMIF(Supplier!$B:$F,A13,Supplier!$E:$E)-SUMIF(Supplier!$B:$F,A13,Supplier!$F:$F)</f>
        <v>524535</v>
      </c>
      <c r="J13" s="1041">
        <f>'[1]Table 2'!$J$182</f>
        <v>8104725</v>
      </c>
      <c r="K13" s="1041"/>
      <c r="L13" s="1085"/>
      <c r="M13" s="1086">
        <f ca="1">J13+K13-H13-L13</f>
        <v>5104725</v>
      </c>
    </row>
    <row r="14" spans="1:16" s="4" customFormat="1" ht="19.5" thickBot="1" x14ac:dyDescent="0.35">
      <c r="A14" s="956" t="s">
        <v>11740</v>
      </c>
      <c r="B14" s="1126"/>
      <c r="C14" s="1040"/>
      <c r="D14" s="1040"/>
      <c r="E14" s="1040"/>
      <c r="F14" s="1060"/>
      <c r="G14" s="1041">
        <f ca="1">SUMIF(Posting!$B:$E,A14,Posting!$E:$E)</f>
        <v>777484</v>
      </c>
      <c r="H14" s="1041">
        <f ca="1">SUMIF(Posting!$B:$F,A14,Posting!$F:$F)</f>
        <v>2600000</v>
      </c>
      <c r="I14" s="1041">
        <f ca="1">SUMIF(Supplier!$B:$F,A14,Supplier!$E:$E)-SUMIF(Supplier!$B:$F,A14,Supplier!$F:$F)</f>
        <v>331066</v>
      </c>
      <c r="J14" s="1041"/>
      <c r="K14" s="1041"/>
      <c r="L14" s="1085"/>
      <c r="M14" s="1085"/>
    </row>
    <row r="15" spans="1:16" s="4" customFormat="1" ht="19.5" thickBot="1" x14ac:dyDescent="0.35">
      <c r="A15" s="956" t="s">
        <v>11193</v>
      </c>
      <c r="B15" s="1126"/>
      <c r="C15" s="1040"/>
      <c r="D15" s="1040"/>
      <c r="E15" s="1040"/>
      <c r="F15" s="1060"/>
      <c r="G15" s="1041">
        <f ca="1">SUMIF(Posting!$B:$E,A15,Posting!$E:$E)</f>
        <v>978658</v>
      </c>
      <c r="H15" s="1041">
        <f ca="1">SUMIF(Posting!$B:$F,A15,Posting!$F:$F)</f>
        <v>1000000</v>
      </c>
      <c r="I15" s="1041">
        <f ca="1">SUMIF(Supplier!$B:$F,A15,Supplier!$E:$E)-SUMIF(Supplier!$B:$F,A15,Supplier!$F:$F)</f>
        <v>75122</v>
      </c>
      <c r="J15" s="1087"/>
      <c r="K15" s="1041"/>
      <c r="L15" s="1085"/>
      <c r="M15" s="1054"/>
    </row>
    <row r="16" spans="1:16" s="4" customFormat="1" ht="19.5" thickBot="1" x14ac:dyDescent="0.35">
      <c r="A16" s="956" t="s">
        <v>2957</v>
      </c>
      <c r="B16" s="1126"/>
      <c r="C16" s="1040"/>
      <c r="D16" s="1040"/>
      <c r="E16" s="1040"/>
      <c r="F16" s="1060"/>
      <c r="G16" s="1041">
        <f ca="1">SUMIF(Posting!$B:$E,A16,Posting!$E:$E)</f>
        <v>97556794.74362056</v>
      </c>
      <c r="H16" s="1041">
        <f ca="1">SUMIF(Posting!$B:$F,A16,Posting!$F:$F)</f>
        <v>137552234</v>
      </c>
      <c r="I16" s="1041">
        <f ca="1">SUMIF(Supplier!$B:$F,A16,Supplier!$E:$E)-SUMIF(Supplier!$B:$F,A16,Supplier!$F:$F)</f>
        <v>75410</v>
      </c>
      <c r="J16" s="1041"/>
      <c r="K16" s="1041"/>
      <c r="L16" s="1085">
        <v>7500000</v>
      </c>
      <c r="M16" s="1054">
        <f>L16</f>
        <v>7500000</v>
      </c>
    </row>
    <row r="17" spans="1:13" s="4" customFormat="1" ht="19.5" thickBot="1" x14ac:dyDescent="0.35">
      <c r="A17" s="956" t="s">
        <v>11625</v>
      </c>
      <c r="B17" s="1126"/>
      <c r="C17" s="1040"/>
      <c r="D17" s="1040"/>
      <c r="E17" s="1040"/>
      <c r="F17" s="1060"/>
      <c r="G17" s="1041">
        <f ca="1">SUMIF(Posting!$B:$E,A17,Posting!$E:$E)</f>
        <v>38020</v>
      </c>
      <c r="H17" s="1041">
        <f ca="1">SUMIF(Posting!$B:$F,A17,Posting!$F:$F)</f>
        <v>0</v>
      </c>
      <c r="I17" s="1041">
        <f ca="1">SUMIF(Supplier!$B:$F,A17,Supplier!$E:$E)-SUMIF(Supplier!$B:$F,A17,Supplier!$F:$F)</f>
        <v>173680</v>
      </c>
      <c r="J17" s="1041">
        <f>[2]HVAC!$H$29</f>
        <v>604761.59999999998</v>
      </c>
      <c r="K17" s="1041"/>
      <c r="L17" s="1085"/>
      <c r="M17" s="1054">
        <f ca="1">IF(J17&gt;H17,J17+K17-H17,"Bill will be submitted")</f>
        <v>604761.59999999998</v>
      </c>
    </row>
    <row r="18" spans="1:13" s="4" customFormat="1" ht="19.5" thickBot="1" x14ac:dyDescent="0.35">
      <c r="A18" s="956" t="s">
        <v>11122</v>
      </c>
      <c r="B18" s="1126"/>
      <c r="C18" s="1040"/>
      <c r="D18" s="1040"/>
      <c r="E18" s="1040"/>
      <c r="F18" s="1060"/>
      <c r="G18" s="1041">
        <f ca="1">SUMIF(Posting!$B:$E,A18,Posting!$E:$E)</f>
        <v>249580</v>
      </c>
      <c r="H18" s="1041">
        <f ca="1">SUMIF(Posting!$B:$F,A18,Posting!$F:$F)</f>
        <v>900000</v>
      </c>
      <c r="I18" s="1041">
        <f ca="1">SUMIF(Supplier!$B:$F,A18,Supplier!$E:$E)-SUMIF(Supplier!$B:$F,A18,Supplier!$F:$F)</f>
        <v>69890</v>
      </c>
      <c r="J18" s="1041">
        <f>[3]HVAC!$H$29</f>
        <v>366662.40000000002</v>
      </c>
      <c r="K18" s="1041"/>
      <c r="L18" s="1085"/>
      <c r="M18" s="1054" t="str">
        <f ca="1">IF(J18&gt;H18,J18+K18-H18,"Bill will be submitted")</f>
        <v>Bill will be submitted</v>
      </c>
    </row>
    <row r="19" spans="1:13" s="4" customFormat="1" ht="19.5" thickBot="1" x14ac:dyDescent="0.35">
      <c r="A19" s="956" t="s">
        <v>11025</v>
      </c>
      <c r="B19" s="1126"/>
      <c r="C19" s="1040"/>
      <c r="D19" s="1040"/>
      <c r="E19" s="1040"/>
      <c r="F19" s="1060"/>
      <c r="G19" s="1041">
        <f ca="1">SUMIF(Posting!$B:$E,A19,Posting!$E:$E)</f>
        <v>138515</v>
      </c>
      <c r="H19" s="1041">
        <f ca="1">SUMIF(Posting!$B:$F,A19,Posting!$F:$F)</f>
        <v>500000</v>
      </c>
      <c r="I19" s="1041">
        <f ca="1">SUMIF(Supplier!$B:$F,A19,Supplier!$E:$E)-SUMIF(Supplier!$B:$F,A19,Supplier!$F:$F)</f>
        <v>15000</v>
      </c>
      <c r="J19" s="1041"/>
      <c r="K19" s="1041"/>
      <c r="L19" s="1085"/>
      <c r="M19" s="1088" t="s">
        <v>11666</v>
      </c>
    </row>
    <row r="20" spans="1:13" s="4" customFormat="1" ht="19.5" thickBot="1" x14ac:dyDescent="0.35">
      <c r="A20" s="955" t="s">
        <v>9877</v>
      </c>
      <c r="B20" s="1127"/>
      <c r="C20" s="1044">
        <f>15000000+4435160</f>
        <v>19435160</v>
      </c>
      <c r="D20" s="1044"/>
      <c r="E20" s="1044">
        <f t="shared" si="0"/>
        <v>19435160</v>
      </c>
      <c r="F20" s="1062"/>
      <c r="G20" s="1041">
        <f ca="1">SUMIF(Posting!$B:$E,A20,Posting!$E:$E)</f>
        <v>16061004</v>
      </c>
      <c r="H20" s="1045">
        <f ca="1">SUMIF(Posting!$B:$F,A20,Posting!$F:$F)</f>
        <v>19855650</v>
      </c>
      <c r="I20" s="1041">
        <f ca="1">SUMIF(Supplier!$B:$F,A20,Supplier!$E:$E)-SUMIF(Supplier!$B:$F,A20,Supplier!$F:$F)</f>
        <v>0</v>
      </c>
      <c r="J20" s="1041"/>
      <c r="K20" s="1041"/>
      <c r="L20" s="1085"/>
      <c r="M20" s="1088" t="s">
        <v>11666</v>
      </c>
    </row>
    <row r="21" spans="1:13" s="4" customFormat="1" ht="7.5" customHeight="1" thickBot="1" x14ac:dyDescent="0.35">
      <c r="A21" s="1055"/>
      <c r="B21" s="1056"/>
      <c r="C21" s="1056"/>
      <c r="D21" s="1056"/>
      <c r="E21" s="1056"/>
      <c r="F21" s="1056"/>
      <c r="G21" s="1057"/>
      <c r="H21" s="1057"/>
      <c r="I21" s="1056"/>
      <c r="J21" s="1056"/>
      <c r="K21" s="1056"/>
      <c r="L21" s="1056"/>
      <c r="M21" s="1056"/>
    </row>
    <row r="22" spans="1:13" s="4" customFormat="1" ht="19.5" thickBot="1" x14ac:dyDescent="0.35">
      <c r="A22" s="1046" t="s">
        <v>9463</v>
      </c>
      <c r="B22" s="1129" t="s">
        <v>11017</v>
      </c>
      <c r="C22" s="1038">
        <v>28340413.5</v>
      </c>
      <c r="D22" s="1038"/>
      <c r="E22" s="1038">
        <f t="shared" si="0"/>
        <v>28340413.5</v>
      </c>
      <c r="F22" s="1058"/>
      <c r="G22" s="1041">
        <f ca="1">SUMIF(Posting!$B:$E,A22,Posting!$E:$E)</f>
        <v>22311005.833333332</v>
      </c>
      <c r="H22" s="1039">
        <f ca="1">SUMIF(Posting!$B:$F,A22,Posting!$F:$F)</f>
        <v>19140130</v>
      </c>
      <c r="I22" s="1041">
        <f ca="1">SUMIF(Supplier!$B:$F,A22,Supplier!$E:$E)-SUMIF(Supplier!$B:$F,A22,Supplier!$F:$F)</f>
        <v>667559</v>
      </c>
      <c r="J22" s="1041">
        <v>25423994.165999997</v>
      </c>
      <c r="K22" s="1041">
        <v>5940507.6512000002</v>
      </c>
      <c r="L22" s="1085"/>
      <c r="M22" s="1041">
        <f ca="1">J22+K22-H22-L22</f>
        <v>12224371.817199998</v>
      </c>
    </row>
    <row r="23" spans="1:13" s="4" customFormat="1" ht="19.5" thickBot="1" x14ac:dyDescent="0.35">
      <c r="A23" s="1116" t="s">
        <v>11841</v>
      </c>
      <c r="B23" s="1126"/>
      <c r="C23" s="1115"/>
      <c r="D23" s="1115"/>
      <c r="E23" s="1115"/>
      <c r="F23" s="1117"/>
      <c r="G23" s="1041">
        <f ca="1">SUMIF(Posting!$B:$E,A23,Posting!$E:$E)</f>
        <v>0</v>
      </c>
      <c r="H23" s="1039">
        <f ca="1">SUMIF(Posting!$B:$F,A23,Posting!$F:$F)</f>
        <v>0</v>
      </c>
      <c r="I23" s="1041">
        <f ca="1">SUMIF(Supplier!$B:$F,A23,Supplier!$E:$E)-SUMIF(Supplier!$B:$F,A23,Supplier!$F:$F)</f>
        <v>56173</v>
      </c>
      <c r="J23" s="1041"/>
      <c r="K23" s="1041"/>
      <c r="L23" s="1085"/>
      <c r="M23" s="1085"/>
    </row>
    <row r="24" spans="1:13" s="4" customFormat="1" ht="19.5" thickBot="1" x14ac:dyDescent="0.35">
      <c r="A24" s="1049" t="s">
        <v>11022</v>
      </c>
      <c r="B24" s="1130"/>
      <c r="C24" s="1044">
        <v>33854640.027999997</v>
      </c>
      <c r="D24" s="1044"/>
      <c r="E24" s="1044">
        <f t="shared" si="0"/>
        <v>33854640.027999997</v>
      </c>
      <c r="F24" s="1062"/>
      <c r="G24" s="1041">
        <f ca="1">SUMIF(Posting!$B:$E,A24,Posting!$E:$E)</f>
        <v>14460153.333333334</v>
      </c>
      <c r="H24" s="1045">
        <f ca="1">SUMIF(Posting!$B:$F,A24,Posting!$F:$F)</f>
        <v>22005520</v>
      </c>
      <c r="I24" s="1041">
        <f ca="1">SUMIF(Supplier!$B:$F,A24,Supplier!$E:$E)-SUMIF(Supplier!$B:$F,A24,Supplier!$F:$F)</f>
        <v>2811515</v>
      </c>
      <c r="J24" s="1041"/>
      <c r="K24" s="1041"/>
      <c r="L24" s="1085"/>
      <c r="M24" s="1054" t="str">
        <f ca="1">IF(J24&gt;H24,J24+K24-H24,"Bill will be submitted")</f>
        <v>Bill will be submitted</v>
      </c>
    </row>
    <row r="25" spans="1:13" s="4" customFormat="1" ht="7.5" customHeight="1" thickBot="1" x14ac:dyDescent="0.35">
      <c r="A25" s="1055"/>
      <c r="B25" s="1056"/>
      <c r="C25" s="1056"/>
      <c r="D25" s="1056"/>
      <c r="E25" s="1056"/>
      <c r="F25" s="1056"/>
      <c r="G25" s="1057"/>
      <c r="H25" s="1057"/>
      <c r="I25" s="1056"/>
      <c r="J25" s="1056"/>
      <c r="K25" s="1056"/>
      <c r="L25" s="1056"/>
      <c r="M25" s="1056"/>
    </row>
    <row r="26" spans="1:13" s="4" customFormat="1" x14ac:dyDescent="0.3">
      <c r="A26" s="1046" t="s">
        <v>7886</v>
      </c>
      <c r="B26" s="1075" t="s">
        <v>895</v>
      </c>
      <c r="C26" s="1038"/>
      <c r="D26" s="1038"/>
      <c r="E26" s="1038">
        <f t="shared" ref="E26" si="1">C26-D26</f>
        <v>0</v>
      </c>
      <c r="F26" s="1058"/>
      <c r="G26" s="1041">
        <f ca="1">SUMIF(Posting!$B:$E,A26,Posting!$E:$E)</f>
        <v>2000330</v>
      </c>
      <c r="H26" s="1039">
        <f ca="1">SUMIF(Posting!$B:$F,A26,Posting!$F:$F)</f>
        <v>2434251</v>
      </c>
      <c r="I26" s="1041">
        <f ca="1">SUMIF(Supplier!$B:$F,A26,Supplier!$E:$E)-SUMIF(Supplier!$B:$F,A26,Supplier!$F:$F)</f>
        <v>10980</v>
      </c>
      <c r="J26" s="1087"/>
      <c r="K26" s="1087"/>
      <c r="L26" s="1085"/>
      <c r="M26" s="1054" t="str">
        <f ca="1">IF(J26&gt;H26,J26+K26-H26,"Bill will be submitted")</f>
        <v>Bill will be submitted</v>
      </c>
    </row>
    <row r="27" spans="1:13" s="4" customFormat="1" ht="7.5" customHeight="1" thickBot="1" x14ac:dyDescent="0.35">
      <c r="A27" s="1055"/>
      <c r="B27" s="1056"/>
      <c r="C27" s="1056"/>
      <c r="D27" s="1056"/>
      <c r="E27" s="1056"/>
      <c r="F27" s="1056"/>
      <c r="G27" s="1057"/>
      <c r="H27" s="1057"/>
      <c r="I27" s="1056"/>
      <c r="J27" s="1056"/>
      <c r="K27" s="1056"/>
      <c r="L27" s="1056"/>
      <c r="M27" s="1056"/>
    </row>
    <row r="28" spans="1:13" s="4" customFormat="1" x14ac:dyDescent="0.3">
      <c r="A28" s="1037" t="s">
        <v>8752</v>
      </c>
      <c r="B28" s="1038" t="s">
        <v>11018</v>
      </c>
      <c r="C28" s="1038">
        <v>22659065.100000001</v>
      </c>
      <c r="D28" s="1038"/>
      <c r="E28" s="1038">
        <f t="shared" si="0"/>
        <v>22659065.100000001</v>
      </c>
      <c r="F28" s="1058"/>
      <c r="G28" s="1041">
        <f ca="1">SUMIF(Posting!$B:$E,A28,Posting!$E:$E)</f>
        <v>16339873</v>
      </c>
      <c r="H28" s="1039">
        <f ca="1">SUMIF(Posting!$B:$F,A28,Posting!$F:$F)</f>
        <v>24057411.419999998</v>
      </c>
      <c r="I28" s="1041">
        <f ca="1">SUMIF(Supplier!$B:$F,A28,Supplier!$E:$E)-SUMIF(Supplier!$B:$F,A28,Supplier!$F:$F)</f>
        <v>251548</v>
      </c>
      <c r="J28" s="1041">
        <v>1648706.1057600002</v>
      </c>
      <c r="K28" s="1041">
        <v>5217593.07</v>
      </c>
      <c r="L28" s="1041"/>
      <c r="M28" s="1041">
        <f>K28+J28</f>
        <v>6866299.1757600009</v>
      </c>
    </row>
    <row r="29" spans="1:13" s="4" customFormat="1" x14ac:dyDescent="0.3">
      <c r="A29" s="954" t="s">
        <v>10688</v>
      </c>
      <c r="B29" s="1040" t="s">
        <v>11019</v>
      </c>
      <c r="C29" s="1040">
        <v>55163506</v>
      </c>
      <c r="D29" s="1040"/>
      <c r="E29" s="1040">
        <f t="shared" si="0"/>
        <v>55163506</v>
      </c>
      <c r="F29" s="1060"/>
      <c r="G29" s="1041">
        <f ca="1">SUMIF(Posting!$B:$E,A29,Posting!$E:$E)</f>
        <v>27815930.333333336</v>
      </c>
      <c r="H29" s="1041">
        <f ca="1">SUMIF(Posting!$B:$F,A29,Posting!$F:$F)</f>
        <v>35032291</v>
      </c>
      <c r="I29" s="1041">
        <f ca="1">SUMIF(Supplier!$B:$F,A29,Supplier!$E:$E)-SUMIF(Supplier!$B:$F,A29,Supplier!$F:$F)</f>
        <v>4571706</v>
      </c>
      <c r="J29" s="1041"/>
      <c r="K29" s="1041"/>
      <c r="L29" s="1041"/>
      <c r="M29" s="1041"/>
    </row>
    <row r="30" spans="1:13" s="4" customFormat="1" ht="19.5" thickBot="1" x14ac:dyDescent="0.35">
      <c r="A30" s="1049" t="s">
        <v>8032</v>
      </c>
      <c r="B30" s="1044" t="s">
        <v>11020</v>
      </c>
      <c r="C30" s="1044">
        <v>7400000</v>
      </c>
      <c r="D30" s="1044"/>
      <c r="E30" s="1044">
        <f t="shared" si="0"/>
        <v>7400000</v>
      </c>
      <c r="F30" s="1062"/>
      <c r="G30" s="1041">
        <f ca="1">SUMIF(Posting!$B:$E,A30,Posting!$E:$E)</f>
        <v>4397458</v>
      </c>
      <c r="H30" s="1045">
        <f ca="1">SUMIF(Posting!$B:$F,A30,Posting!$F:$F)</f>
        <v>6566988</v>
      </c>
      <c r="I30" s="1041">
        <f ca="1">SUMIF(Supplier!$B:$F,A30,Supplier!$E:$E)-SUMIF(Supplier!$B:$F,A30,Supplier!$F:$F)</f>
        <v>0</v>
      </c>
      <c r="J30" s="1041">
        <v>8215412</v>
      </c>
      <c r="K30" s="1041"/>
      <c r="L30" s="1041"/>
      <c r="M30" s="1086">
        <f ca="1">J30+K30-H30-L30</f>
        <v>1648424</v>
      </c>
    </row>
    <row r="31" spans="1:13" s="4" customFormat="1" ht="7.5" customHeight="1" x14ac:dyDescent="0.3">
      <c r="A31" s="1055"/>
      <c r="B31" s="1056"/>
      <c r="C31" s="1056"/>
      <c r="D31" s="1056"/>
      <c r="E31" s="1056"/>
      <c r="F31" s="1056"/>
      <c r="G31" s="1057"/>
      <c r="H31" s="1057"/>
      <c r="I31" s="1056"/>
      <c r="J31" s="1056"/>
      <c r="K31" s="1056"/>
      <c r="L31" s="1056"/>
      <c r="M31" s="1056"/>
    </row>
    <row r="32" spans="1:13" s="4" customFormat="1" ht="19.5" thickBot="1" x14ac:dyDescent="0.35">
      <c r="A32" s="1124" t="s">
        <v>12027</v>
      </c>
      <c r="B32" s="1131" t="s">
        <v>11021</v>
      </c>
      <c r="C32" s="1040"/>
      <c r="D32" s="1040"/>
      <c r="E32" s="1040"/>
      <c r="F32" s="1060"/>
      <c r="G32" s="1041">
        <f ca="1">SUMIF(Posting!$B:$E,A32,Posting!$E:$E)</f>
        <v>4028000</v>
      </c>
      <c r="H32" s="1045">
        <f ca="1">SUMIF(Posting!$B:$F,A32,Posting!$F:$F)</f>
        <v>0</v>
      </c>
      <c r="I32" s="1041">
        <f ca="1">SUMIF(Supplier!$B:$F,A32,Supplier!$E:$E)-SUMIF(Supplier!$B:$F,A32,Supplier!$F:$F)</f>
        <v>-1500000</v>
      </c>
      <c r="J32" s="1041"/>
      <c r="K32" s="1041"/>
      <c r="L32" s="1041"/>
      <c r="M32" s="1041"/>
    </row>
    <row r="33" spans="1:201" s="4" customFormat="1" x14ac:dyDescent="0.3">
      <c r="A33" s="1124" t="s">
        <v>9769</v>
      </c>
      <c r="B33" s="1131"/>
      <c r="C33" s="1040">
        <v>19265070</v>
      </c>
      <c r="D33" s="1040"/>
      <c r="E33" s="1040">
        <f t="shared" si="0"/>
        <v>19265070</v>
      </c>
      <c r="F33" s="1060"/>
      <c r="G33" s="1041">
        <f ca="1">SUMIF(Posting!$B:$E,A33,Posting!$E:$E)</f>
        <v>4704328.9032258065</v>
      </c>
      <c r="H33" s="1041">
        <f ca="1">SUMIF(Posting!$B:$F,A33,Posting!$F:$F)</f>
        <v>8221233</v>
      </c>
      <c r="I33" s="1041">
        <f ca="1">SUMIF(Supplier!$B:$F,A33,Supplier!$E:$E)-SUMIF(Supplier!$B:$F,A33,Supplier!$F:$F)</f>
        <v>180880</v>
      </c>
      <c r="J33" s="1041">
        <v>12816794.375</v>
      </c>
      <c r="K33" s="1041">
        <v>594057.625</v>
      </c>
      <c r="L33" s="1041"/>
      <c r="M33" s="1041">
        <f t="shared" ref="M33:M40" ca="1" si="2">J33+K33-H33-L33</f>
        <v>5189619</v>
      </c>
    </row>
    <row r="34" spans="1:201" s="1048" customFormat="1" x14ac:dyDescent="0.3">
      <c r="A34" s="1124" t="s">
        <v>10449</v>
      </c>
      <c r="B34" s="1131"/>
      <c r="C34" s="1040"/>
      <c r="D34" s="1040"/>
      <c r="E34" s="1040">
        <f t="shared" si="0"/>
        <v>0</v>
      </c>
      <c r="F34" s="1060"/>
      <c r="G34" s="1041">
        <f ca="1">SUMIF(Posting!$B:$E,A34,Posting!$E:$E)</f>
        <v>4344152</v>
      </c>
      <c r="H34" s="1041">
        <f ca="1">SUMIF(Posting!$B:$F,A34,Posting!$F:$F)</f>
        <v>6586000</v>
      </c>
      <c r="I34" s="1041">
        <f ca="1">SUMIF(Supplier!$B:$F,A34,Supplier!$E:$E)-SUMIF(Supplier!$B:$F,A34,Supplier!$F:$F)</f>
        <v>413773</v>
      </c>
      <c r="J34" s="1041"/>
      <c r="K34" s="1041"/>
      <c r="L34" s="1041"/>
      <c r="M34" s="1041">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48" customFormat="1" x14ac:dyDescent="0.3">
      <c r="A35" s="1124" t="s">
        <v>11568</v>
      </c>
      <c r="B35" s="1131"/>
      <c r="C35" s="1040"/>
      <c r="D35" s="1040"/>
      <c r="E35" s="1040"/>
      <c r="F35" s="1060"/>
      <c r="G35" s="1041">
        <f ca="1">SUMIF(Posting!$B:$E,A35,Posting!$E:$E)</f>
        <v>2522110</v>
      </c>
      <c r="H35" s="1041">
        <f ca="1">SUMIF(Posting!$B:$F,A35,Posting!$F:$F)</f>
        <v>0</v>
      </c>
      <c r="I35" s="1041">
        <f ca="1">SUMIF(Supplier!$B:$F,A35,Supplier!$E:$E)-SUMIF(Supplier!$B:$F,A35,Supplier!$F:$F)</f>
        <v>619173</v>
      </c>
      <c r="J35" s="1041"/>
      <c r="K35" s="1041"/>
      <c r="L35" s="1041"/>
      <c r="M35" s="1041">
        <f t="shared" ca="1" si="2"/>
        <v>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48" customFormat="1" x14ac:dyDescent="0.3">
      <c r="A36" s="1124" t="s">
        <v>9509</v>
      </c>
      <c r="B36" s="1131"/>
      <c r="C36" s="1040">
        <v>9435400</v>
      </c>
      <c r="D36" s="1040"/>
      <c r="E36" s="1040">
        <f t="shared" si="0"/>
        <v>9435400</v>
      </c>
      <c r="F36" s="1060"/>
      <c r="G36" s="1041">
        <f ca="1">SUMIF(Posting!$B:$E,A36,Posting!$E:$E)</f>
        <v>4492625.5483870972</v>
      </c>
      <c r="H36" s="1041">
        <f ca="1">SUMIF(Posting!$B:$F,A36,Posting!$F:$F)</f>
        <v>2358850</v>
      </c>
      <c r="I36" s="1041">
        <f ca="1">SUMIF(Supplier!$B:$F,A36,Supplier!$E:$E)-SUMIF(Supplier!$B:$F,A36,Supplier!$F:$F)</f>
        <v>-46530</v>
      </c>
      <c r="J36" s="1041">
        <v>7544179.9950000001</v>
      </c>
      <c r="K36" s="1041">
        <v>1774042.2881999998</v>
      </c>
      <c r="L36" s="1041"/>
      <c r="M36" s="1041">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48" customFormat="1" x14ac:dyDescent="0.3">
      <c r="A37" s="1124" t="s">
        <v>8982</v>
      </c>
      <c r="B37" s="1131"/>
      <c r="C37" s="1040">
        <v>14110484</v>
      </c>
      <c r="D37" s="1040">
        <v>987733.88000000012</v>
      </c>
      <c r="E37" s="1040">
        <f t="shared" si="0"/>
        <v>13122750.119999999</v>
      </c>
      <c r="F37" s="1060"/>
      <c r="G37" s="1041">
        <f ca="1">SUMIF(Posting!$B:$E,A37,Posting!$E:$E)</f>
        <v>7839484.3548387093</v>
      </c>
      <c r="H37" s="1041">
        <f ca="1">SUMIF(Posting!$B:$F,A37,Posting!$F:$F)</f>
        <v>14475224</v>
      </c>
      <c r="I37" s="1041">
        <f ca="1">SUMIF(Supplier!$B:$F,A37,Supplier!$E:$E)-SUMIF(Supplier!$B:$F,A37,Supplier!$F:$F)</f>
        <v>28214</v>
      </c>
      <c r="J37" s="1041">
        <v>14003000</v>
      </c>
      <c r="K37" s="1041">
        <v>3154108</v>
      </c>
      <c r="L37" s="1041"/>
      <c r="M37" s="1041">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48" customFormat="1" x14ac:dyDescent="0.3">
      <c r="A38" s="1124" t="s">
        <v>9615</v>
      </c>
      <c r="B38" s="1131"/>
      <c r="C38" s="1040">
        <f>[4]Summary!$C$14</f>
        <v>7767350</v>
      </c>
      <c r="D38" s="1040"/>
      <c r="E38" s="1040">
        <f>C38-D38</f>
        <v>7767350</v>
      </c>
      <c r="F38" s="1060"/>
      <c r="G38" s="1041">
        <f ca="1">SUMIF(Posting!$B:$E,A38,Posting!$E:$E)</f>
        <v>2522814</v>
      </c>
      <c r="H38" s="1041">
        <f ca="1">SUMIF(Posting!$B:$F,A38,Posting!$F:$F)</f>
        <v>3185630</v>
      </c>
      <c r="I38" s="1041">
        <f ca="1">SUMIF(Supplier!$B:$F,A38,Supplier!$E:$E)-SUMIF(Supplier!$B:$F,A38,Supplier!$F:$F)</f>
        <v>0</v>
      </c>
      <c r="J38" s="1041">
        <v>4180000</v>
      </c>
      <c r="K38" s="1041">
        <v>657480</v>
      </c>
      <c r="L38" s="1041"/>
      <c r="M38" s="1041">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48" customFormat="1" x14ac:dyDescent="0.3">
      <c r="A39" s="1124" t="s">
        <v>8000</v>
      </c>
      <c r="B39" s="1131"/>
      <c r="C39" s="1040">
        <v>22948040</v>
      </c>
      <c r="D39" s="1040">
        <v>1445726.52</v>
      </c>
      <c r="E39" s="1040">
        <f t="shared" si="0"/>
        <v>21502313.48</v>
      </c>
      <c r="F39" s="1060"/>
      <c r="G39" s="1041">
        <f ca="1">SUMIF(Posting!$B:$E,A39,Posting!$E:$E)</f>
        <v>19551392</v>
      </c>
      <c r="H39" s="1041">
        <f ca="1">SUMIF(Posting!$B:$F,A39,Posting!$F:$F)</f>
        <v>26037593</v>
      </c>
      <c r="I39" s="1041">
        <f ca="1">SUMIF(Supplier!$B:$F,A39,Supplier!$E:$E)-SUMIF(Supplier!$B:$F,A39,Supplier!$F:$F)</f>
        <v>0</v>
      </c>
      <c r="J39" s="1041">
        <v>23740232.403525002</v>
      </c>
      <c r="K39" s="1041">
        <v>1010566</v>
      </c>
      <c r="L39" s="1041"/>
      <c r="M39" s="1041">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48" customFormat="1" x14ac:dyDescent="0.3">
      <c r="A40" s="1124" t="s">
        <v>8426</v>
      </c>
      <c r="B40" s="1131"/>
      <c r="C40" s="1040">
        <v>12161762</v>
      </c>
      <c r="D40" s="1040"/>
      <c r="E40" s="1040">
        <f t="shared" si="0"/>
        <v>12161762</v>
      </c>
      <c r="F40" s="1060"/>
      <c r="G40" s="1041">
        <f ca="1">SUMIF(Posting!$B:$E,A40,Posting!$E:$E)</f>
        <v>9756255</v>
      </c>
      <c r="H40" s="1041">
        <f ca="1">SUMIF(Posting!$B:$F,A40,Posting!$F:$F)</f>
        <v>14204081</v>
      </c>
      <c r="I40" s="1041">
        <f ca="1">SUMIF(Supplier!$B:$F,A40,Supplier!$E:$E)-SUMIF(Supplier!$B:$F,A40,Supplier!$F:$F)</f>
        <v>16040</v>
      </c>
      <c r="J40" s="1041">
        <v>13071783.779999999</v>
      </c>
      <c r="K40" s="1041">
        <v>1879882</v>
      </c>
      <c r="L40" s="1041"/>
      <c r="M40" s="1041">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48" customFormat="1" x14ac:dyDescent="0.3">
      <c r="A41" s="1124" t="s">
        <v>8122</v>
      </c>
      <c r="B41" s="1131"/>
      <c r="C41" s="1040">
        <v>24512695</v>
      </c>
      <c r="D41" s="1040"/>
      <c r="E41" s="1040">
        <f t="shared" si="0"/>
        <v>24512695</v>
      </c>
      <c r="F41" s="1060"/>
      <c r="G41" s="1041">
        <f ca="1">SUMIF(Posting!$B:$E,A41,Posting!$E:$E)</f>
        <v>20150378</v>
      </c>
      <c r="H41" s="1041">
        <f ca="1">SUMIF(Posting!$B:$F,A41,Posting!$F:$F)</f>
        <v>22909998</v>
      </c>
      <c r="I41" s="1041">
        <f ca="1">SUMIF(Supplier!$B:$F,A41,Supplier!$E:$E)-SUMIF(Supplier!$B:$F,A41,Supplier!$F:$F)</f>
        <v>113735</v>
      </c>
      <c r="J41" s="1041">
        <v>27296624.739999998</v>
      </c>
      <c r="K41" s="1041">
        <v>3581218.75</v>
      </c>
      <c r="L41" s="1041"/>
      <c r="M41" s="1041">
        <f ca="1">IF(J41&gt;H41,J41+K41-H41,"Bill will be submitted")</f>
        <v>7967845.4899999984</v>
      </c>
      <c r="N41" s="106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48" customFormat="1" x14ac:dyDescent="0.3">
      <c r="A42" s="1124" t="s">
        <v>11391</v>
      </c>
      <c r="B42" s="1131"/>
      <c r="C42" s="1040">
        <v>2273000</v>
      </c>
      <c r="D42" s="1040"/>
      <c r="E42" s="1040">
        <f t="shared" si="0"/>
        <v>2273000</v>
      </c>
      <c r="F42" s="1060"/>
      <c r="G42" s="1041">
        <f ca="1">SUMIF(Posting!$B:$E,A42,Posting!$E:$E)</f>
        <v>568840</v>
      </c>
      <c r="H42" s="1041">
        <f ca="1">SUMIF(Posting!$B:$F,A42,Posting!$F:$F)</f>
        <v>1300000</v>
      </c>
      <c r="I42" s="1041">
        <f ca="1">SUMIF(Supplier!$B:$F,A42,Supplier!$E:$E)-SUMIF(Supplier!$B:$F,A42,Supplier!$F:$F)</f>
        <v>34476</v>
      </c>
      <c r="J42" s="1112">
        <v>2083000</v>
      </c>
      <c r="K42" s="1112"/>
      <c r="L42" s="1041"/>
      <c r="M42" s="1041">
        <f ca="1">IF(J42&gt;H42,J42+K42-H42,"Bill will be submitted")</f>
        <v>783000</v>
      </c>
      <c r="N42" s="106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48" customFormat="1" x14ac:dyDescent="0.3">
      <c r="A43" s="1124" t="s">
        <v>8974</v>
      </c>
      <c r="B43" s="1131"/>
      <c r="C43" s="1040">
        <v>3838450</v>
      </c>
      <c r="D43" s="1040">
        <v>188450</v>
      </c>
      <c r="E43" s="1040">
        <f t="shared" si="0"/>
        <v>3650000</v>
      </c>
      <c r="F43" s="1060"/>
      <c r="G43" s="1041">
        <f ca="1">SUMIF(Posting!$B:$E,A43,Posting!$E:$E)</f>
        <v>3486728</v>
      </c>
      <c r="H43" s="1041">
        <f ca="1">SUMIF(Posting!$B:$F,A43,Posting!$F:$F)</f>
        <v>3500000</v>
      </c>
      <c r="I43" s="1041">
        <f ca="1">SUMIF(Supplier!$B:$F,A43,Supplier!$E:$E)-SUMIF(Supplier!$B:$F,A43,Supplier!$F:$F)</f>
        <v>229776</v>
      </c>
      <c r="J43" s="1041">
        <v>3729145.2</v>
      </c>
      <c r="K43" s="1041">
        <v>1030055</v>
      </c>
      <c r="L43" s="1041"/>
      <c r="M43" s="1041">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48" customFormat="1" x14ac:dyDescent="0.3">
      <c r="A44" s="1050"/>
      <c r="B44" s="1051"/>
      <c r="C44" s="1051"/>
      <c r="D44" s="1051"/>
      <c r="E44" s="1051"/>
      <c r="F44" s="1051"/>
      <c r="G44" s="1051"/>
      <c r="H44" s="1051"/>
      <c r="I44" s="322">
        <f ca="1">SUM(I2:I43)</f>
        <v>10423940</v>
      </c>
      <c r="J44" s="322">
        <f>SUM(J2:J43)</f>
        <v>209310654.28528497</v>
      </c>
      <c r="K44" s="322"/>
      <c r="L44" s="322"/>
      <c r="M44" s="322">
        <f ca="1">SUM(M2:M43)</f>
        <v>80914122.310934991</v>
      </c>
      <c r="N44" s="106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48" customFormat="1" x14ac:dyDescent="0.3">
      <c r="A45" s="4"/>
      <c r="B45" s="251"/>
      <c r="C45" s="1052"/>
      <c r="D45" s="1052"/>
      <c r="E45" s="1052"/>
      <c r="F45" s="1052"/>
      <c r="G45" s="1052"/>
      <c r="H45" s="1052"/>
      <c r="I45" s="1052"/>
      <c r="J45" s="1052"/>
      <c r="K45" s="1052"/>
      <c r="L45" s="1052"/>
      <c r="M45" s="1052"/>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0"/>
  </sheetPr>
  <dimension ref="A1:J4592"/>
  <sheetViews>
    <sheetView zoomScale="120" zoomScaleNormal="120" workbookViewId="0">
      <pane ySplit="1" topLeftCell="A3964" activePane="bottomLeft" state="frozen"/>
      <selection pane="bottomLeft" activeCell="C3735" sqref="C373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3" t="s">
        <v>10974</v>
      </c>
    </row>
    <row r="2" spans="1:9" hidden="1" x14ac:dyDescent="0.25">
      <c r="A2" s="17">
        <v>42332</v>
      </c>
      <c r="B2" s="21" t="s">
        <v>40</v>
      </c>
      <c r="C2" s="13" t="s">
        <v>180</v>
      </c>
      <c r="D2" s="781">
        <v>3572</v>
      </c>
      <c r="E2" s="18">
        <v>19280</v>
      </c>
      <c r="F2" s="19"/>
      <c r="G2" s="20">
        <f t="shared" ref="G2:G21" si="0">E2-F2</f>
        <v>19280</v>
      </c>
      <c r="H2" s="13"/>
    </row>
    <row r="3" spans="1:9" hidden="1" x14ac:dyDescent="0.25">
      <c r="A3" s="17">
        <v>42339</v>
      </c>
      <c r="B3" s="21" t="s">
        <v>129</v>
      </c>
      <c r="C3" s="13" t="s">
        <v>180</v>
      </c>
      <c r="D3" s="781">
        <v>33885</v>
      </c>
      <c r="E3" s="18">
        <v>25860</v>
      </c>
      <c r="F3" s="19"/>
      <c r="G3" s="20">
        <f t="shared" si="0"/>
        <v>25860</v>
      </c>
      <c r="H3" s="13"/>
    </row>
    <row r="4" spans="1:9" hidden="1" x14ac:dyDescent="0.25">
      <c r="A4" s="17">
        <v>42352</v>
      </c>
      <c r="B4" s="21" t="s">
        <v>38</v>
      </c>
      <c r="C4" s="13" t="s">
        <v>180</v>
      </c>
      <c r="D4" s="781">
        <v>33977</v>
      </c>
      <c r="E4" s="18">
        <v>37412</v>
      </c>
      <c r="F4" s="19"/>
      <c r="G4" s="20">
        <f t="shared" si="0"/>
        <v>37412</v>
      </c>
      <c r="H4" s="13"/>
    </row>
    <row r="5" spans="1:9" hidden="1" x14ac:dyDescent="0.25">
      <c r="A5" s="17">
        <v>42355</v>
      </c>
      <c r="B5" s="21" t="s">
        <v>38</v>
      </c>
      <c r="C5" s="13" t="s">
        <v>169</v>
      </c>
      <c r="D5" s="782">
        <v>149</v>
      </c>
      <c r="E5" s="22">
        <v>2699</v>
      </c>
      <c r="F5" s="19"/>
      <c r="G5" s="14">
        <f t="shared" si="0"/>
        <v>2699</v>
      </c>
      <c r="H5" s="13"/>
    </row>
    <row r="6" spans="1:9" hidden="1" x14ac:dyDescent="0.25">
      <c r="A6" s="17">
        <v>42359</v>
      </c>
      <c r="B6" s="21" t="s">
        <v>40</v>
      </c>
      <c r="C6" s="13" t="s">
        <v>180</v>
      </c>
      <c r="D6" s="781">
        <v>12454</v>
      </c>
      <c r="E6" s="18">
        <v>436000</v>
      </c>
      <c r="F6" s="19"/>
      <c r="G6" s="20">
        <f t="shared" si="0"/>
        <v>436000</v>
      </c>
      <c r="H6" s="13"/>
    </row>
    <row r="7" spans="1:9" hidden="1" x14ac:dyDescent="0.25">
      <c r="A7" s="17">
        <v>42366</v>
      </c>
      <c r="B7" s="21" t="s">
        <v>40</v>
      </c>
      <c r="C7" s="13" t="s">
        <v>180</v>
      </c>
      <c r="D7" s="781">
        <v>34024</v>
      </c>
      <c r="E7" s="18">
        <v>18500</v>
      </c>
      <c r="F7" s="19"/>
      <c r="G7" s="20">
        <f t="shared" si="0"/>
        <v>18500</v>
      </c>
      <c r="H7" s="13"/>
    </row>
    <row r="8" spans="1:9" hidden="1" x14ac:dyDescent="0.25">
      <c r="A8" s="17">
        <v>42366</v>
      </c>
      <c r="B8" s="21" t="s">
        <v>129</v>
      </c>
      <c r="C8" s="13" t="s">
        <v>180</v>
      </c>
      <c r="D8" s="781">
        <v>34025</v>
      </c>
      <c r="E8" s="18">
        <v>39900</v>
      </c>
      <c r="F8" s="19"/>
      <c r="G8" s="20">
        <f t="shared" si="0"/>
        <v>39900</v>
      </c>
      <c r="H8" s="13"/>
    </row>
    <row r="9" spans="1:9" hidden="1" x14ac:dyDescent="0.25">
      <c r="A9" s="17">
        <v>42369</v>
      </c>
      <c r="B9" s="23" t="s">
        <v>129</v>
      </c>
      <c r="C9" s="13" t="s">
        <v>169</v>
      </c>
      <c r="D9" s="783">
        <v>154</v>
      </c>
      <c r="E9" s="22">
        <v>1884</v>
      </c>
      <c r="F9" s="19"/>
      <c r="G9" s="14">
        <f t="shared" si="0"/>
        <v>1884</v>
      </c>
      <c r="H9" s="13"/>
    </row>
    <row r="10" spans="1:9" hidden="1" x14ac:dyDescent="0.25">
      <c r="A10" s="17">
        <v>42371</v>
      </c>
      <c r="B10" s="21" t="s">
        <v>40</v>
      </c>
      <c r="C10" s="13" t="s">
        <v>180</v>
      </c>
      <c r="D10" s="781">
        <v>12533</v>
      </c>
      <c r="E10" s="18">
        <v>59000</v>
      </c>
      <c r="F10" s="19"/>
      <c r="G10" s="20">
        <f t="shared" si="0"/>
        <v>59000</v>
      </c>
      <c r="H10" s="13"/>
    </row>
    <row r="11" spans="1:9" hidden="1" x14ac:dyDescent="0.25">
      <c r="A11" s="17">
        <v>42385</v>
      </c>
      <c r="B11" s="21" t="s">
        <v>130</v>
      </c>
      <c r="C11" s="13" t="s">
        <v>161</v>
      </c>
      <c r="D11" s="781">
        <v>672</v>
      </c>
      <c r="E11" s="24">
        <v>21602</v>
      </c>
      <c r="F11" s="19"/>
      <c r="G11" s="20">
        <f t="shared" si="0"/>
        <v>21602</v>
      </c>
      <c r="H11" s="13"/>
    </row>
    <row r="12" spans="1:9" hidden="1" x14ac:dyDescent="0.25">
      <c r="A12" s="17">
        <v>42387</v>
      </c>
      <c r="B12" s="21" t="s">
        <v>40</v>
      </c>
      <c r="C12" s="13" t="s">
        <v>164</v>
      </c>
      <c r="D12" s="781">
        <v>6761</v>
      </c>
      <c r="E12" s="24">
        <v>41971</v>
      </c>
      <c r="F12" s="19"/>
      <c r="G12" s="20">
        <f t="shared" si="0"/>
        <v>41971</v>
      </c>
      <c r="H12" s="13"/>
    </row>
    <row r="13" spans="1:9" hidden="1" x14ac:dyDescent="0.25">
      <c r="A13" s="17">
        <v>42387</v>
      </c>
      <c r="B13" s="21" t="s">
        <v>40</v>
      </c>
      <c r="C13" s="13" t="s">
        <v>164</v>
      </c>
      <c r="D13" s="781">
        <v>6927</v>
      </c>
      <c r="E13" s="24">
        <v>11578</v>
      </c>
      <c r="F13" s="19"/>
      <c r="G13" s="20">
        <f t="shared" si="0"/>
        <v>11578</v>
      </c>
      <c r="H13" s="13"/>
    </row>
    <row r="14" spans="1:9" hidden="1" x14ac:dyDescent="0.25">
      <c r="A14" s="17">
        <v>42387</v>
      </c>
      <c r="B14" s="21" t="s">
        <v>11</v>
      </c>
      <c r="C14" s="13" t="s">
        <v>164</v>
      </c>
      <c r="D14" s="782">
        <v>170</v>
      </c>
      <c r="E14" s="25">
        <v>414</v>
      </c>
      <c r="F14" s="19"/>
      <c r="G14" s="20">
        <f t="shared" si="0"/>
        <v>414</v>
      </c>
      <c r="H14" s="13"/>
    </row>
    <row r="15" spans="1:9" hidden="1" x14ac:dyDescent="0.25">
      <c r="A15" s="17">
        <v>42387</v>
      </c>
      <c r="B15" s="21" t="s">
        <v>11</v>
      </c>
      <c r="C15" s="13" t="s">
        <v>164</v>
      </c>
      <c r="D15" s="782">
        <v>144</v>
      </c>
      <c r="E15" s="25">
        <v>3853</v>
      </c>
      <c r="F15" s="19"/>
      <c r="G15" s="20">
        <f t="shared" si="0"/>
        <v>3853</v>
      </c>
      <c r="H15" s="13"/>
    </row>
    <row r="16" spans="1:9" hidden="1" x14ac:dyDescent="0.25">
      <c r="A16" s="17">
        <v>42387</v>
      </c>
      <c r="B16" s="21" t="s">
        <v>11</v>
      </c>
      <c r="C16" s="13" t="s">
        <v>164</v>
      </c>
      <c r="D16" s="782">
        <v>159</v>
      </c>
      <c r="E16" s="25">
        <v>6782</v>
      </c>
      <c r="F16" s="19"/>
      <c r="G16" s="20">
        <f t="shared" si="0"/>
        <v>6782</v>
      </c>
      <c r="H16" s="13"/>
    </row>
    <row r="17" spans="1:8" hidden="1" x14ac:dyDescent="0.25">
      <c r="A17" s="17">
        <v>42388</v>
      </c>
      <c r="B17" s="21" t="s">
        <v>40</v>
      </c>
      <c r="C17" s="13" t="s">
        <v>161</v>
      </c>
      <c r="D17" s="781">
        <v>685</v>
      </c>
      <c r="E17" s="24">
        <v>17519</v>
      </c>
      <c r="F17" s="19"/>
      <c r="G17" s="20">
        <f t="shared" si="0"/>
        <v>17519</v>
      </c>
      <c r="H17" s="13" t="s">
        <v>188</v>
      </c>
    </row>
    <row r="18" spans="1:8" hidden="1" x14ac:dyDescent="0.25">
      <c r="A18" s="17">
        <v>42393</v>
      </c>
      <c r="B18" s="21" t="s">
        <v>11</v>
      </c>
      <c r="C18" s="13" t="s">
        <v>164</v>
      </c>
      <c r="D18" s="782">
        <v>265</v>
      </c>
      <c r="E18" s="25">
        <v>9000</v>
      </c>
      <c r="F18" s="19"/>
      <c r="G18" s="20">
        <f t="shared" si="0"/>
        <v>9000</v>
      </c>
      <c r="H18" s="13"/>
    </row>
    <row r="19" spans="1:8" hidden="1" x14ac:dyDescent="0.25">
      <c r="A19" s="17">
        <v>42394</v>
      </c>
      <c r="B19" s="21" t="s">
        <v>40</v>
      </c>
      <c r="C19" s="13" t="s">
        <v>161</v>
      </c>
      <c r="D19" s="782"/>
      <c r="E19" s="26">
        <v>214133</v>
      </c>
      <c r="F19" s="19"/>
      <c r="G19" s="20">
        <f t="shared" si="0"/>
        <v>214133</v>
      </c>
      <c r="H19" s="13"/>
    </row>
    <row r="20" spans="1:8" hidden="1" x14ac:dyDescent="0.25">
      <c r="A20" s="17">
        <v>42394</v>
      </c>
      <c r="B20" s="21" t="s">
        <v>130</v>
      </c>
      <c r="C20" s="13" t="s">
        <v>161</v>
      </c>
      <c r="D20" s="782">
        <v>535</v>
      </c>
      <c r="E20" s="22">
        <v>194720</v>
      </c>
      <c r="F20" s="19"/>
      <c r="G20" s="20">
        <f t="shared" si="0"/>
        <v>194720</v>
      </c>
      <c r="H20" s="13"/>
    </row>
    <row r="21" spans="1:8" hidden="1" x14ac:dyDescent="0.25">
      <c r="A21" s="17">
        <v>42394</v>
      </c>
      <c r="B21" s="21" t="s">
        <v>129</v>
      </c>
      <c r="C21" s="13" t="s">
        <v>161</v>
      </c>
      <c r="D21" s="782">
        <v>631</v>
      </c>
      <c r="E21" s="22">
        <v>65996</v>
      </c>
      <c r="F21" s="19"/>
      <c r="G21" s="20">
        <f t="shared" si="0"/>
        <v>65996</v>
      </c>
      <c r="H21" s="13"/>
    </row>
    <row r="22" spans="1:8" hidden="1" x14ac:dyDescent="0.25">
      <c r="A22" s="17">
        <v>42394</v>
      </c>
      <c r="B22" s="21" t="s">
        <v>14</v>
      </c>
      <c r="C22" s="13" t="s">
        <v>164</v>
      </c>
      <c r="D22" s="782"/>
      <c r="E22" s="22">
        <v>30677</v>
      </c>
      <c r="F22" s="19"/>
      <c r="G22" s="20">
        <f t="shared" ref="G22:G30" si="1">E22-F22</f>
        <v>30677</v>
      </c>
      <c r="H22" s="13"/>
    </row>
    <row r="23" spans="1:8" hidden="1" x14ac:dyDescent="0.25">
      <c r="A23" s="17">
        <v>42394</v>
      </c>
      <c r="B23" s="21" t="s">
        <v>40</v>
      </c>
      <c r="C23" s="13" t="s">
        <v>164</v>
      </c>
      <c r="D23" s="782"/>
      <c r="E23" s="22">
        <v>49576</v>
      </c>
      <c r="F23" s="19"/>
      <c r="G23" s="20">
        <f t="shared" si="1"/>
        <v>49576</v>
      </c>
      <c r="H23" s="13"/>
    </row>
    <row r="24" spans="1:8" hidden="1" x14ac:dyDescent="0.25">
      <c r="A24" s="17">
        <v>42394</v>
      </c>
      <c r="B24" s="21" t="s">
        <v>160</v>
      </c>
      <c r="C24" s="13" t="s">
        <v>164</v>
      </c>
      <c r="D24" s="782"/>
      <c r="E24" s="22">
        <v>7375</v>
      </c>
      <c r="F24" s="19"/>
      <c r="G24" s="20">
        <f t="shared" si="1"/>
        <v>7375</v>
      </c>
      <c r="H24" s="13"/>
    </row>
    <row r="25" spans="1:8" hidden="1" x14ac:dyDescent="0.25">
      <c r="A25" s="17">
        <v>42394</v>
      </c>
      <c r="B25" s="21" t="s">
        <v>38</v>
      </c>
      <c r="C25" s="13" t="s">
        <v>164</v>
      </c>
      <c r="D25" s="782"/>
      <c r="E25" s="22">
        <v>17754</v>
      </c>
      <c r="F25" s="19"/>
      <c r="G25" s="20">
        <f t="shared" si="1"/>
        <v>17754</v>
      </c>
      <c r="H25" s="13"/>
    </row>
    <row r="26" spans="1:8" hidden="1" x14ac:dyDescent="0.25">
      <c r="A26" s="17">
        <v>42394</v>
      </c>
      <c r="B26" s="21" t="s">
        <v>36</v>
      </c>
      <c r="C26" s="13" t="s">
        <v>164</v>
      </c>
      <c r="D26" s="782"/>
      <c r="E26" s="22">
        <v>1921</v>
      </c>
      <c r="F26" s="19"/>
      <c r="G26" s="20">
        <f t="shared" si="1"/>
        <v>1921</v>
      </c>
      <c r="H26" s="13"/>
    </row>
    <row r="27" spans="1:8" hidden="1" x14ac:dyDescent="0.25">
      <c r="A27" s="17">
        <v>42394</v>
      </c>
      <c r="B27" s="21" t="s">
        <v>40</v>
      </c>
      <c r="C27" s="13" t="s">
        <v>166</v>
      </c>
      <c r="D27" s="782"/>
      <c r="E27" s="22">
        <v>235632</v>
      </c>
      <c r="F27" s="19"/>
      <c r="G27" s="20">
        <f t="shared" si="1"/>
        <v>235632</v>
      </c>
      <c r="H27" s="13"/>
    </row>
    <row r="28" spans="1:8" hidden="1"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hidden="1" x14ac:dyDescent="0.25">
      <c r="A36" s="17">
        <v>42394</v>
      </c>
      <c r="B36" s="21" t="s">
        <v>38</v>
      </c>
      <c r="C36" s="13" t="s">
        <v>169</v>
      </c>
      <c r="D36" s="782"/>
      <c r="E36" s="22">
        <v>14010</v>
      </c>
      <c r="F36" s="19"/>
      <c r="G36" s="20">
        <f t="shared" si="2"/>
        <v>14010</v>
      </c>
      <c r="H36" s="13"/>
    </row>
    <row r="37" spans="1:8" hidden="1" x14ac:dyDescent="0.25">
      <c r="A37" s="17">
        <v>42394</v>
      </c>
      <c r="B37" s="21" t="s">
        <v>129</v>
      </c>
      <c r="C37" s="13" t="s">
        <v>169</v>
      </c>
      <c r="D37" s="782"/>
      <c r="E37" s="22">
        <v>10045</v>
      </c>
      <c r="F37" s="19"/>
      <c r="G37" s="20">
        <f t="shared" si="2"/>
        <v>10045</v>
      </c>
      <c r="H37" s="13"/>
    </row>
    <row r="38" spans="1:8" hidden="1" x14ac:dyDescent="0.25">
      <c r="A38" s="17">
        <v>42394</v>
      </c>
      <c r="B38" s="21" t="s">
        <v>39</v>
      </c>
      <c r="C38" s="13" t="s">
        <v>169</v>
      </c>
      <c r="D38" s="782"/>
      <c r="E38" s="22">
        <v>65000</v>
      </c>
      <c r="F38" s="19"/>
      <c r="G38" s="20">
        <f t="shared" si="2"/>
        <v>65000</v>
      </c>
      <c r="H38" s="13"/>
    </row>
    <row r="39" spans="1:8" hidden="1" x14ac:dyDescent="0.25">
      <c r="A39" s="17">
        <v>42394</v>
      </c>
      <c r="B39" s="21" t="s">
        <v>40</v>
      </c>
      <c r="C39" s="13" t="s">
        <v>180</v>
      </c>
      <c r="D39" s="781"/>
      <c r="E39" s="18"/>
      <c r="F39" s="28">
        <v>1500</v>
      </c>
      <c r="G39" s="20">
        <f t="shared" si="2"/>
        <v>-1500</v>
      </c>
      <c r="H39" s="13"/>
    </row>
    <row r="40" spans="1:8" hidden="1"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hidden="1" x14ac:dyDescent="0.25">
      <c r="A42" s="17">
        <v>42396</v>
      </c>
      <c r="B42" s="21" t="s">
        <v>11</v>
      </c>
      <c r="C42" s="13" t="s">
        <v>164</v>
      </c>
      <c r="D42" s="782">
        <v>319</v>
      </c>
      <c r="E42" s="25">
        <v>1980</v>
      </c>
      <c r="F42" s="19"/>
      <c r="G42" s="20">
        <f t="shared" si="2"/>
        <v>1980</v>
      </c>
      <c r="H42" s="13"/>
    </row>
    <row r="43" spans="1:8" hidden="1"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hidden="1" x14ac:dyDescent="0.25">
      <c r="A45" s="17">
        <v>42399</v>
      </c>
      <c r="B45" s="21" t="s">
        <v>40</v>
      </c>
      <c r="C45" s="13" t="s">
        <v>166</v>
      </c>
      <c r="D45" s="781">
        <v>6643</v>
      </c>
      <c r="E45" s="25">
        <v>39200</v>
      </c>
      <c r="F45" s="19"/>
      <c r="G45" s="20">
        <f t="shared" si="2"/>
        <v>39200</v>
      </c>
      <c r="H45" s="13"/>
    </row>
    <row r="46" spans="1:8" hidden="1"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hidden="1" x14ac:dyDescent="0.25">
      <c r="A48" s="17">
        <v>42404</v>
      </c>
      <c r="B48" s="21" t="s">
        <v>40</v>
      </c>
      <c r="C48" s="13" t="s">
        <v>180</v>
      </c>
      <c r="D48" s="782"/>
      <c r="E48" s="22"/>
      <c r="F48" s="27">
        <v>1000047</v>
      </c>
      <c r="G48" s="20">
        <f t="shared" si="2"/>
        <v>-1000047</v>
      </c>
      <c r="H48" s="13"/>
    </row>
    <row r="49" spans="1:8" hidden="1" x14ac:dyDescent="0.25">
      <c r="A49" s="17">
        <v>42404</v>
      </c>
      <c r="B49" s="21" t="s">
        <v>40</v>
      </c>
      <c r="C49" s="13" t="s">
        <v>166</v>
      </c>
      <c r="D49" s="782"/>
      <c r="E49" s="22"/>
      <c r="F49" s="27">
        <v>300000</v>
      </c>
      <c r="G49" s="20">
        <f t="shared" si="2"/>
        <v>-300000</v>
      </c>
      <c r="H49" s="13"/>
    </row>
    <row r="50" spans="1:8" hidden="1"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hidden="1" x14ac:dyDescent="0.25">
      <c r="A53" s="17">
        <v>42415</v>
      </c>
      <c r="B53" s="23" t="s">
        <v>40</v>
      </c>
      <c r="C53" s="13" t="s">
        <v>169</v>
      </c>
      <c r="D53" s="783"/>
      <c r="E53" s="22">
        <v>7547</v>
      </c>
      <c r="F53" s="19"/>
      <c r="G53" s="14">
        <f t="shared" ref="G53:G64" si="3">E53-F53</f>
        <v>7547</v>
      </c>
      <c r="H53" s="13"/>
    </row>
    <row r="54" spans="1:8" hidden="1"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hidden="1" x14ac:dyDescent="0.25">
      <c r="A57" s="17">
        <v>42422</v>
      </c>
      <c r="B57" s="21" t="s">
        <v>40</v>
      </c>
      <c r="C57" s="13" t="s">
        <v>161</v>
      </c>
      <c r="D57" s="782">
        <v>821</v>
      </c>
      <c r="E57" s="22">
        <v>34229</v>
      </c>
      <c r="F57" s="19"/>
      <c r="G57" s="14">
        <f t="shared" si="3"/>
        <v>34229</v>
      </c>
      <c r="H57" s="13"/>
    </row>
    <row r="58" spans="1:8" hidden="1" x14ac:dyDescent="0.25">
      <c r="A58" s="17">
        <v>42423</v>
      </c>
      <c r="B58" s="21" t="s">
        <v>39</v>
      </c>
      <c r="C58" s="13" t="s">
        <v>169</v>
      </c>
      <c r="D58" s="782"/>
      <c r="E58" s="22"/>
      <c r="F58" s="19">
        <v>65000</v>
      </c>
      <c r="G58" s="14">
        <f t="shared" si="3"/>
        <v>-65000</v>
      </c>
      <c r="H58" s="13"/>
    </row>
    <row r="59" spans="1:8" hidden="1" x14ac:dyDescent="0.25">
      <c r="A59" s="16">
        <v>42424</v>
      </c>
      <c r="B59" s="21" t="s">
        <v>40</v>
      </c>
      <c r="C59" s="13" t="s">
        <v>164</v>
      </c>
      <c r="D59" s="782"/>
      <c r="E59" s="22"/>
      <c r="F59" s="19">
        <v>52000</v>
      </c>
      <c r="G59" s="14">
        <f t="shared" si="3"/>
        <v>-52000</v>
      </c>
      <c r="H59" s="13"/>
    </row>
    <row r="60" spans="1:8" hidden="1" x14ac:dyDescent="0.25">
      <c r="A60" s="16">
        <v>42424</v>
      </c>
      <c r="B60" s="21" t="s">
        <v>38</v>
      </c>
      <c r="C60" s="13" t="s">
        <v>164</v>
      </c>
      <c r="D60" s="782"/>
      <c r="E60" s="22"/>
      <c r="F60" s="19">
        <v>17500</v>
      </c>
      <c r="G60" s="14">
        <f t="shared" si="3"/>
        <v>-17500</v>
      </c>
      <c r="H60" s="13"/>
    </row>
    <row r="61" spans="1:8" hidden="1" x14ac:dyDescent="0.25">
      <c r="A61" s="16">
        <v>42424</v>
      </c>
      <c r="B61" s="21" t="s">
        <v>160</v>
      </c>
      <c r="C61" s="13" t="s">
        <v>164</v>
      </c>
      <c r="D61" s="782"/>
      <c r="E61" s="22"/>
      <c r="F61" s="19">
        <v>7000</v>
      </c>
      <c r="G61" s="14">
        <f t="shared" si="3"/>
        <v>-7000</v>
      </c>
      <c r="H61" s="13"/>
    </row>
    <row r="62" spans="1:8" hidden="1" x14ac:dyDescent="0.25">
      <c r="A62" s="16">
        <v>42424</v>
      </c>
      <c r="B62" s="21" t="s">
        <v>11</v>
      </c>
      <c r="C62" s="13" t="s">
        <v>164</v>
      </c>
      <c r="D62" s="782"/>
      <c r="E62" s="22"/>
      <c r="F62" s="19">
        <v>22029</v>
      </c>
      <c r="G62" s="14">
        <f t="shared" si="3"/>
        <v>-22029</v>
      </c>
      <c r="H62" s="2" t="s">
        <v>349</v>
      </c>
    </row>
    <row r="63" spans="1:8" hidden="1" x14ac:dyDescent="0.25">
      <c r="A63" s="16">
        <v>42424</v>
      </c>
      <c r="B63" s="21" t="s">
        <v>36</v>
      </c>
      <c r="C63" s="13" t="s">
        <v>164</v>
      </c>
      <c r="D63" s="782"/>
      <c r="E63" s="22"/>
      <c r="F63" s="19">
        <v>1471</v>
      </c>
      <c r="G63" s="14">
        <f t="shared" si="3"/>
        <v>-1471</v>
      </c>
      <c r="H63" s="13"/>
    </row>
    <row r="64" spans="1:8" hidden="1" x14ac:dyDescent="0.25">
      <c r="A64" s="17">
        <v>42426</v>
      </c>
      <c r="B64" s="21" t="s">
        <v>40</v>
      </c>
      <c r="C64" s="13" t="s">
        <v>166</v>
      </c>
      <c r="D64" s="782"/>
      <c r="E64" s="22"/>
      <c r="F64" s="19">
        <v>200000</v>
      </c>
      <c r="G64" s="14">
        <f t="shared" si="3"/>
        <v>-200000</v>
      </c>
      <c r="H64" s="13"/>
    </row>
    <row r="65" spans="1:8" hidden="1" x14ac:dyDescent="0.25">
      <c r="A65" s="17">
        <v>42426</v>
      </c>
      <c r="B65" s="21" t="s">
        <v>40</v>
      </c>
      <c r="C65" s="13" t="s">
        <v>161</v>
      </c>
      <c r="D65" s="782"/>
      <c r="E65" s="22"/>
      <c r="F65" s="19">
        <v>230000</v>
      </c>
      <c r="G65" s="14">
        <f t="shared" ref="G65:G67" si="4">E65-F65</f>
        <v>-230000</v>
      </c>
      <c r="H65" s="13"/>
    </row>
    <row r="66" spans="1:8" hidden="1" x14ac:dyDescent="0.25">
      <c r="A66" s="17">
        <v>42426</v>
      </c>
      <c r="B66" s="21" t="s">
        <v>130</v>
      </c>
      <c r="C66" s="13" t="s">
        <v>161</v>
      </c>
      <c r="D66" s="782"/>
      <c r="E66" s="22"/>
      <c r="F66" s="19">
        <v>210000</v>
      </c>
      <c r="G66" s="14">
        <f t="shared" si="4"/>
        <v>-210000</v>
      </c>
      <c r="H66" s="1188" t="s">
        <v>521</v>
      </c>
    </row>
    <row r="67" spans="1:8" hidden="1" x14ac:dyDescent="0.25">
      <c r="A67" s="17">
        <v>42426</v>
      </c>
      <c r="B67" s="21" t="s">
        <v>129</v>
      </c>
      <c r="C67" s="13" t="s">
        <v>161</v>
      </c>
      <c r="D67" s="782"/>
      <c r="E67" s="22"/>
      <c r="F67" s="19">
        <v>60000</v>
      </c>
      <c r="G67" s="14">
        <f t="shared" si="4"/>
        <v>-60000</v>
      </c>
      <c r="H67" s="1188"/>
    </row>
    <row r="68" spans="1:8" hidden="1" x14ac:dyDescent="0.25">
      <c r="A68" s="17">
        <v>42429</v>
      </c>
      <c r="B68" s="21" t="s">
        <v>130</v>
      </c>
      <c r="C68" s="13" t="s">
        <v>169</v>
      </c>
      <c r="D68" s="782">
        <v>191</v>
      </c>
      <c r="E68" s="22">
        <v>15860</v>
      </c>
      <c r="F68" s="19"/>
      <c r="G68" s="14">
        <f t="shared" ref="G68:G71" si="5">E68-F68</f>
        <v>15860</v>
      </c>
      <c r="H68" s="2" t="s">
        <v>450</v>
      </c>
    </row>
    <row r="69" spans="1:8" hidden="1"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hidden="1" x14ac:dyDescent="0.25">
      <c r="A72" s="17">
        <v>42431</v>
      </c>
      <c r="B72" s="21" t="s">
        <v>130</v>
      </c>
      <c r="C72" s="13" t="s">
        <v>161</v>
      </c>
      <c r="D72" s="782">
        <v>867</v>
      </c>
      <c r="E72" s="22">
        <v>6827</v>
      </c>
      <c r="F72" s="19"/>
      <c r="G72" s="14">
        <f t="shared" ref="G72:G154" si="6">E72-F72</f>
        <v>6827</v>
      </c>
      <c r="H72" s="13"/>
    </row>
    <row r="73" spans="1:8" hidden="1" x14ac:dyDescent="0.25">
      <c r="A73" s="17">
        <v>42445</v>
      </c>
      <c r="B73" s="21" t="s">
        <v>40</v>
      </c>
      <c r="C73" s="13" t="s">
        <v>180</v>
      </c>
      <c r="D73" s="782">
        <v>13063</v>
      </c>
      <c r="E73" s="22">
        <v>276000</v>
      </c>
      <c r="F73" s="19"/>
      <c r="G73" s="14">
        <f t="shared" si="6"/>
        <v>276000</v>
      </c>
      <c r="H73" s="13"/>
    </row>
    <row r="74" spans="1:8" hidden="1" x14ac:dyDescent="0.25">
      <c r="A74" s="17">
        <v>42445</v>
      </c>
      <c r="B74" s="2" t="s">
        <v>82</v>
      </c>
      <c r="C74" s="13" t="s">
        <v>180</v>
      </c>
      <c r="D74" s="782">
        <v>34392</v>
      </c>
      <c r="E74" s="22">
        <v>184000</v>
      </c>
      <c r="F74" s="19"/>
      <c r="G74" s="14">
        <f t="shared" si="6"/>
        <v>184000</v>
      </c>
      <c r="H74" s="13"/>
    </row>
    <row r="75" spans="1:8" hidden="1" x14ac:dyDescent="0.25">
      <c r="A75" s="17">
        <v>42445</v>
      </c>
      <c r="B75" s="2" t="s">
        <v>82</v>
      </c>
      <c r="C75" s="13" t="s">
        <v>180</v>
      </c>
      <c r="D75" s="782">
        <v>34432</v>
      </c>
      <c r="E75" s="22">
        <v>9364</v>
      </c>
      <c r="F75" s="19"/>
      <c r="G75" s="14">
        <f t="shared" si="6"/>
        <v>9364</v>
      </c>
      <c r="H75" s="13"/>
    </row>
    <row r="76" spans="1:8" hidden="1" x14ac:dyDescent="0.25">
      <c r="A76" s="17">
        <v>42445</v>
      </c>
      <c r="B76" s="2" t="s">
        <v>82</v>
      </c>
      <c r="C76" s="13" t="s">
        <v>180</v>
      </c>
      <c r="D76" s="782">
        <v>34375</v>
      </c>
      <c r="E76" s="22">
        <v>61640</v>
      </c>
      <c r="F76" s="19"/>
      <c r="G76" s="14">
        <f t="shared" si="6"/>
        <v>61640</v>
      </c>
      <c r="H76" s="13"/>
    </row>
    <row r="77" spans="1:8" hidden="1" x14ac:dyDescent="0.25">
      <c r="A77" s="17">
        <v>42445</v>
      </c>
      <c r="B77" s="21" t="s">
        <v>40</v>
      </c>
      <c r="C77" s="13" t="s">
        <v>180</v>
      </c>
      <c r="D77" s="782">
        <v>4371</v>
      </c>
      <c r="E77" s="22">
        <v>56100</v>
      </c>
      <c r="F77" s="19"/>
      <c r="G77" s="14">
        <f t="shared" si="6"/>
        <v>56100</v>
      </c>
      <c r="H77" s="13"/>
    </row>
    <row r="78" spans="1:8" hidden="1" x14ac:dyDescent="0.25">
      <c r="A78" s="17">
        <v>42445</v>
      </c>
      <c r="B78" s="21" t="s">
        <v>40</v>
      </c>
      <c r="C78" s="13" t="s">
        <v>180</v>
      </c>
      <c r="D78" s="782">
        <v>12928</v>
      </c>
      <c r="E78" s="22">
        <v>381610</v>
      </c>
      <c r="F78" s="19"/>
      <c r="G78" s="14">
        <f t="shared" si="6"/>
        <v>381610</v>
      </c>
      <c r="H78" s="13"/>
    </row>
    <row r="79" spans="1:8" hidden="1"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hidden="1" x14ac:dyDescent="0.25">
      <c r="A92" s="17">
        <v>42424</v>
      </c>
      <c r="B92" s="21" t="s">
        <v>130</v>
      </c>
      <c r="C92" s="13" t="s">
        <v>164</v>
      </c>
      <c r="D92" s="782">
        <v>8502</v>
      </c>
      <c r="E92" s="22">
        <v>22381</v>
      </c>
      <c r="F92" s="19"/>
      <c r="G92" s="14">
        <f t="shared" si="6"/>
        <v>22381</v>
      </c>
      <c r="H92" s="1148" t="s">
        <v>520</v>
      </c>
    </row>
    <row r="93" spans="1:8" hidden="1" x14ac:dyDescent="0.25">
      <c r="A93" s="17">
        <v>42430</v>
      </c>
      <c r="B93" s="21" t="s">
        <v>40</v>
      </c>
      <c r="C93" s="13" t="s">
        <v>164</v>
      </c>
      <c r="D93" s="782">
        <v>8707</v>
      </c>
      <c r="E93" s="22">
        <v>9826</v>
      </c>
      <c r="F93" s="19"/>
      <c r="G93" s="14">
        <f t="shared" si="6"/>
        <v>9826</v>
      </c>
      <c r="H93" s="1198"/>
    </row>
    <row r="94" spans="1:8" hidden="1" x14ac:dyDescent="0.25">
      <c r="A94" s="17">
        <v>42432</v>
      </c>
      <c r="B94" s="21" t="s">
        <v>130</v>
      </c>
      <c r="C94" s="13" t="s">
        <v>164</v>
      </c>
      <c r="D94" s="782">
        <v>8822</v>
      </c>
      <c r="E94" s="22">
        <v>10294</v>
      </c>
      <c r="F94" s="19"/>
      <c r="G94" s="14">
        <f t="shared" si="6"/>
        <v>10294</v>
      </c>
      <c r="H94" s="1198"/>
    </row>
    <row r="95" spans="1:8" hidden="1"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hidden="1" x14ac:dyDescent="0.25">
      <c r="A102" s="17">
        <v>42441</v>
      </c>
      <c r="B102" s="21" t="s">
        <v>130</v>
      </c>
      <c r="C102" s="13" t="s">
        <v>161</v>
      </c>
      <c r="D102" s="782">
        <v>894</v>
      </c>
      <c r="E102" s="22">
        <v>3515</v>
      </c>
      <c r="F102" s="29"/>
      <c r="G102" s="14">
        <f t="shared" si="6"/>
        <v>3515</v>
      </c>
      <c r="H102" s="13"/>
    </row>
    <row r="103" spans="1:8" hidden="1"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hidden="1" x14ac:dyDescent="0.25">
      <c r="A118" s="17">
        <v>42472</v>
      </c>
      <c r="B118" s="21" t="s">
        <v>130</v>
      </c>
      <c r="C118" s="13" t="s">
        <v>164</v>
      </c>
      <c r="D118" s="782">
        <v>9772</v>
      </c>
      <c r="E118" s="22">
        <v>252</v>
      </c>
      <c r="F118" s="19"/>
      <c r="G118" s="14">
        <f t="shared" si="6"/>
        <v>252</v>
      </c>
      <c r="H118" s="13"/>
    </row>
    <row r="119" spans="1:8" hidden="1" x14ac:dyDescent="0.25">
      <c r="A119" s="17">
        <v>42467</v>
      </c>
      <c r="B119" s="21" t="s">
        <v>40</v>
      </c>
      <c r="C119" s="13" t="s">
        <v>169</v>
      </c>
      <c r="D119" s="782">
        <v>229</v>
      </c>
      <c r="E119" s="22">
        <v>3975</v>
      </c>
      <c r="F119" s="19"/>
      <c r="G119" s="14">
        <f t="shared" si="6"/>
        <v>3975</v>
      </c>
      <c r="H119" s="13"/>
    </row>
    <row r="120" spans="1:8" hidden="1" x14ac:dyDescent="0.25">
      <c r="A120" s="17">
        <v>42430</v>
      </c>
      <c r="B120" s="21" t="s">
        <v>130</v>
      </c>
      <c r="C120" s="13" t="s">
        <v>164</v>
      </c>
      <c r="D120" s="782">
        <v>8745</v>
      </c>
      <c r="E120" s="22"/>
      <c r="F120" s="19">
        <v>689</v>
      </c>
      <c r="G120" s="14">
        <f t="shared" si="6"/>
        <v>-689</v>
      </c>
      <c r="H120" s="13" t="s">
        <v>602</v>
      </c>
    </row>
    <row r="121" spans="1:8" hidden="1" x14ac:dyDescent="0.25">
      <c r="A121" s="17">
        <v>42436</v>
      </c>
      <c r="B121" s="21" t="s">
        <v>130</v>
      </c>
      <c r="C121" s="13" t="s">
        <v>164</v>
      </c>
      <c r="D121" s="782">
        <v>8916</v>
      </c>
      <c r="E121" s="22">
        <v>707</v>
      </c>
      <c r="F121" s="19"/>
      <c r="G121" s="14">
        <f t="shared" si="6"/>
        <v>707</v>
      </c>
      <c r="H121" s="13"/>
    </row>
    <row r="122" spans="1:8" hidden="1" x14ac:dyDescent="0.25">
      <c r="A122" s="17">
        <v>42445</v>
      </c>
      <c r="B122" s="21" t="s">
        <v>40</v>
      </c>
      <c r="C122" s="13" t="s">
        <v>164</v>
      </c>
      <c r="D122" s="782">
        <v>9132</v>
      </c>
      <c r="E122" s="22">
        <v>1591</v>
      </c>
      <c r="F122" s="19"/>
      <c r="G122" s="14">
        <f t="shared" si="6"/>
        <v>1591</v>
      </c>
      <c r="H122" s="13"/>
    </row>
    <row r="123" spans="1:8" hidden="1" x14ac:dyDescent="0.25">
      <c r="A123" s="17">
        <v>42445</v>
      </c>
      <c r="B123" s="21" t="s">
        <v>40</v>
      </c>
      <c r="C123" s="13" t="s">
        <v>164</v>
      </c>
      <c r="D123" s="782">
        <v>9274</v>
      </c>
      <c r="E123" s="22">
        <v>983</v>
      </c>
      <c r="F123" s="19"/>
      <c r="G123" s="14">
        <f t="shared" si="6"/>
        <v>983</v>
      </c>
      <c r="H123" s="13"/>
    </row>
    <row r="124" spans="1:8" hidden="1" x14ac:dyDescent="0.25">
      <c r="A124" s="17">
        <v>42451</v>
      </c>
      <c r="B124" s="21" t="s">
        <v>40</v>
      </c>
      <c r="C124" s="13" t="s">
        <v>164</v>
      </c>
      <c r="D124" s="782">
        <v>9190</v>
      </c>
      <c r="E124" s="22">
        <v>5719</v>
      </c>
      <c r="F124" s="19"/>
      <c r="G124" s="14">
        <f t="shared" si="6"/>
        <v>5719</v>
      </c>
      <c r="H124" s="13"/>
    </row>
    <row r="125" spans="1:8" hidden="1" x14ac:dyDescent="0.25">
      <c r="A125" s="17">
        <v>42455</v>
      </c>
      <c r="B125" s="21" t="s">
        <v>40</v>
      </c>
      <c r="C125" s="13" t="s">
        <v>164</v>
      </c>
      <c r="D125" s="782">
        <v>9379</v>
      </c>
      <c r="E125" s="22">
        <v>775</v>
      </c>
      <c r="F125" s="19"/>
      <c r="G125" s="14">
        <f t="shared" si="6"/>
        <v>775</v>
      </c>
      <c r="H125" s="13"/>
    </row>
    <row r="126" spans="1:8" hidden="1" x14ac:dyDescent="0.25">
      <c r="A126" s="17">
        <v>42450</v>
      </c>
      <c r="B126" s="21" t="s">
        <v>130</v>
      </c>
      <c r="C126" s="13" t="s">
        <v>161</v>
      </c>
      <c r="D126" s="782">
        <v>929</v>
      </c>
      <c r="E126" s="22">
        <v>56430</v>
      </c>
      <c r="F126" s="19"/>
      <c r="G126" s="14">
        <f t="shared" si="6"/>
        <v>56430</v>
      </c>
      <c r="H126" s="13"/>
    </row>
    <row r="127" spans="1:8" hidden="1" x14ac:dyDescent="0.25">
      <c r="A127" s="17">
        <v>42455</v>
      </c>
      <c r="B127" s="21" t="s">
        <v>40</v>
      </c>
      <c r="C127" s="13" t="s">
        <v>161</v>
      </c>
      <c r="D127" s="782">
        <v>932</v>
      </c>
      <c r="E127" s="22">
        <v>8359</v>
      </c>
      <c r="F127" s="19"/>
      <c r="G127" s="14">
        <f t="shared" si="6"/>
        <v>8359</v>
      </c>
      <c r="H127" s="13"/>
    </row>
    <row r="128" spans="1:8" hidden="1" x14ac:dyDescent="0.25">
      <c r="A128" s="17">
        <v>42455</v>
      </c>
      <c r="B128" s="21" t="s">
        <v>40</v>
      </c>
      <c r="C128" s="13" t="s">
        <v>161</v>
      </c>
      <c r="D128" s="782">
        <v>962</v>
      </c>
      <c r="E128" s="22">
        <v>3135</v>
      </c>
      <c r="F128" s="19"/>
      <c r="G128" s="14">
        <f t="shared" si="6"/>
        <v>3135</v>
      </c>
      <c r="H128" s="13"/>
    </row>
    <row r="129" spans="1:8" hidden="1" x14ac:dyDescent="0.25">
      <c r="A129" s="17">
        <v>42448</v>
      </c>
      <c r="B129" s="21" t="s">
        <v>40</v>
      </c>
      <c r="C129" s="13" t="s">
        <v>166</v>
      </c>
      <c r="D129" s="782">
        <v>6911</v>
      </c>
      <c r="E129" s="22">
        <v>39200</v>
      </c>
      <c r="F129" s="19"/>
      <c r="G129" s="14">
        <f t="shared" si="6"/>
        <v>39200</v>
      </c>
      <c r="H129" s="13"/>
    </row>
    <row r="130" spans="1:8" hidden="1" x14ac:dyDescent="0.25">
      <c r="A130" s="17">
        <v>42443</v>
      </c>
      <c r="B130" s="21" t="s">
        <v>40</v>
      </c>
      <c r="C130" s="13" t="s">
        <v>166</v>
      </c>
      <c r="D130" s="782">
        <v>6880</v>
      </c>
      <c r="E130" s="22">
        <v>39200</v>
      </c>
      <c r="F130" s="19"/>
      <c r="G130" s="14">
        <f t="shared" si="6"/>
        <v>39200</v>
      </c>
      <c r="H130" s="13"/>
    </row>
    <row r="131" spans="1:8" hidden="1" x14ac:dyDescent="0.25">
      <c r="A131" s="17">
        <v>42462</v>
      </c>
      <c r="B131" s="21" t="s">
        <v>129</v>
      </c>
      <c r="C131" s="13" t="s">
        <v>166</v>
      </c>
      <c r="D131" s="782">
        <v>7001</v>
      </c>
      <c r="E131" s="22">
        <v>18300</v>
      </c>
      <c r="F131" s="19"/>
      <c r="G131" s="14">
        <f t="shared" si="6"/>
        <v>18300</v>
      </c>
      <c r="H131" s="13"/>
    </row>
    <row r="132" spans="1:8" hidden="1" x14ac:dyDescent="0.25">
      <c r="A132" s="17">
        <v>42468</v>
      </c>
      <c r="B132" s="21" t="s">
        <v>154</v>
      </c>
      <c r="C132" s="13" t="s">
        <v>166</v>
      </c>
      <c r="D132" s="782">
        <v>7022</v>
      </c>
      <c r="E132" s="22">
        <v>42800</v>
      </c>
      <c r="F132" s="19"/>
      <c r="G132" s="14">
        <f t="shared" si="6"/>
        <v>42800</v>
      </c>
      <c r="H132" s="13"/>
    </row>
    <row r="133" spans="1:8" hidden="1" x14ac:dyDescent="0.25">
      <c r="A133" s="17">
        <v>42472</v>
      </c>
      <c r="B133" s="21" t="s">
        <v>40</v>
      </c>
      <c r="C133" s="13" t="s">
        <v>166</v>
      </c>
      <c r="D133" s="782">
        <v>7047</v>
      </c>
      <c r="E133" s="22">
        <v>16000</v>
      </c>
      <c r="F133" s="19"/>
      <c r="G133" s="14">
        <f t="shared" si="6"/>
        <v>16000</v>
      </c>
      <c r="H133" s="13"/>
    </row>
    <row r="134" spans="1:8" hidden="1" x14ac:dyDescent="0.25">
      <c r="A134" s="17">
        <v>42457</v>
      </c>
      <c r="B134" s="21" t="s">
        <v>40</v>
      </c>
      <c r="C134" s="13" t="s">
        <v>166</v>
      </c>
      <c r="D134" s="782">
        <v>11563</v>
      </c>
      <c r="E134" s="22">
        <v>1710</v>
      </c>
      <c r="F134" s="19"/>
      <c r="G134" s="14">
        <f t="shared" si="6"/>
        <v>1710</v>
      </c>
      <c r="H134" s="13"/>
    </row>
    <row r="135" spans="1:8" hidden="1" x14ac:dyDescent="0.25">
      <c r="A135" s="17">
        <v>42444</v>
      </c>
      <c r="B135" s="21" t="s">
        <v>40</v>
      </c>
      <c r="C135" s="13" t="s">
        <v>166</v>
      </c>
      <c r="D135" s="782">
        <v>11500</v>
      </c>
      <c r="E135" s="22">
        <v>1200</v>
      </c>
      <c r="F135" s="19"/>
      <c r="G135" s="14">
        <f t="shared" si="6"/>
        <v>1200</v>
      </c>
      <c r="H135" s="13"/>
    </row>
    <row r="136" spans="1:8" hidden="1" x14ac:dyDescent="0.25">
      <c r="A136" s="17">
        <v>42478</v>
      </c>
      <c r="B136" s="21" t="s">
        <v>130</v>
      </c>
      <c r="C136" s="13" t="s">
        <v>169</v>
      </c>
      <c r="D136" s="782">
        <v>242</v>
      </c>
      <c r="E136" s="22">
        <v>7200</v>
      </c>
      <c r="F136" s="19"/>
      <c r="G136" s="14">
        <f t="shared" si="6"/>
        <v>7200</v>
      </c>
      <c r="H136" s="13"/>
    </row>
    <row r="137" spans="1:8" hidden="1" x14ac:dyDescent="0.25">
      <c r="A137" s="17">
        <v>42450</v>
      </c>
      <c r="B137" s="21" t="s">
        <v>40</v>
      </c>
      <c r="C137" s="13" t="s">
        <v>164</v>
      </c>
      <c r="D137" s="782">
        <v>9254</v>
      </c>
      <c r="E137" s="22">
        <v>12164</v>
      </c>
      <c r="F137" s="19"/>
      <c r="G137" s="14">
        <f t="shared" si="6"/>
        <v>12164</v>
      </c>
      <c r="H137" s="13"/>
    </row>
    <row r="138" spans="1:8" hidden="1" x14ac:dyDescent="0.25">
      <c r="A138" s="17">
        <v>42478</v>
      </c>
      <c r="B138" s="21" t="s">
        <v>40</v>
      </c>
      <c r="C138" s="13" t="s">
        <v>164</v>
      </c>
      <c r="D138" s="782">
        <v>9644</v>
      </c>
      <c r="E138" s="22">
        <v>13906</v>
      </c>
      <c r="F138" s="19"/>
      <c r="G138" s="14">
        <f t="shared" si="6"/>
        <v>13906</v>
      </c>
      <c r="H138" s="13"/>
    </row>
    <row r="139" spans="1:8" hidden="1"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hidden="1" x14ac:dyDescent="0.25">
      <c r="A144" s="17">
        <v>42486</v>
      </c>
      <c r="B144" s="21" t="s">
        <v>154</v>
      </c>
      <c r="C144" s="13" t="s">
        <v>169</v>
      </c>
      <c r="D144" s="782">
        <v>246</v>
      </c>
      <c r="E144" s="22">
        <v>12500</v>
      </c>
      <c r="F144" s="19"/>
      <c r="G144" s="14">
        <f t="shared" si="6"/>
        <v>12500</v>
      </c>
      <c r="H144" s="13"/>
    </row>
    <row r="145" spans="1:8" hidden="1" x14ac:dyDescent="0.25">
      <c r="A145" s="17">
        <v>42473</v>
      </c>
      <c r="B145" s="21" t="s">
        <v>40</v>
      </c>
      <c r="C145" s="13" t="s">
        <v>161</v>
      </c>
      <c r="D145" s="782">
        <v>1004</v>
      </c>
      <c r="E145" s="22">
        <v>9543</v>
      </c>
      <c r="F145" s="19"/>
      <c r="G145" s="14">
        <f t="shared" si="6"/>
        <v>9543</v>
      </c>
      <c r="H145" s="13"/>
    </row>
    <row r="146" spans="1:8" hidden="1"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hidden="1" x14ac:dyDescent="0.25">
      <c r="A155" s="17">
        <v>42481</v>
      </c>
      <c r="B155" s="21" t="s">
        <v>129</v>
      </c>
      <c r="C155" s="13" t="s">
        <v>169</v>
      </c>
      <c r="D155" s="782"/>
      <c r="E155" s="22"/>
      <c r="F155" s="19">
        <v>72650</v>
      </c>
      <c r="G155" s="14">
        <f t="shared" ref="G155:G163" si="7">E155-F155</f>
        <v>-72650</v>
      </c>
      <c r="H155" s="13"/>
    </row>
    <row r="156" spans="1:8" hidden="1" x14ac:dyDescent="0.25">
      <c r="A156" s="17">
        <v>42481</v>
      </c>
      <c r="B156" s="21" t="s">
        <v>38</v>
      </c>
      <c r="C156" s="13" t="s">
        <v>169</v>
      </c>
      <c r="D156" s="782"/>
      <c r="E156" s="22"/>
      <c r="F156" s="19">
        <v>16709</v>
      </c>
      <c r="G156" s="14">
        <f t="shared" si="7"/>
        <v>-16709</v>
      </c>
      <c r="H156" s="13"/>
    </row>
    <row r="157" spans="1:8" hidden="1" x14ac:dyDescent="0.25">
      <c r="A157" s="17">
        <v>42481</v>
      </c>
      <c r="B157" s="21" t="s">
        <v>40</v>
      </c>
      <c r="C157" s="13" t="s">
        <v>169</v>
      </c>
      <c r="D157" s="782"/>
      <c r="E157" s="22"/>
      <c r="F157" s="19">
        <v>10641</v>
      </c>
      <c r="G157" s="14">
        <f t="shared" si="7"/>
        <v>-10641</v>
      </c>
      <c r="H157" s="13"/>
    </row>
    <row r="158" spans="1:8" hidden="1" x14ac:dyDescent="0.25">
      <c r="A158" s="17">
        <v>42495</v>
      </c>
      <c r="B158" s="21" t="s">
        <v>14</v>
      </c>
      <c r="C158" s="13" t="s">
        <v>164</v>
      </c>
      <c r="D158" s="782"/>
      <c r="E158" s="22"/>
      <c r="F158" s="19">
        <v>30677</v>
      </c>
      <c r="G158" s="14">
        <f t="shared" si="7"/>
        <v>-30677</v>
      </c>
      <c r="H158" s="13"/>
    </row>
    <row r="159" spans="1:8" hidden="1" x14ac:dyDescent="0.25">
      <c r="A159" s="17">
        <v>42495</v>
      </c>
      <c r="B159" s="21" t="s">
        <v>130</v>
      </c>
      <c r="C159" s="13" t="s">
        <v>164</v>
      </c>
      <c r="D159" s="782"/>
      <c r="E159" s="22"/>
      <c r="F159" s="19">
        <v>30000</v>
      </c>
      <c r="G159" s="14">
        <f t="shared" si="7"/>
        <v>-30000</v>
      </c>
      <c r="H159" s="13"/>
    </row>
    <row r="160" spans="1:8" hidden="1" x14ac:dyDescent="0.25">
      <c r="A160" s="17">
        <v>42495</v>
      </c>
      <c r="B160" s="21" t="s">
        <v>40</v>
      </c>
      <c r="C160" s="13" t="s">
        <v>164</v>
      </c>
      <c r="D160" s="782"/>
      <c r="E160" s="22"/>
      <c r="F160" s="19">
        <v>39323</v>
      </c>
      <c r="G160" s="14">
        <f t="shared" si="7"/>
        <v>-39323</v>
      </c>
      <c r="H160" s="13"/>
    </row>
    <row r="161" spans="1:8" hidden="1"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ht="16.5" thickBot="1" x14ac:dyDescent="0.3">
      <c r="A165" s="17">
        <v>42490</v>
      </c>
      <c r="B165" s="21" t="s">
        <v>154</v>
      </c>
      <c r="C165" s="13" t="s">
        <v>168</v>
      </c>
      <c r="D165" s="782">
        <v>45610</v>
      </c>
      <c r="E165" s="22">
        <v>12320</v>
      </c>
      <c r="F165" s="19"/>
      <c r="G165" s="14">
        <f t="shared" si="8"/>
        <v>12320</v>
      </c>
      <c r="H165" s="13"/>
    </row>
    <row r="166" spans="1:8" ht="16.5" hidden="1" thickBot="1" x14ac:dyDescent="0.3">
      <c r="A166" s="17">
        <v>42487</v>
      </c>
      <c r="B166" s="21" t="s">
        <v>40</v>
      </c>
      <c r="C166" s="13" t="s">
        <v>161</v>
      </c>
      <c r="D166" s="782">
        <v>1049</v>
      </c>
      <c r="E166" s="22">
        <v>17671</v>
      </c>
      <c r="F166" s="19"/>
      <c r="G166" s="14">
        <f t="shared" si="8"/>
        <v>17671</v>
      </c>
      <c r="H166" s="13"/>
    </row>
    <row r="167" spans="1:8" ht="16.5" hidden="1" thickBot="1" x14ac:dyDescent="0.3">
      <c r="A167" s="17">
        <v>42483</v>
      </c>
      <c r="B167" s="21" t="s">
        <v>130</v>
      </c>
      <c r="C167" s="13" t="s">
        <v>161</v>
      </c>
      <c r="D167" s="782">
        <v>1033</v>
      </c>
      <c r="E167" s="22">
        <v>17512</v>
      </c>
      <c r="F167" s="19"/>
      <c r="G167" s="14">
        <f t="shared" si="8"/>
        <v>17512</v>
      </c>
      <c r="H167" s="13"/>
    </row>
    <row r="168" spans="1:8" ht="16.5" hidden="1" thickBot="1" x14ac:dyDescent="0.3">
      <c r="A168" s="17">
        <v>42483</v>
      </c>
      <c r="B168" s="21" t="s">
        <v>40</v>
      </c>
      <c r="C168" s="13" t="s">
        <v>166</v>
      </c>
      <c r="D168" s="782">
        <v>7110</v>
      </c>
      <c r="E168" s="22">
        <v>75800</v>
      </c>
      <c r="F168" s="19"/>
      <c r="G168" s="14">
        <f t="shared" si="8"/>
        <v>75800</v>
      </c>
      <c r="H168" s="13"/>
    </row>
    <row r="169" spans="1:8" ht="16.5" hidden="1" thickBot="1" x14ac:dyDescent="0.3">
      <c r="A169" s="17">
        <v>42483</v>
      </c>
      <c r="B169" s="21" t="s">
        <v>154</v>
      </c>
      <c r="C169" s="13" t="s">
        <v>166</v>
      </c>
      <c r="D169" s="782">
        <v>7116</v>
      </c>
      <c r="E169" s="22">
        <v>56300</v>
      </c>
      <c r="F169" s="19"/>
      <c r="G169" s="14">
        <f t="shared" si="8"/>
        <v>56300</v>
      </c>
      <c r="H169" s="13"/>
    </row>
    <row r="170" spans="1:8" ht="16.5" hidden="1" thickBot="1" x14ac:dyDescent="0.3">
      <c r="A170" s="17">
        <v>42489</v>
      </c>
      <c r="B170" s="21" t="s">
        <v>36</v>
      </c>
      <c r="C170" s="13" t="s">
        <v>166</v>
      </c>
      <c r="D170" s="782">
        <v>7156</v>
      </c>
      <c r="E170" s="22">
        <v>9360</v>
      </c>
      <c r="F170" s="19"/>
      <c r="G170" s="14">
        <f t="shared" si="8"/>
        <v>9360</v>
      </c>
      <c r="H170" s="13"/>
    </row>
    <row r="171" spans="1:8" ht="16.5" hidden="1"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hidden="1" x14ac:dyDescent="0.25">
      <c r="A174" s="17">
        <v>42502</v>
      </c>
      <c r="B174" s="21" t="s">
        <v>677</v>
      </c>
      <c r="C174" s="13" t="s">
        <v>180</v>
      </c>
      <c r="D174" s="782">
        <v>13346</v>
      </c>
      <c r="E174" s="22">
        <v>35250</v>
      </c>
      <c r="F174" s="19"/>
      <c r="G174" s="14">
        <f t="shared" si="8"/>
        <v>35250</v>
      </c>
      <c r="H174" s="11" t="s">
        <v>1218</v>
      </c>
    </row>
    <row r="175" spans="1:8" hidden="1" x14ac:dyDescent="0.25">
      <c r="A175" s="17">
        <v>42502</v>
      </c>
      <c r="B175" s="21" t="s">
        <v>677</v>
      </c>
      <c r="C175" s="13" t="s">
        <v>180</v>
      </c>
      <c r="D175" s="782">
        <v>13311</v>
      </c>
      <c r="E175" s="22">
        <v>169650</v>
      </c>
      <c r="F175" s="19"/>
      <c r="G175" s="14">
        <f t="shared" si="8"/>
        <v>169650</v>
      </c>
      <c r="H175" s="11"/>
    </row>
    <row r="176" spans="1:8" hidden="1" x14ac:dyDescent="0.25">
      <c r="A176" s="17">
        <v>42502</v>
      </c>
      <c r="B176" s="10" t="s">
        <v>1094</v>
      </c>
      <c r="C176" s="13" t="s">
        <v>180</v>
      </c>
      <c r="D176" s="782">
        <v>13406</v>
      </c>
      <c r="E176" s="22">
        <v>49500</v>
      </c>
      <c r="F176" s="19"/>
      <c r="G176" s="14">
        <f t="shared" si="8"/>
        <v>49500</v>
      </c>
      <c r="H176" s="11"/>
    </row>
    <row r="177" spans="1:8" ht="16.5" hidden="1" thickBot="1" x14ac:dyDescent="0.3">
      <c r="A177" s="17">
        <v>42502</v>
      </c>
      <c r="B177" s="21" t="s">
        <v>467</v>
      </c>
      <c r="C177" s="13" t="s">
        <v>180</v>
      </c>
      <c r="D177" s="782" t="s">
        <v>892</v>
      </c>
      <c r="E177" s="22">
        <v>1183000</v>
      </c>
      <c r="F177" s="19"/>
      <c r="G177" s="14">
        <f t="shared" si="8"/>
        <v>1183000</v>
      </c>
      <c r="H177" s="55"/>
    </row>
    <row r="178" spans="1:8" hidden="1" x14ac:dyDescent="0.25">
      <c r="A178" s="17">
        <v>42502</v>
      </c>
      <c r="B178" s="21" t="s">
        <v>467</v>
      </c>
      <c r="C178" s="13" t="s">
        <v>180</v>
      </c>
      <c r="D178" s="782" t="s">
        <v>893</v>
      </c>
      <c r="E178" s="22">
        <v>1342080</v>
      </c>
      <c r="F178" s="19"/>
      <c r="G178" s="14">
        <f t="shared" si="8"/>
        <v>1342080</v>
      </c>
      <c r="H178" s="57"/>
    </row>
    <row r="179" spans="1:8" hidden="1" x14ac:dyDescent="0.25">
      <c r="A179" s="17">
        <v>42502</v>
      </c>
      <c r="B179" s="21" t="s">
        <v>40</v>
      </c>
      <c r="C179" s="13" t="s">
        <v>180</v>
      </c>
      <c r="D179" s="782" t="s">
        <v>894</v>
      </c>
      <c r="E179" s="22">
        <v>217691</v>
      </c>
      <c r="F179" s="19"/>
      <c r="G179" s="14">
        <f t="shared" si="8"/>
        <v>217691</v>
      </c>
      <c r="H179" s="13"/>
    </row>
    <row r="180" spans="1:8" hidden="1" x14ac:dyDescent="0.25">
      <c r="A180" s="17">
        <v>42502</v>
      </c>
      <c r="B180" s="21" t="s">
        <v>40</v>
      </c>
      <c r="C180" s="13" t="s">
        <v>180</v>
      </c>
      <c r="D180" s="782">
        <v>13133</v>
      </c>
      <c r="E180" s="22">
        <v>769500</v>
      </c>
      <c r="F180" s="19"/>
      <c r="G180" s="14">
        <f t="shared" si="8"/>
        <v>769500</v>
      </c>
      <c r="H180" s="13"/>
    </row>
    <row r="181" spans="1:8" hidden="1" x14ac:dyDescent="0.25">
      <c r="A181" s="17">
        <v>42506</v>
      </c>
      <c r="B181" s="21" t="s">
        <v>40</v>
      </c>
      <c r="C181" s="13" t="s">
        <v>180</v>
      </c>
      <c r="D181" s="782"/>
      <c r="E181" s="22"/>
      <c r="F181" s="12">
        <v>285529</v>
      </c>
      <c r="G181" s="14">
        <f t="shared" si="8"/>
        <v>-285529</v>
      </c>
      <c r="H181" s="13"/>
    </row>
    <row r="182" spans="1:8" hidden="1" x14ac:dyDescent="0.25">
      <c r="A182" s="17">
        <v>42506</v>
      </c>
      <c r="B182" s="21" t="s">
        <v>677</v>
      </c>
      <c r="C182" s="13" t="s">
        <v>180</v>
      </c>
      <c r="D182" s="782"/>
      <c r="E182" s="22"/>
      <c r="F182" s="52">
        <v>359790</v>
      </c>
      <c r="G182" s="14">
        <f t="shared" si="8"/>
        <v>-359790</v>
      </c>
      <c r="H182" s="13"/>
    </row>
    <row r="183" spans="1:8" hidden="1" x14ac:dyDescent="0.25">
      <c r="A183" s="17">
        <v>42506</v>
      </c>
      <c r="B183" s="21" t="s">
        <v>129</v>
      </c>
      <c r="C183" s="13" t="s">
        <v>180</v>
      </c>
      <c r="D183" s="782"/>
      <c r="E183" s="22"/>
      <c r="F183" s="52">
        <v>31500</v>
      </c>
      <c r="G183" s="14">
        <f t="shared" si="8"/>
        <v>-31500</v>
      </c>
      <c r="H183" s="13"/>
    </row>
    <row r="184" spans="1:8" hidden="1" x14ac:dyDescent="0.25">
      <c r="A184" s="17">
        <v>42506</v>
      </c>
      <c r="B184" s="10" t="s">
        <v>1094</v>
      </c>
      <c r="C184" s="13" t="s">
        <v>180</v>
      </c>
      <c r="D184" s="782"/>
      <c r="E184" s="22"/>
      <c r="F184" s="52">
        <v>27990</v>
      </c>
      <c r="G184" s="14">
        <f t="shared" si="8"/>
        <v>-27990</v>
      </c>
      <c r="H184" s="13"/>
    </row>
    <row r="185" spans="1:8" hidden="1" x14ac:dyDescent="0.25">
      <c r="A185" s="17">
        <v>42506</v>
      </c>
      <c r="B185" s="21" t="s">
        <v>130</v>
      </c>
      <c r="C185" s="13" t="s">
        <v>180</v>
      </c>
      <c r="D185" s="782"/>
      <c r="E185" s="22"/>
      <c r="F185" s="52">
        <v>260500</v>
      </c>
      <c r="G185" s="14">
        <f t="shared" si="8"/>
        <v>-260500</v>
      </c>
      <c r="H185" s="13" t="s">
        <v>898</v>
      </c>
    </row>
    <row r="186" spans="1:8" hidden="1" x14ac:dyDescent="0.25">
      <c r="A186" s="17">
        <v>42506</v>
      </c>
      <c r="B186" s="21" t="s">
        <v>774</v>
      </c>
      <c r="C186" s="13" t="s">
        <v>180</v>
      </c>
      <c r="D186" s="782"/>
      <c r="E186" s="22"/>
      <c r="F186" s="52">
        <v>79460</v>
      </c>
      <c r="G186" s="14">
        <f t="shared" si="8"/>
        <v>-79460</v>
      </c>
      <c r="H186" s="13" t="s">
        <v>898</v>
      </c>
    </row>
    <row r="187" spans="1:8" hidden="1"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hidden="1" x14ac:dyDescent="0.25">
      <c r="A189" s="17">
        <v>42504</v>
      </c>
      <c r="B189" s="21" t="s">
        <v>40</v>
      </c>
      <c r="C189" s="13" t="s">
        <v>161</v>
      </c>
      <c r="D189" s="782">
        <v>1113</v>
      </c>
      <c r="E189" s="22">
        <v>150603</v>
      </c>
      <c r="F189" s="19"/>
      <c r="G189" s="14">
        <f t="shared" si="8"/>
        <v>150603</v>
      </c>
      <c r="H189" s="13"/>
    </row>
    <row r="190" spans="1:8" hidden="1" x14ac:dyDescent="0.25">
      <c r="A190" s="17">
        <v>42500</v>
      </c>
      <c r="B190" s="21" t="s">
        <v>154</v>
      </c>
      <c r="C190" s="13" t="s">
        <v>166</v>
      </c>
      <c r="D190" s="782">
        <v>7233</v>
      </c>
      <c r="E190" s="22">
        <v>28800</v>
      </c>
      <c r="F190" s="19"/>
      <c r="G190" s="14">
        <f t="shared" si="8"/>
        <v>28800</v>
      </c>
      <c r="H190" s="13"/>
    </row>
    <row r="191" spans="1:8" hidden="1" x14ac:dyDescent="0.25">
      <c r="A191" s="17">
        <v>42492</v>
      </c>
      <c r="B191" s="21" t="s">
        <v>129</v>
      </c>
      <c r="C191" s="13" t="s">
        <v>166</v>
      </c>
      <c r="D191" s="782">
        <v>7178</v>
      </c>
      <c r="E191" s="22">
        <v>20850</v>
      </c>
      <c r="F191" s="19"/>
      <c r="G191" s="14">
        <f t="shared" si="8"/>
        <v>20850</v>
      </c>
      <c r="H191" s="13"/>
    </row>
    <row r="192" spans="1:8" hidden="1" x14ac:dyDescent="0.25">
      <c r="A192" s="17">
        <v>42503</v>
      </c>
      <c r="B192" s="21" t="s">
        <v>154</v>
      </c>
      <c r="C192" s="13" t="s">
        <v>166</v>
      </c>
      <c r="D192" s="782">
        <v>7258</v>
      </c>
      <c r="E192" s="22">
        <v>32800</v>
      </c>
      <c r="F192" s="19"/>
      <c r="G192" s="14">
        <f t="shared" si="8"/>
        <v>32800</v>
      </c>
      <c r="H192" s="13"/>
    </row>
    <row r="193" spans="1:8" hidden="1" x14ac:dyDescent="0.25">
      <c r="A193" s="17">
        <v>42503</v>
      </c>
      <c r="B193" s="21" t="s">
        <v>154</v>
      </c>
      <c r="C193" s="13" t="s">
        <v>166</v>
      </c>
      <c r="D193" s="782">
        <v>11729</v>
      </c>
      <c r="E193" s="22">
        <v>2200</v>
      </c>
      <c r="F193" s="19"/>
      <c r="G193" s="14">
        <f t="shared" si="8"/>
        <v>2200</v>
      </c>
      <c r="H193" s="13"/>
    </row>
    <row r="194" spans="1:8" hidden="1" x14ac:dyDescent="0.25">
      <c r="A194" s="17">
        <v>42474</v>
      </c>
      <c r="B194" s="21" t="s">
        <v>40</v>
      </c>
      <c r="C194" s="13" t="s">
        <v>164</v>
      </c>
      <c r="D194" s="782">
        <v>9830</v>
      </c>
      <c r="E194" s="22">
        <v>456</v>
      </c>
      <c r="F194" s="19"/>
      <c r="G194" s="14">
        <f t="shared" si="8"/>
        <v>456</v>
      </c>
      <c r="H194" s="13"/>
    </row>
    <row r="195" spans="1:8" hidden="1" x14ac:dyDescent="0.25">
      <c r="A195" s="17">
        <v>42476</v>
      </c>
      <c r="B195" s="21" t="s">
        <v>40</v>
      </c>
      <c r="C195" s="13" t="s">
        <v>164</v>
      </c>
      <c r="D195" s="782">
        <v>10514</v>
      </c>
      <c r="E195" s="22">
        <v>18825</v>
      </c>
      <c r="F195" s="19"/>
      <c r="G195" s="14">
        <f t="shared" si="8"/>
        <v>18825</v>
      </c>
      <c r="H195" s="13"/>
    </row>
    <row r="196" spans="1:8" hidden="1" x14ac:dyDescent="0.25">
      <c r="A196" s="17">
        <v>42499</v>
      </c>
      <c r="B196" s="21" t="s">
        <v>40</v>
      </c>
      <c r="C196" s="13" t="s">
        <v>164</v>
      </c>
      <c r="D196" s="782">
        <v>10376</v>
      </c>
      <c r="E196" s="22">
        <v>6578</v>
      </c>
      <c r="F196" s="19"/>
      <c r="G196" s="14">
        <f t="shared" si="8"/>
        <v>6578</v>
      </c>
      <c r="H196" s="13"/>
    </row>
    <row r="197" spans="1:8" hidden="1" x14ac:dyDescent="0.25">
      <c r="A197" s="17">
        <v>42520</v>
      </c>
      <c r="B197" s="21" t="s">
        <v>36</v>
      </c>
      <c r="C197" s="13" t="s">
        <v>166</v>
      </c>
      <c r="D197" s="782"/>
      <c r="E197" s="22"/>
      <c r="F197" s="19">
        <v>9360</v>
      </c>
      <c r="G197" s="14">
        <f t="shared" si="8"/>
        <v>-9360</v>
      </c>
      <c r="H197" s="13"/>
    </row>
    <row r="198" spans="1:8" hidden="1" x14ac:dyDescent="0.25">
      <c r="A198" s="17">
        <v>42520</v>
      </c>
      <c r="B198" s="21" t="s">
        <v>129</v>
      </c>
      <c r="C198" s="13" t="s">
        <v>166</v>
      </c>
      <c r="D198" s="782"/>
      <c r="E198" s="22"/>
      <c r="F198" s="19">
        <v>41050</v>
      </c>
      <c r="G198" s="14">
        <f t="shared" si="8"/>
        <v>-41050</v>
      </c>
      <c r="H198" s="13"/>
    </row>
    <row r="199" spans="1:8" hidden="1" x14ac:dyDescent="0.25">
      <c r="A199" s="17">
        <v>42520</v>
      </c>
      <c r="B199" s="21" t="s">
        <v>1213</v>
      </c>
      <c r="C199" s="13" t="s">
        <v>166</v>
      </c>
      <c r="D199" s="782"/>
      <c r="E199" s="22"/>
      <c r="F199" s="19">
        <v>149590</v>
      </c>
      <c r="G199" s="14">
        <f t="shared" si="8"/>
        <v>-149590</v>
      </c>
      <c r="H199" s="13"/>
    </row>
    <row r="200" spans="1:8" hidden="1" x14ac:dyDescent="0.25">
      <c r="A200" s="17">
        <v>42515</v>
      </c>
      <c r="B200" s="21" t="s">
        <v>40</v>
      </c>
      <c r="C200" s="13" t="s">
        <v>166</v>
      </c>
      <c r="D200" s="782">
        <v>7322</v>
      </c>
      <c r="E200" s="22">
        <v>33900</v>
      </c>
      <c r="F200" s="19"/>
      <c r="G200" s="14">
        <f t="shared" si="8"/>
        <v>33900</v>
      </c>
      <c r="H200" s="13"/>
    </row>
    <row r="201" spans="1:8" hidden="1" x14ac:dyDescent="0.25">
      <c r="A201" s="17">
        <v>42521</v>
      </c>
      <c r="B201" s="21" t="s">
        <v>40</v>
      </c>
      <c r="C201" s="13" t="s">
        <v>169</v>
      </c>
      <c r="D201" s="782">
        <v>285</v>
      </c>
      <c r="E201" s="22">
        <v>12848</v>
      </c>
      <c r="F201" s="19"/>
      <c r="G201" s="14">
        <f t="shared" ref="G201:G263" si="9">E201-F201</f>
        <v>12848</v>
      </c>
      <c r="H201" s="13"/>
    </row>
    <row r="202" spans="1:8" hidden="1" x14ac:dyDescent="0.25">
      <c r="A202" s="17">
        <v>42530</v>
      </c>
      <c r="B202" s="21" t="s">
        <v>40</v>
      </c>
      <c r="C202" s="13" t="s">
        <v>166</v>
      </c>
      <c r="D202" s="782" t="s">
        <v>959</v>
      </c>
      <c r="E202" s="22"/>
      <c r="F202" s="19">
        <v>45600</v>
      </c>
      <c r="G202" s="14">
        <f t="shared" si="9"/>
        <v>-45600</v>
      </c>
      <c r="H202" s="37"/>
    </row>
    <row r="203" spans="1:8" hidden="1" x14ac:dyDescent="0.25">
      <c r="A203" s="17">
        <v>42530</v>
      </c>
      <c r="B203" s="21" t="s">
        <v>1213</v>
      </c>
      <c r="C203" s="13" t="s">
        <v>166</v>
      </c>
      <c r="D203" s="782" t="s">
        <v>959</v>
      </c>
      <c r="E203" s="22"/>
      <c r="F203" s="19">
        <v>24400</v>
      </c>
      <c r="G203" s="14">
        <f t="shared" si="9"/>
        <v>-24400</v>
      </c>
      <c r="H203" s="7" t="s">
        <v>960</v>
      </c>
    </row>
    <row r="204" spans="1:8" hidden="1" x14ac:dyDescent="0.25">
      <c r="A204" s="17">
        <v>42530</v>
      </c>
      <c r="B204" s="21" t="s">
        <v>1213</v>
      </c>
      <c r="C204" s="13" t="s">
        <v>166</v>
      </c>
      <c r="D204" s="782" t="s">
        <v>959</v>
      </c>
      <c r="E204" s="22"/>
      <c r="F204" s="19">
        <v>30000</v>
      </c>
      <c r="G204" s="14">
        <f t="shared" si="9"/>
        <v>-30000</v>
      </c>
    </row>
    <row r="205" spans="1:8" hidden="1" x14ac:dyDescent="0.25">
      <c r="A205" s="17">
        <v>42513</v>
      </c>
      <c r="B205" s="21" t="s">
        <v>774</v>
      </c>
      <c r="C205" s="13" t="s">
        <v>166</v>
      </c>
      <c r="D205" s="782">
        <v>7302</v>
      </c>
      <c r="E205" s="22">
        <v>34550</v>
      </c>
      <c r="F205" s="19"/>
      <c r="G205" s="14">
        <f t="shared" si="9"/>
        <v>34550</v>
      </c>
    </row>
    <row r="206" spans="1:8" hidden="1" x14ac:dyDescent="0.25">
      <c r="A206" s="17">
        <v>42513</v>
      </c>
      <c r="B206" s="21" t="s">
        <v>154</v>
      </c>
      <c r="C206" s="13" t="s">
        <v>166</v>
      </c>
      <c r="D206" s="782">
        <v>7306</v>
      </c>
      <c r="E206" s="22">
        <v>32800</v>
      </c>
      <c r="F206" s="19"/>
      <c r="G206" s="14">
        <f t="shared" si="9"/>
        <v>32800</v>
      </c>
    </row>
    <row r="207" spans="1:8" hidden="1" x14ac:dyDescent="0.25">
      <c r="A207" s="17">
        <v>42521</v>
      </c>
      <c r="B207" s="21" t="s">
        <v>774</v>
      </c>
      <c r="C207" s="13" t="s">
        <v>166</v>
      </c>
      <c r="D207" s="782">
        <v>7360</v>
      </c>
      <c r="E207" s="22">
        <v>22650</v>
      </c>
      <c r="F207" s="19"/>
      <c r="G207" s="14">
        <f t="shared" si="9"/>
        <v>22650</v>
      </c>
    </row>
    <row r="208" spans="1:8" hidden="1"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hidden="1"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hidden="1" x14ac:dyDescent="0.25">
      <c r="A213" s="17">
        <v>42527</v>
      </c>
      <c r="B213" s="21" t="s">
        <v>774</v>
      </c>
      <c r="C213" s="13" t="s">
        <v>166</v>
      </c>
      <c r="D213" s="782">
        <v>7393</v>
      </c>
      <c r="E213" s="22">
        <v>7100</v>
      </c>
      <c r="F213" s="19"/>
      <c r="G213" s="14">
        <f t="shared" si="9"/>
        <v>7100</v>
      </c>
    </row>
    <row r="214" spans="1:8" hidden="1" x14ac:dyDescent="0.25">
      <c r="A214" s="17">
        <v>42527</v>
      </c>
      <c r="B214" s="21" t="s">
        <v>774</v>
      </c>
      <c r="C214" s="13" t="s">
        <v>166</v>
      </c>
      <c r="D214" s="782">
        <v>11923</v>
      </c>
      <c r="E214" s="22">
        <v>3300</v>
      </c>
      <c r="F214" s="19"/>
      <c r="G214" s="14">
        <f t="shared" si="9"/>
        <v>3300</v>
      </c>
    </row>
    <row r="215" spans="1:8" hidden="1"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hidden="1" x14ac:dyDescent="0.25">
      <c r="A220" s="17">
        <v>42532</v>
      </c>
      <c r="B220" s="10" t="s">
        <v>40</v>
      </c>
      <c r="C220" s="11" t="s">
        <v>166</v>
      </c>
      <c r="D220" s="784">
        <v>11949</v>
      </c>
      <c r="E220" s="8">
        <v>18000</v>
      </c>
      <c r="G220" s="6">
        <f t="shared" si="9"/>
        <v>18000</v>
      </c>
    </row>
    <row r="221" spans="1:8" hidden="1" x14ac:dyDescent="0.25">
      <c r="A221" s="17">
        <v>42537</v>
      </c>
      <c r="B221" s="10" t="s">
        <v>40</v>
      </c>
      <c r="C221" s="11" t="s">
        <v>166</v>
      </c>
      <c r="D221" s="784">
        <v>7479</v>
      </c>
      <c r="E221" s="8">
        <v>21800</v>
      </c>
      <c r="G221" s="6">
        <f t="shared" si="9"/>
        <v>21800</v>
      </c>
    </row>
    <row r="222" spans="1:8" hidden="1" x14ac:dyDescent="0.25">
      <c r="A222" s="17">
        <v>42548</v>
      </c>
      <c r="B222" s="10" t="s">
        <v>40</v>
      </c>
      <c r="C222" s="11" t="s">
        <v>166</v>
      </c>
      <c r="D222" s="784">
        <v>7558</v>
      </c>
      <c r="E222" s="8">
        <v>16800</v>
      </c>
      <c r="G222" s="6">
        <f t="shared" si="9"/>
        <v>16800</v>
      </c>
    </row>
    <row r="223" spans="1:8" hidden="1" x14ac:dyDescent="0.25">
      <c r="A223" s="17">
        <v>42551</v>
      </c>
      <c r="B223" s="21" t="s">
        <v>130</v>
      </c>
      <c r="C223" s="11" t="s">
        <v>169</v>
      </c>
      <c r="F223" s="9">
        <v>23060</v>
      </c>
      <c r="G223" s="6">
        <f t="shared" si="9"/>
        <v>-23060</v>
      </c>
    </row>
    <row r="224" spans="1:8" hidden="1" x14ac:dyDescent="0.25">
      <c r="A224" s="17">
        <v>42551</v>
      </c>
      <c r="B224" s="10" t="s">
        <v>40</v>
      </c>
      <c r="C224" s="11" t="s">
        <v>169</v>
      </c>
      <c r="F224" s="9">
        <v>26940</v>
      </c>
      <c r="G224" s="6">
        <f t="shared" si="9"/>
        <v>-26940</v>
      </c>
    </row>
    <row r="225" spans="1:7" hidden="1"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hidden="1" x14ac:dyDescent="0.25">
      <c r="A229" s="17">
        <v>42541</v>
      </c>
      <c r="B229" s="10" t="s">
        <v>40</v>
      </c>
      <c r="C229" s="11" t="s">
        <v>161</v>
      </c>
      <c r="D229" s="784">
        <v>1211</v>
      </c>
      <c r="E229" s="8">
        <v>40717</v>
      </c>
      <c r="G229" s="6">
        <f t="shared" si="9"/>
        <v>40717</v>
      </c>
    </row>
    <row r="230" spans="1:7" hidden="1" x14ac:dyDescent="0.25">
      <c r="A230" s="17">
        <v>42553</v>
      </c>
      <c r="B230" s="10" t="s">
        <v>1094</v>
      </c>
      <c r="C230" s="11" t="s">
        <v>161</v>
      </c>
      <c r="D230" s="784">
        <v>6</v>
      </c>
      <c r="E230" s="8">
        <v>11240</v>
      </c>
      <c r="G230" s="6">
        <f t="shared" si="9"/>
        <v>11240</v>
      </c>
    </row>
    <row r="231" spans="1:7" hidden="1" x14ac:dyDescent="0.25">
      <c r="A231" s="17">
        <v>42564</v>
      </c>
      <c r="B231" s="10" t="s">
        <v>40</v>
      </c>
      <c r="C231" s="11" t="s">
        <v>166</v>
      </c>
      <c r="D231" s="784">
        <v>7586</v>
      </c>
      <c r="E231" s="8">
        <v>13550</v>
      </c>
      <c r="G231" s="6">
        <f t="shared" si="9"/>
        <v>13550</v>
      </c>
    </row>
    <row r="232" spans="1:7" hidden="1"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hidden="1" x14ac:dyDescent="0.25">
      <c r="A235" s="17">
        <v>42519</v>
      </c>
      <c r="B235" s="21" t="s">
        <v>467</v>
      </c>
      <c r="C235" s="11" t="s">
        <v>180</v>
      </c>
      <c r="D235" s="784">
        <v>7182</v>
      </c>
      <c r="E235" s="8">
        <v>375580</v>
      </c>
      <c r="G235" s="6">
        <f t="shared" si="9"/>
        <v>375580</v>
      </c>
    </row>
    <row r="236" spans="1:7" hidden="1" x14ac:dyDescent="0.25">
      <c r="A236" s="17">
        <v>42527</v>
      </c>
      <c r="B236" s="21" t="s">
        <v>467</v>
      </c>
      <c r="C236" s="11" t="s">
        <v>180</v>
      </c>
      <c r="D236" s="784">
        <v>7197</v>
      </c>
      <c r="E236" s="8">
        <v>10236</v>
      </c>
      <c r="G236" s="6">
        <f t="shared" si="9"/>
        <v>10236</v>
      </c>
    </row>
    <row r="237" spans="1:7" hidden="1" x14ac:dyDescent="0.25">
      <c r="A237" s="17">
        <v>42502</v>
      </c>
      <c r="B237" s="10" t="s">
        <v>677</v>
      </c>
      <c r="C237" s="11" t="s">
        <v>180</v>
      </c>
      <c r="D237" s="784">
        <v>7150</v>
      </c>
      <c r="E237" s="8">
        <v>15000</v>
      </c>
      <c r="G237" s="6">
        <f t="shared" si="9"/>
        <v>15000</v>
      </c>
    </row>
    <row r="238" spans="1:7" hidden="1" x14ac:dyDescent="0.25">
      <c r="A238" s="17">
        <v>42502</v>
      </c>
      <c r="B238" s="10" t="s">
        <v>677</v>
      </c>
      <c r="C238" s="11" t="s">
        <v>180</v>
      </c>
      <c r="D238" s="784">
        <v>7148</v>
      </c>
      <c r="E238" s="8">
        <v>344790</v>
      </c>
      <c r="G238" s="6">
        <f t="shared" si="9"/>
        <v>344790</v>
      </c>
    </row>
    <row r="239" spans="1:7" hidden="1" x14ac:dyDescent="0.25">
      <c r="A239" s="17">
        <v>42502</v>
      </c>
      <c r="B239" s="10" t="s">
        <v>129</v>
      </c>
      <c r="C239" s="11" t="s">
        <v>180</v>
      </c>
      <c r="D239" s="784">
        <v>7146</v>
      </c>
      <c r="E239" s="8">
        <v>31500</v>
      </c>
      <c r="G239" s="6">
        <f t="shared" si="9"/>
        <v>31500</v>
      </c>
    </row>
    <row r="240" spans="1:7" hidden="1" x14ac:dyDescent="0.25">
      <c r="A240" s="17">
        <v>42502</v>
      </c>
      <c r="B240" s="10" t="s">
        <v>1094</v>
      </c>
      <c r="C240" s="11" t="s">
        <v>180</v>
      </c>
      <c r="D240" s="784">
        <v>7145</v>
      </c>
      <c r="E240" s="8">
        <v>27990</v>
      </c>
      <c r="G240" s="6">
        <f t="shared" si="9"/>
        <v>27990</v>
      </c>
    </row>
    <row r="241" spans="1:8" hidden="1" x14ac:dyDescent="0.25">
      <c r="A241" s="17">
        <v>42502</v>
      </c>
      <c r="B241" s="10" t="s">
        <v>40</v>
      </c>
      <c r="C241" s="11" t="s">
        <v>180</v>
      </c>
      <c r="D241" s="784">
        <v>7144</v>
      </c>
      <c r="E241" s="8">
        <v>56100</v>
      </c>
      <c r="G241" s="6">
        <f t="shared" si="9"/>
        <v>56100</v>
      </c>
    </row>
    <row r="242" spans="1:8" hidden="1" x14ac:dyDescent="0.25">
      <c r="A242" s="17">
        <v>42502</v>
      </c>
      <c r="B242" s="10" t="s">
        <v>40</v>
      </c>
      <c r="C242" s="11" t="s">
        <v>180</v>
      </c>
      <c r="D242" s="784">
        <v>7143</v>
      </c>
      <c r="E242" s="8">
        <v>23018</v>
      </c>
      <c r="G242" s="6">
        <f t="shared" si="9"/>
        <v>23018</v>
      </c>
    </row>
    <row r="243" spans="1:8" hidden="1" x14ac:dyDescent="0.25">
      <c r="A243" s="17">
        <v>42502</v>
      </c>
      <c r="B243" s="10" t="s">
        <v>40</v>
      </c>
      <c r="C243" s="11" t="s">
        <v>180</v>
      </c>
      <c r="D243" s="784">
        <v>7142</v>
      </c>
      <c r="E243" s="8">
        <v>120000</v>
      </c>
      <c r="G243" s="6">
        <f t="shared" si="9"/>
        <v>120000</v>
      </c>
    </row>
    <row r="244" spans="1:8" ht="15.75" hidden="1" customHeight="1" x14ac:dyDescent="0.25">
      <c r="A244" s="17">
        <v>42502</v>
      </c>
      <c r="B244" s="10" t="s">
        <v>40</v>
      </c>
      <c r="C244" s="11" t="s">
        <v>180</v>
      </c>
      <c r="D244" s="784">
        <v>7141</v>
      </c>
      <c r="E244" s="8">
        <v>80475</v>
      </c>
      <c r="G244" s="6">
        <f t="shared" si="9"/>
        <v>80475</v>
      </c>
    </row>
    <row r="245" spans="1:8" ht="15.75" hidden="1" customHeight="1" x14ac:dyDescent="0.25">
      <c r="A245" s="17">
        <v>42502</v>
      </c>
      <c r="B245" s="10" t="s">
        <v>774</v>
      </c>
      <c r="C245" s="11" t="s">
        <v>180</v>
      </c>
      <c r="D245" s="784">
        <v>7140</v>
      </c>
      <c r="E245" s="8">
        <v>79460</v>
      </c>
      <c r="G245" s="6">
        <f t="shared" si="9"/>
        <v>79460</v>
      </c>
    </row>
    <row r="246" spans="1:8" ht="15.75" hidden="1" customHeight="1" x14ac:dyDescent="0.25">
      <c r="A246" s="17">
        <v>42502</v>
      </c>
      <c r="B246" s="21" t="s">
        <v>130</v>
      </c>
      <c r="C246" s="11" t="s">
        <v>180</v>
      </c>
      <c r="D246" s="784">
        <v>7139</v>
      </c>
      <c r="E246" s="8">
        <v>260500</v>
      </c>
      <c r="G246" s="6">
        <f t="shared" si="9"/>
        <v>260500</v>
      </c>
    </row>
    <row r="247" spans="1:8" ht="15.75" hidden="1"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idden="1" x14ac:dyDescent="0.25">
      <c r="A249" s="17">
        <v>42592</v>
      </c>
      <c r="B249" s="21" t="s">
        <v>467</v>
      </c>
      <c r="C249" s="11" t="s">
        <v>180</v>
      </c>
      <c r="F249" s="9">
        <v>2200000</v>
      </c>
      <c r="G249" s="6">
        <f t="shared" si="9"/>
        <v>-2200000</v>
      </c>
      <c r="H249" s="7" t="s">
        <v>1221</v>
      </c>
    </row>
    <row r="250" spans="1:8" ht="16.5" hidden="1" thickBot="1" x14ac:dyDescent="0.3">
      <c r="A250" s="17">
        <v>42594</v>
      </c>
      <c r="B250" s="21" t="s">
        <v>467</v>
      </c>
      <c r="C250" s="11" t="s">
        <v>180</v>
      </c>
      <c r="F250" s="9">
        <v>500000</v>
      </c>
      <c r="G250" s="6">
        <f t="shared" si="9"/>
        <v>-500000</v>
      </c>
      <c r="H250" s="90" t="s">
        <v>1219</v>
      </c>
    </row>
    <row r="251" spans="1:8" ht="16.5" hidden="1" thickBot="1" x14ac:dyDescent="0.3">
      <c r="A251" s="17">
        <v>42594</v>
      </c>
      <c r="B251" s="10" t="s">
        <v>40</v>
      </c>
      <c r="C251" s="11" t="s">
        <v>180</v>
      </c>
      <c r="F251" s="9">
        <v>1022522</v>
      </c>
      <c r="G251" s="6">
        <f t="shared" si="9"/>
        <v>-1022522</v>
      </c>
      <c r="H251" s="90" t="s">
        <v>1220</v>
      </c>
    </row>
    <row r="252" spans="1:8" ht="16.5" hidden="1" customHeight="1" x14ac:dyDescent="0.25">
      <c r="A252" s="17">
        <v>42594</v>
      </c>
      <c r="B252" s="10" t="s">
        <v>677</v>
      </c>
      <c r="C252" s="11" t="s">
        <v>169</v>
      </c>
      <c r="D252" s="784">
        <v>48</v>
      </c>
      <c r="E252" s="8">
        <v>65244</v>
      </c>
      <c r="G252" s="6">
        <f t="shared" si="9"/>
        <v>65244</v>
      </c>
    </row>
    <row r="253" spans="1:8" hidden="1"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hidden="1" x14ac:dyDescent="0.25">
      <c r="A258" s="17">
        <v>42595</v>
      </c>
      <c r="B258" s="10" t="s">
        <v>130</v>
      </c>
      <c r="C258" s="11" t="s">
        <v>161</v>
      </c>
      <c r="F258" s="9">
        <v>96534</v>
      </c>
      <c r="G258" s="6">
        <f t="shared" si="9"/>
        <v>-96534</v>
      </c>
      <c r="H258" s="87" t="s">
        <v>1212</v>
      </c>
    </row>
    <row r="259" spans="1:8" ht="23.25" hidden="1" x14ac:dyDescent="0.25">
      <c r="A259" s="17">
        <v>42595</v>
      </c>
      <c r="B259" s="53" t="s">
        <v>129</v>
      </c>
      <c r="C259" s="11" t="s">
        <v>161</v>
      </c>
      <c r="F259" s="9">
        <v>5996</v>
      </c>
      <c r="G259" s="6">
        <f t="shared" si="9"/>
        <v>-5996</v>
      </c>
      <c r="H259" s="88"/>
    </row>
    <row r="260" spans="1:8" ht="23.25" hidden="1" x14ac:dyDescent="0.25">
      <c r="A260" s="17">
        <v>42595</v>
      </c>
      <c r="B260" s="21" t="s">
        <v>467</v>
      </c>
      <c r="C260" s="11" t="s">
        <v>161</v>
      </c>
      <c r="F260" s="9">
        <f>97470+157187</f>
        <v>254657</v>
      </c>
      <c r="G260" s="6">
        <f t="shared" si="9"/>
        <v>-254657</v>
      </c>
      <c r="H260" s="88"/>
    </row>
    <row r="261" spans="1:8" ht="23.25" hidden="1" x14ac:dyDescent="0.25">
      <c r="A261" s="17">
        <v>42595</v>
      </c>
      <c r="B261" s="10" t="s">
        <v>40</v>
      </c>
      <c r="C261" s="11" t="s">
        <v>161</v>
      </c>
      <c r="F261" s="9">
        <f>200000-157187</f>
        <v>42813</v>
      </c>
      <c r="G261" s="6">
        <f t="shared" si="9"/>
        <v>-42813</v>
      </c>
      <c r="H261" s="89"/>
    </row>
    <row r="262" spans="1:8" hidden="1" x14ac:dyDescent="0.25">
      <c r="A262" s="17">
        <v>42551</v>
      </c>
      <c r="B262" s="10" t="s">
        <v>774</v>
      </c>
      <c r="C262" s="11" t="s">
        <v>166</v>
      </c>
      <c r="E262" s="8">
        <v>5040</v>
      </c>
      <c r="G262" s="6">
        <f t="shared" si="9"/>
        <v>5040</v>
      </c>
    </row>
    <row r="263" spans="1:8" hidden="1" x14ac:dyDescent="0.25">
      <c r="A263" s="17">
        <v>42553</v>
      </c>
      <c r="B263" s="10" t="s">
        <v>397</v>
      </c>
      <c r="C263" s="11" t="s">
        <v>164</v>
      </c>
      <c r="E263" s="8">
        <v>50141</v>
      </c>
      <c r="G263" s="6">
        <f t="shared" si="9"/>
        <v>50141</v>
      </c>
    </row>
    <row r="264" spans="1:8" hidden="1" x14ac:dyDescent="0.25">
      <c r="A264" s="17">
        <v>42562</v>
      </c>
      <c r="B264" s="10" t="s">
        <v>397</v>
      </c>
      <c r="C264" s="11" t="s">
        <v>164</v>
      </c>
      <c r="E264" s="8">
        <v>1000</v>
      </c>
      <c r="G264" s="6">
        <f t="shared" ref="G264:G419" si="10">E264-F264</f>
        <v>1000</v>
      </c>
    </row>
    <row r="265" spans="1:8" hidden="1" x14ac:dyDescent="0.25">
      <c r="A265" s="17">
        <v>42566</v>
      </c>
      <c r="B265" s="10" t="s">
        <v>774</v>
      </c>
      <c r="C265" s="11" t="s">
        <v>164</v>
      </c>
      <c r="E265" s="8">
        <v>2373</v>
      </c>
      <c r="G265" s="6">
        <f t="shared" si="10"/>
        <v>2373</v>
      </c>
    </row>
    <row r="266" spans="1:8" hidden="1" x14ac:dyDescent="0.25">
      <c r="A266" s="17">
        <v>42567</v>
      </c>
      <c r="B266" s="10" t="s">
        <v>774</v>
      </c>
      <c r="C266" s="11" t="s">
        <v>164</v>
      </c>
      <c r="E266" s="8">
        <v>2705</v>
      </c>
      <c r="G266" s="6">
        <f t="shared" si="10"/>
        <v>2705</v>
      </c>
    </row>
    <row r="267" spans="1:8" hidden="1" x14ac:dyDescent="0.25">
      <c r="A267" s="17">
        <v>42584</v>
      </c>
      <c r="B267" s="10" t="s">
        <v>774</v>
      </c>
      <c r="C267" s="11" t="s">
        <v>164</v>
      </c>
      <c r="E267" s="8">
        <v>1482</v>
      </c>
      <c r="G267" s="6">
        <f t="shared" si="10"/>
        <v>1482</v>
      </c>
    </row>
    <row r="268" spans="1:8" hidden="1" x14ac:dyDescent="0.25">
      <c r="A268" s="17">
        <v>42584</v>
      </c>
      <c r="B268" s="10" t="s">
        <v>774</v>
      </c>
      <c r="C268" s="11" t="s">
        <v>164</v>
      </c>
      <c r="E268" s="8">
        <v>8205</v>
      </c>
      <c r="G268" s="6">
        <f t="shared" si="10"/>
        <v>8205</v>
      </c>
    </row>
    <row r="269" spans="1:8" hidden="1" x14ac:dyDescent="0.25">
      <c r="A269" s="17">
        <v>42601</v>
      </c>
      <c r="B269" s="10" t="s">
        <v>1210</v>
      </c>
      <c r="C269" s="11" t="s">
        <v>166</v>
      </c>
      <c r="D269" s="784">
        <v>7767</v>
      </c>
      <c r="E269" s="8">
        <v>19950</v>
      </c>
      <c r="G269" s="6">
        <f t="shared" si="10"/>
        <v>19950</v>
      </c>
    </row>
    <row r="270" spans="1:8" hidden="1" x14ac:dyDescent="0.25">
      <c r="A270" s="17">
        <v>42590</v>
      </c>
      <c r="B270" s="10" t="s">
        <v>774</v>
      </c>
      <c r="C270" s="11" t="s">
        <v>164</v>
      </c>
      <c r="D270" s="784">
        <v>1617</v>
      </c>
      <c r="E270" s="8">
        <v>2460</v>
      </c>
      <c r="G270" s="6">
        <f t="shared" si="10"/>
        <v>2460</v>
      </c>
    </row>
    <row r="271" spans="1:8" hidden="1" x14ac:dyDescent="0.25">
      <c r="A271" s="17">
        <v>42597</v>
      </c>
      <c r="B271" s="10" t="s">
        <v>40</v>
      </c>
      <c r="C271" s="11" t="s">
        <v>164</v>
      </c>
      <c r="D271" s="784">
        <v>1617</v>
      </c>
      <c r="E271" s="8">
        <v>6636</v>
      </c>
      <c r="G271" s="6">
        <f t="shared" si="10"/>
        <v>6636</v>
      </c>
    </row>
    <row r="272" spans="1:8" hidden="1" x14ac:dyDescent="0.25">
      <c r="A272" s="17">
        <v>42594</v>
      </c>
      <c r="B272" s="10" t="s">
        <v>40</v>
      </c>
      <c r="C272" s="11" t="s">
        <v>161</v>
      </c>
      <c r="D272" s="784">
        <v>105</v>
      </c>
      <c r="E272" s="8">
        <v>54246</v>
      </c>
      <c r="G272" s="6">
        <f t="shared" si="10"/>
        <v>54246</v>
      </c>
    </row>
    <row r="273" spans="1:8" hidden="1" x14ac:dyDescent="0.25">
      <c r="A273" s="17">
        <v>42584</v>
      </c>
      <c r="B273" s="10" t="s">
        <v>40</v>
      </c>
      <c r="C273" s="11" t="s">
        <v>161</v>
      </c>
      <c r="D273" s="784">
        <v>79</v>
      </c>
      <c r="E273" s="8">
        <v>2607</v>
      </c>
      <c r="G273" s="6">
        <f t="shared" si="10"/>
        <v>2607</v>
      </c>
      <c r="H273" s="84"/>
    </row>
    <row r="274" spans="1:8" hidden="1" x14ac:dyDescent="0.25">
      <c r="A274" s="17">
        <v>42601</v>
      </c>
      <c r="B274" s="10" t="s">
        <v>44</v>
      </c>
      <c r="C274" s="11" t="s">
        <v>169</v>
      </c>
      <c r="D274" s="784">
        <v>55</v>
      </c>
      <c r="E274" s="8">
        <v>3600</v>
      </c>
      <c r="G274" s="6">
        <f t="shared" si="10"/>
        <v>3600</v>
      </c>
      <c r="H274" s="85"/>
    </row>
    <row r="275" spans="1:8" hidden="1" x14ac:dyDescent="0.25">
      <c r="A275" s="17">
        <v>42584</v>
      </c>
      <c r="B275" s="10" t="s">
        <v>467</v>
      </c>
      <c r="C275" s="11" t="s">
        <v>169</v>
      </c>
      <c r="D275" s="784">
        <v>53</v>
      </c>
      <c r="E275" s="8">
        <v>3800</v>
      </c>
      <c r="G275" s="6">
        <f t="shared" si="10"/>
        <v>3800</v>
      </c>
      <c r="H275" s="85" t="s">
        <v>1217</v>
      </c>
    </row>
    <row r="276" spans="1:8" hidden="1" x14ac:dyDescent="0.25">
      <c r="A276" s="17">
        <v>42584</v>
      </c>
      <c r="B276" s="10" t="s">
        <v>44</v>
      </c>
      <c r="C276" s="11" t="s">
        <v>169</v>
      </c>
      <c r="D276" s="784">
        <v>2</v>
      </c>
      <c r="E276" s="8">
        <v>6400</v>
      </c>
      <c r="G276" s="6">
        <f t="shared" si="10"/>
        <v>6400</v>
      </c>
      <c r="H276" s="85"/>
    </row>
    <row r="277" spans="1:8" ht="16.5" hidden="1" thickBot="1" x14ac:dyDescent="0.3">
      <c r="A277" s="17">
        <v>42584</v>
      </c>
      <c r="B277" s="10" t="s">
        <v>40</v>
      </c>
      <c r="C277" s="11" t="s">
        <v>169</v>
      </c>
      <c r="D277" s="784">
        <v>285</v>
      </c>
      <c r="E277" s="8">
        <v>44844</v>
      </c>
      <c r="G277" s="6">
        <f t="shared" si="10"/>
        <v>44844</v>
      </c>
      <c r="H277" s="86"/>
    </row>
    <row r="278" spans="1:8" hidden="1" x14ac:dyDescent="0.25">
      <c r="A278" s="17">
        <v>42584</v>
      </c>
      <c r="B278" s="10" t="s">
        <v>467</v>
      </c>
      <c r="C278" s="11" t="s">
        <v>169</v>
      </c>
      <c r="D278" s="784">
        <v>196</v>
      </c>
      <c r="E278" s="8">
        <v>11097</v>
      </c>
      <c r="G278" s="6">
        <f t="shared" si="10"/>
        <v>11097</v>
      </c>
      <c r="H278" s="84"/>
    </row>
    <row r="279" spans="1:8" hidden="1" x14ac:dyDescent="0.25">
      <c r="A279" s="17">
        <v>42584</v>
      </c>
      <c r="B279" s="10" t="s">
        <v>40</v>
      </c>
      <c r="C279" s="11" t="s">
        <v>169</v>
      </c>
      <c r="E279" s="8">
        <v>14402</v>
      </c>
      <c r="G279" s="6">
        <f t="shared" si="10"/>
        <v>14402</v>
      </c>
      <c r="H279" s="85"/>
    </row>
    <row r="280" spans="1:8" hidden="1" x14ac:dyDescent="0.25">
      <c r="A280" s="17">
        <v>42584</v>
      </c>
      <c r="B280" s="10" t="s">
        <v>40</v>
      </c>
      <c r="C280" s="11" t="s">
        <v>169</v>
      </c>
      <c r="E280" s="8">
        <v>2194</v>
      </c>
      <c r="G280" s="6">
        <f t="shared" si="10"/>
        <v>2194</v>
      </c>
      <c r="H280" s="85"/>
    </row>
    <row r="281" spans="1:8" hidden="1" x14ac:dyDescent="0.25">
      <c r="A281" s="17">
        <v>42606</v>
      </c>
      <c r="B281" s="10" t="s">
        <v>467</v>
      </c>
      <c r="C281" s="11" t="s">
        <v>169</v>
      </c>
      <c r="D281" s="784">
        <v>61</v>
      </c>
      <c r="E281" s="8">
        <v>8060</v>
      </c>
      <c r="F281" s="9">
        <v>4962</v>
      </c>
      <c r="G281" s="6">
        <f t="shared" si="10"/>
        <v>3098</v>
      </c>
      <c r="H281" s="85" t="s">
        <v>1217</v>
      </c>
    </row>
    <row r="282" spans="1:8" hidden="1" x14ac:dyDescent="0.25">
      <c r="A282" s="17">
        <v>42606</v>
      </c>
      <c r="B282" s="10" t="s">
        <v>44</v>
      </c>
      <c r="C282" s="11" t="s">
        <v>169</v>
      </c>
      <c r="F282" s="9">
        <v>10000</v>
      </c>
      <c r="G282" s="6">
        <f t="shared" si="10"/>
        <v>-10000</v>
      </c>
      <c r="H282" s="85"/>
    </row>
    <row r="283" spans="1:8" hidden="1" x14ac:dyDescent="0.25">
      <c r="A283" s="17">
        <v>42606</v>
      </c>
      <c r="B283" s="10" t="s">
        <v>40</v>
      </c>
      <c r="C283" s="11" t="s">
        <v>169</v>
      </c>
      <c r="F283" s="9">
        <v>50000</v>
      </c>
      <c r="G283" s="6">
        <f t="shared" si="10"/>
        <v>-50000</v>
      </c>
      <c r="H283" s="85"/>
    </row>
    <row r="284" spans="1:8" ht="16.5" hidden="1" thickBot="1" x14ac:dyDescent="0.3">
      <c r="A284" s="17">
        <v>42606</v>
      </c>
      <c r="B284" s="21" t="s">
        <v>154</v>
      </c>
      <c r="C284" s="11" t="s">
        <v>169</v>
      </c>
      <c r="F284" s="9">
        <v>12500</v>
      </c>
      <c r="G284" s="6">
        <f t="shared" si="10"/>
        <v>-12500</v>
      </c>
      <c r="H284" s="86"/>
    </row>
    <row r="285" spans="1:8" hidden="1" x14ac:dyDescent="0.25">
      <c r="A285" s="17">
        <v>42606</v>
      </c>
      <c r="B285" s="10" t="s">
        <v>467</v>
      </c>
      <c r="C285" s="11" t="s">
        <v>169</v>
      </c>
      <c r="F285" s="9">
        <v>12500</v>
      </c>
      <c r="G285" s="6">
        <f t="shared" si="10"/>
        <v>-12500</v>
      </c>
    </row>
    <row r="286" spans="1:8" hidden="1" x14ac:dyDescent="0.25">
      <c r="A286" s="17">
        <v>42606</v>
      </c>
      <c r="B286" s="10" t="s">
        <v>677</v>
      </c>
      <c r="C286" s="11" t="s">
        <v>169</v>
      </c>
      <c r="F286" s="9">
        <v>15000</v>
      </c>
      <c r="G286" s="6">
        <f t="shared" si="10"/>
        <v>-15000</v>
      </c>
    </row>
    <row r="287" spans="1:8" hidden="1" x14ac:dyDescent="0.25">
      <c r="A287" s="17">
        <v>42606</v>
      </c>
      <c r="B287" s="10" t="s">
        <v>38</v>
      </c>
      <c r="C287" s="11" t="s">
        <v>164</v>
      </c>
      <c r="F287" s="9">
        <v>254</v>
      </c>
      <c r="G287" s="6">
        <f t="shared" si="10"/>
        <v>-254</v>
      </c>
    </row>
    <row r="288" spans="1:8" hidden="1" x14ac:dyDescent="0.25">
      <c r="A288" s="17">
        <v>42606</v>
      </c>
      <c r="B288" s="10" t="s">
        <v>160</v>
      </c>
      <c r="C288" s="11" t="s">
        <v>164</v>
      </c>
      <c r="F288" s="9">
        <v>375</v>
      </c>
      <c r="G288" s="6">
        <f t="shared" si="10"/>
        <v>-375</v>
      </c>
    </row>
    <row r="289" spans="1:8" hidden="1" x14ac:dyDescent="0.25">
      <c r="A289" s="17">
        <v>42606</v>
      </c>
      <c r="B289" s="10" t="s">
        <v>36</v>
      </c>
      <c r="C289" s="11" t="s">
        <v>164</v>
      </c>
      <c r="F289" s="9">
        <v>450</v>
      </c>
      <c r="G289" s="6">
        <f t="shared" si="10"/>
        <v>-450</v>
      </c>
    </row>
    <row r="290" spans="1:8" hidden="1" x14ac:dyDescent="0.25">
      <c r="A290" s="17">
        <v>42606</v>
      </c>
      <c r="B290" s="10" t="s">
        <v>130</v>
      </c>
      <c r="C290" s="11" t="s">
        <v>164</v>
      </c>
      <c r="F290" s="9">
        <v>4164</v>
      </c>
      <c r="G290" s="6">
        <f t="shared" si="10"/>
        <v>-4164</v>
      </c>
    </row>
    <row r="291" spans="1:8" hidden="1" x14ac:dyDescent="0.25">
      <c r="A291" s="17">
        <v>42606</v>
      </c>
      <c r="B291" s="10" t="s">
        <v>397</v>
      </c>
      <c r="C291" s="11" t="s">
        <v>164</v>
      </c>
      <c r="F291" s="9">
        <v>51141</v>
      </c>
      <c r="G291" s="6">
        <f t="shared" si="10"/>
        <v>-51141</v>
      </c>
    </row>
    <row r="292" spans="1:8" hidden="1" x14ac:dyDescent="0.25">
      <c r="A292" s="17">
        <v>42606</v>
      </c>
      <c r="B292" s="10" t="s">
        <v>774</v>
      </c>
      <c r="C292" s="11" t="s">
        <v>164</v>
      </c>
      <c r="F292" s="9">
        <v>14765</v>
      </c>
      <c r="G292" s="6">
        <f t="shared" si="10"/>
        <v>-14765</v>
      </c>
    </row>
    <row r="293" spans="1:8" hidden="1"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hidden="1" x14ac:dyDescent="0.25">
      <c r="A295" s="17">
        <v>42599</v>
      </c>
      <c r="B295" s="10" t="s">
        <v>40</v>
      </c>
      <c r="C295" s="11" t="s">
        <v>161</v>
      </c>
      <c r="D295" s="784">
        <v>118</v>
      </c>
      <c r="E295" s="8">
        <v>25517</v>
      </c>
      <c r="G295" s="6">
        <f t="shared" si="10"/>
        <v>25517</v>
      </c>
      <c r="H295" s="82" t="s">
        <v>1403</v>
      </c>
    </row>
    <row r="296" spans="1:8" hidden="1" x14ac:dyDescent="0.25">
      <c r="A296" s="17">
        <v>42598</v>
      </c>
      <c r="B296" s="10" t="s">
        <v>40</v>
      </c>
      <c r="C296" s="11" t="s">
        <v>169</v>
      </c>
      <c r="D296" s="784">
        <v>51</v>
      </c>
      <c r="E296" s="8">
        <v>4802</v>
      </c>
      <c r="G296" s="6">
        <f t="shared" si="10"/>
        <v>4802</v>
      </c>
      <c r="H296" s="83"/>
    </row>
    <row r="297" spans="1:8" hidden="1" x14ac:dyDescent="0.25">
      <c r="A297" s="17">
        <v>42571</v>
      </c>
      <c r="B297" s="10" t="s">
        <v>774</v>
      </c>
      <c r="C297" s="11" t="s">
        <v>166</v>
      </c>
      <c r="D297" s="784">
        <v>12114</v>
      </c>
      <c r="E297" s="8">
        <v>1368</v>
      </c>
      <c r="G297" s="6">
        <f t="shared" si="10"/>
        <v>1368</v>
      </c>
      <c r="H297" s="81"/>
    </row>
    <row r="298" spans="1:8" hidden="1"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hidden="1"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hidden="1"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hidden="1" x14ac:dyDescent="0.25">
      <c r="A306" s="17">
        <v>42636</v>
      </c>
      <c r="B306" s="10" t="s">
        <v>1213</v>
      </c>
      <c r="C306" s="11" t="s">
        <v>166</v>
      </c>
      <c r="F306" s="9">
        <v>59350</v>
      </c>
      <c r="G306" s="6">
        <f t="shared" si="10"/>
        <v>-59350</v>
      </c>
    </row>
    <row r="307" spans="1:7" hidden="1" x14ac:dyDescent="0.25">
      <c r="A307" s="17">
        <v>42636</v>
      </c>
      <c r="B307" s="10" t="s">
        <v>969</v>
      </c>
      <c r="C307" s="11" t="s">
        <v>166</v>
      </c>
      <c r="F307" s="9">
        <v>60850</v>
      </c>
      <c r="G307" s="6">
        <f t="shared" si="10"/>
        <v>-60850</v>
      </c>
    </row>
    <row r="308" spans="1:7" hidden="1" x14ac:dyDescent="0.25">
      <c r="A308" s="17">
        <v>42636</v>
      </c>
      <c r="B308" s="21" t="s">
        <v>154</v>
      </c>
      <c r="C308" s="11" t="s">
        <v>166</v>
      </c>
      <c r="F308" s="9">
        <v>55310</v>
      </c>
      <c r="G308" s="6">
        <f t="shared" si="10"/>
        <v>-55310</v>
      </c>
    </row>
    <row r="309" spans="1:7" hidden="1"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hidden="1" x14ac:dyDescent="0.25">
      <c r="A311" s="17">
        <v>42615</v>
      </c>
      <c r="B311" s="10" t="s">
        <v>40</v>
      </c>
      <c r="C311" s="11" t="s">
        <v>161</v>
      </c>
      <c r="D311" s="784">
        <v>184</v>
      </c>
      <c r="E311" s="8">
        <v>61636</v>
      </c>
      <c r="G311" s="6">
        <f t="shared" si="10"/>
        <v>61636</v>
      </c>
    </row>
    <row r="312" spans="1:7" hidden="1" x14ac:dyDescent="0.25">
      <c r="A312" s="17">
        <v>42607</v>
      </c>
      <c r="B312" s="10" t="s">
        <v>40</v>
      </c>
      <c r="C312" s="11" t="s">
        <v>164</v>
      </c>
      <c r="D312" s="784">
        <v>1617</v>
      </c>
      <c r="E312" s="8">
        <v>40803</v>
      </c>
      <c r="G312" s="6">
        <f t="shared" si="10"/>
        <v>40803</v>
      </c>
    </row>
    <row r="313" spans="1:7" hidden="1" x14ac:dyDescent="0.25">
      <c r="A313" s="17">
        <v>42618</v>
      </c>
      <c r="B313" s="10" t="s">
        <v>40</v>
      </c>
      <c r="C313" s="11" t="s">
        <v>164</v>
      </c>
      <c r="D313" s="784">
        <v>1617</v>
      </c>
      <c r="E313" s="8">
        <v>1750</v>
      </c>
      <c r="G313" s="6">
        <f t="shared" si="10"/>
        <v>1750</v>
      </c>
    </row>
    <row r="314" spans="1:7" hidden="1" x14ac:dyDescent="0.25">
      <c r="A314" s="17">
        <v>42619</v>
      </c>
      <c r="B314" s="10" t="s">
        <v>774</v>
      </c>
      <c r="C314" s="11" t="s">
        <v>164</v>
      </c>
      <c r="D314" s="784">
        <v>1617</v>
      </c>
      <c r="E314" s="8">
        <v>1800</v>
      </c>
      <c r="G314" s="6">
        <f t="shared" si="10"/>
        <v>1800</v>
      </c>
    </row>
    <row r="315" spans="1:7" hidden="1" x14ac:dyDescent="0.25">
      <c r="A315" s="17">
        <v>42621</v>
      </c>
      <c r="B315" s="10" t="s">
        <v>40</v>
      </c>
      <c r="C315" s="11" t="s">
        <v>164</v>
      </c>
      <c r="D315" s="784">
        <v>1014</v>
      </c>
      <c r="E315" s="8">
        <v>3693</v>
      </c>
      <c r="G315" s="6">
        <f t="shared" si="10"/>
        <v>3693</v>
      </c>
    </row>
    <row r="316" spans="1:7" hidden="1" x14ac:dyDescent="0.25">
      <c r="A316" s="17">
        <v>42629</v>
      </c>
      <c r="B316" s="10" t="s">
        <v>1404</v>
      </c>
      <c r="C316" s="11" t="s">
        <v>164</v>
      </c>
      <c r="D316" s="784">
        <v>1053</v>
      </c>
      <c r="E316" s="8">
        <v>110050</v>
      </c>
      <c r="G316" s="6">
        <f t="shared" si="10"/>
        <v>110050</v>
      </c>
    </row>
    <row r="317" spans="1:7" hidden="1" x14ac:dyDescent="0.25">
      <c r="A317" s="17">
        <v>42622</v>
      </c>
      <c r="B317" s="10" t="s">
        <v>1404</v>
      </c>
      <c r="C317" s="11" t="s">
        <v>164</v>
      </c>
      <c r="D317" s="784">
        <v>1022</v>
      </c>
      <c r="E317" s="8">
        <v>26461</v>
      </c>
      <c r="G317" s="6">
        <f t="shared" si="10"/>
        <v>26461</v>
      </c>
    </row>
    <row r="318" spans="1:7" hidden="1" x14ac:dyDescent="0.25">
      <c r="A318" s="17">
        <v>42629</v>
      </c>
      <c r="B318" s="10" t="s">
        <v>1404</v>
      </c>
      <c r="C318" s="11" t="s">
        <v>164</v>
      </c>
      <c r="D318" s="784">
        <v>1054</v>
      </c>
      <c r="E318" s="8">
        <v>1154</v>
      </c>
      <c r="G318" s="6">
        <f t="shared" si="10"/>
        <v>1154</v>
      </c>
    </row>
    <row r="319" spans="1:7" hidden="1" x14ac:dyDescent="0.25">
      <c r="A319" s="17">
        <v>42629</v>
      </c>
      <c r="B319" s="10" t="s">
        <v>1404</v>
      </c>
      <c r="C319" s="11" t="s">
        <v>164</v>
      </c>
      <c r="D319" s="784">
        <v>1056</v>
      </c>
      <c r="E319" s="8">
        <v>4224</v>
      </c>
      <c r="G319" s="6">
        <f t="shared" si="10"/>
        <v>4224</v>
      </c>
    </row>
    <row r="320" spans="1:7" hidden="1" x14ac:dyDescent="0.25">
      <c r="A320" s="17">
        <v>42629</v>
      </c>
      <c r="B320" s="10" t="s">
        <v>1404</v>
      </c>
      <c r="C320" s="11" t="s">
        <v>164</v>
      </c>
      <c r="D320" s="784">
        <v>1050</v>
      </c>
      <c r="E320" s="8">
        <v>264</v>
      </c>
      <c r="G320" s="6">
        <f t="shared" si="10"/>
        <v>264</v>
      </c>
    </row>
    <row r="321" spans="1:8" hidden="1" x14ac:dyDescent="0.25">
      <c r="A321" s="17">
        <v>42630</v>
      </c>
      <c r="B321" s="10" t="s">
        <v>1404</v>
      </c>
      <c r="C321" s="11" t="s">
        <v>164</v>
      </c>
      <c r="D321" s="784">
        <v>1060</v>
      </c>
      <c r="E321" s="8">
        <v>5023</v>
      </c>
      <c r="G321" s="6">
        <f t="shared" si="10"/>
        <v>5023</v>
      </c>
    </row>
    <row r="322" spans="1:8" hidden="1" x14ac:dyDescent="0.25">
      <c r="A322" s="17">
        <v>42633</v>
      </c>
      <c r="B322" s="10" t="s">
        <v>40</v>
      </c>
      <c r="C322" s="11" t="s">
        <v>164</v>
      </c>
      <c r="D322" s="784">
        <v>1096</v>
      </c>
      <c r="E322" s="8">
        <v>254</v>
      </c>
      <c r="G322" s="6">
        <f t="shared" si="10"/>
        <v>254</v>
      </c>
    </row>
    <row r="323" spans="1:8" hidden="1" x14ac:dyDescent="0.25">
      <c r="A323" s="17">
        <v>42634</v>
      </c>
      <c r="B323" s="10" t="s">
        <v>40</v>
      </c>
      <c r="C323" s="11" t="s">
        <v>164</v>
      </c>
      <c r="D323" s="784">
        <v>1107</v>
      </c>
      <c r="E323" s="8">
        <v>2824</v>
      </c>
      <c r="G323" s="6">
        <f t="shared" si="10"/>
        <v>2824</v>
      </c>
    </row>
    <row r="324" spans="1:8" hidden="1" x14ac:dyDescent="0.25">
      <c r="A324" s="17">
        <v>42633</v>
      </c>
      <c r="B324" s="10" t="s">
        <v>40</v>
      </c>
      <c r="C324" s="11" t="s">
        <v>164</v>
      </c>
      <c r="D324" s="784">
        <v>1094</v>
      </c>
      <c r="E324" s="8">
        <v>2086</v>
      </c>
      <c r="G324" s="6">
        <f t="shared" si="10"/>
        <v>2086</v>
      </c>
    </row>
    <row r="325" spans="1:8" hidden="1" x14ac:dyDescent="0.25">
      <c r="A325" s="17">
        <v>42635</v>
      </c>
      <c r="B325" s="10" t="s">
        <v>1404</v>
      </c>
      <c r="C325" s="11" t="s">
        <v>164</v>
      </c>
      <c r="D325" s="784">
        <v>1140</v>
      </c>
      <c r="E325" s="8">
        <v>1109</v>
      </c>
      <c r="G325" s="6">
        <f t="shared" si="10"/>
        <v>1109</v>
      </c>
    </row>
    <row r="326" spans="1:8" hidden="1" x14ac:dyDescent="0.25">
      <c r="A326" s="17">
        <v>42636</v>
      </c>
      <c r="B326" s="10" t="s">
        <v>40</v>
      </c>
      <c r="C326" s="11" t="s">
        <v>164</v>
      </c>
      <c r="D326" s="784">
        <v>1146</v>
      </c>
      <c r="E326" s="8">
        <v>2807</v>
      </c>
      <c r="G326" s="6">
        <f t="shared" si="10"/>
        <v>2807</v>
      </c>
    </row>
    <row r="327" spans="1:8" hidden="1" x14ac:dyDescent="0.25">
      <c r="A327" s="17">
        <v>42636</v>
      </c>
      <c r="B327" s="10" t="s">
        <v>1404</v>
      </c>
      <c r="C327" s="11" t="s">
        <v>164</v>
      </c>
      <c r="D327" s="784">
        <v>1171</v>
      </c>
      <c r="E327" s="8">
        <v>220252</v>
      </c>
      <c r="G327" s="6">
        <f t="shared" si="10"/>
        <v>220252</v>
      </c>
    </row>
    <row r="328" spans="1:8" hidden="1" x14ac:dyDescent="0.25">
      <c r="A328" s="17">
        <v>42639</v>
      </c>
      <c r="B328" s="10" t="s">
        <v>1404</v>
      </c>
      <c r="C328" s="11" t="s">
        <v>164</v>
      </c>
      <c r="D328" s="784">
        <v>1188</v>
      </c>
      <c r="E328" s="8">
        <v>98222</v>
      </c>
      <c r="G328" s="6">
        <f t="shared" si="10"/>
        <v>98222</v>
      </c>
    </row>
    <row r="329" spans="1:8" hidden="1" x14ac:dyDescent="0.25">
      <c r="A329" s="17">
        <v>42639</v>
      </c>
      <c r="B329" s="10" t="s">
        <v>1406</v>
      </c>
      <c r="C329" s="11" t="s">
        <v>166</v>
      </c>
      <c r="D329" s="784">
        <v>7999</v>
      </c>
      <c r="E329" s="8">
        <v>10350</v>
      </c>
      <c r="G329" s="6">
        <f t="shared" si="10"/>
        <v>10350</v>
      </c>
      <c r="H329" s="32" t="s">
        <v>1413</v>
      </c>
    </row>
    <row r="330" spans="1:8" hidden="1"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hidden="1" x14ac:dyDescent="0.25">
      <c r="A332" s="17">
        <v>42640</v>
      </c>
      <c r="B332" s="10" t="s">
        <v>774</v>
      </c>
      <c r="C332" s="11" t="s">
        <v>169</v>
      </c>
      <c r="D332" s="785" t="s">
        <v>1405</v>
      </c>
      <c r="E332" s="8">
        <v>8652</v>
      </c>
      <c r="G332" s="6">
        <f t="shared" si="10"/>
        <v>8652</v>
      </c>
    </row>
    <row r="333" spans="1:8" hidden="1" x14ac:dyDescent="0.25">
      <c r="A333" s="17">
        <v>42640</v>
      </c>
      <c r="B333" s="10" t="s">
        <v>40</v>
      </c>
      <c r="C333" s="11" t="s">
        <v>161</v>
      </c>
      <c r="D333" s="784">
        <v>248</v>
      </c>
      <c r="E333" s="8">
        <v>46313</v>
      </c>
      <c r="G333" s="6">
        <f t="shared" si="10"/>
        <v>46313</v>
      </c>
    </row>
    <row r="334" spans="1:8" hidden="1"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hidden="1" x14ac:dyDescent="0.25">
      <c r="A338" s="17">
        <v>42643</v>
      </c>
      <c r="B338" s="10" t="s">
        <v>1404</v>
      </c>
      <c r="C338" s="11" t="s">
        <v>164</v>
      </c>
      <c r="D338" s="784">
        <v>1617</v>
      </c>
      <c r="E338" s="8">
        <v>37347</v>
      </c>
      <c r="G338" s="6">
        <f t="shared" si="10"/>
        <v>37347</v>
      </c>
      <c r="H338" s="82"/>
    </row>
    <row r="339" spans="1:8" hidden="1" x14ac:dyDescent="0.25">
      <c r="A339" s="17">
        <v>42647</v>
      </c>
      <c r="B339" s="10" t="s">
        <v>1404</v>
      </c>
      <c r="C339" s="11" t="s">
        <v>164</v>
      </c>
      <c r="D339" s="784">
        <v>1351</v>
      </c>
      <c r="E339" s="8">
        <v>1419</v>
      </c>
      <c r="G339" s="6">
        <f t="shared" si="10"/>
        <v>1419</v>
      </c>
      <c r="H339" s="83"/>
    </row>
    <row r="340" spans="1:8" hidden="1" x14ac:dyDescent="0.25">
      <c r="A340" s="17">
        <v>42647</v>
      </c>
      <c r="B340" s="10" t="s">
        <v>1404</v>
      </c>
      <c r="C340" s="11" t="s">
        <v>164</v>
      </c>
      <c r="D340" s="784">
        <v>1331</v>
      </c>
      <c r="E340" s="8">
        <v>4047</v>
      </c>
      <c r="G340" s="6">
        <f t="shared" si="10"/>
        <v>4047</v>
      </c>
    </row>
    <row r="341" spans="1:8" hidden="1" x14ac:dyDescent="0.25">
      <c r="A341" s="17">
        <v>42650</v>
      </c>
      <c r="B341" s="10" t="s">
        <v>1406</v>
      </c>
      <c r="C341" s="11" t="s">
        <v>164</v>
      </c>
      <c r="D341" s="784">
        <v>1414</v>
      </c>
      <c r="E341" s="8">
        <v>17501</v>
      </c>
      <c r="G341" s="6">
        <f t="shared" si="10"/>
        <v>17501</v>
      </c>
    </row>
    <row r="342" spans="1:8" hidden="1" x14ac:dyDescent="0.25">
      <c r="A342" s="17">
        <v>42650</v>
      </c>
      <c r="B342" s="10" t="s">
        <v>1404</v>
      </c>
      <c r="C342" s="11" t="s">
        <v>164</v>
      </c>
      <c r="D342" s="784">
        <v>1367</v>
      </c>
      <c r="E342" s="8">
        <v>3313</v>
      </c>
      <c r="G342" s="6">
        <f t="shared" si="10"/>
        <v>3313</v>
      </c>
    </row>
    <row r="343" spans="1:8" hidden="1" x14ac:dyDescent="0.25">
      <c r="A343" s="17">
        <v>42653</v>
      </c>
      <c r="B343" s="10" t="s">
        <v>1404</v>
      </c>
      <c r="C343" s="11" t="s">
        <v>164</v>
      </c>
      <c r="D343" s="784">
        <v>1453</v>
      </c>
      <c r="E343" s="8">
        <v>2718</v>
      </c>
      <c r="G343" s="6">
        <f t="shared" si="10"/>
        <v>2718</v>
      </c>
    </row>
    <row r="344" spans="1:8" hidden="1" x14ac:dyDescent="0.25">
      <c r="A344" s="17">
        <v>42647</v>
      </c>
      <c r="B344" s="10" t="s">
        <v>1213</v>
      </c>
      <c r="C344" s="11" t="s">
        <v>166</v>
      </c>
      <c r="D344" s="784">
        <v>8070</v>
      </c>
      <c r="E344" s="8">
        <v>263340</v>
      </c>
      <c r="G344" s="6">
        <f t="shared" si="10"/>
        <v>263340</v>
      </c>
    </row>
    <row r="345" spans="1:8" hidden="1" x14ac:dyDescent="0.25">
      <c r="A345" s="17">
        <v>42648</v>
      </c>
      <c r="B345" s="10" t="s">
        <v>1404</v>
      </c>
      <c r="C345" s="11" t="s">
        <v>166</v>
      </c>
      <c r="D345" s="784">
        <v>8112</v>
      </c>
      <c r="E345" s="8">
        <v>42350</v>
      </c>
      <c r="G345" s="6">
        <f t="shared" si="10"/>
        <v>42350</v>
      </c>
    </row>
    <row r="346" spans="1:8" hidden="1" x14ac:dyDescent="0.25">
      <c r="A346" s="17">
        <v>42648</v>
      </c>
      <c r="B346" s="10" t="s">
        <v>1502</v>
      </c>
      <c r="C346" s="11" t="s">
        <v>166</v>
      </c>
      <c r="D346" s="784">
        <v>8089</v>
      </c>
      <c r="E346" s="8">
        <v>39150</v>
      </c>
      <c r="G346" s="6">
        <f t="shared" si="10"/>
        <v>39150</v>
      </c>
    </row>
    <row r="347" spans="1:8" hidden="1" x14ac:dyDescent="0.25">
      <c r="A347" s="17">
        <v>42665</v>
      </c>
      <c r="B347" s="10" t="s">
        <v>40</v>
      </c>
      <c r="C347" s="11" t="s">
        <v>166</v>
      </c>
      <c r="F347" s="9">
        <v>100000</v>
      </c>
      <c r="G347" s="6">
        <f t="shared" si="10"/>
        <v>-100000</v>
      </c>
    </row>
    <row r="348" spans="1:8" hidden="1" x14ac:dyDescent="0.25">
      <c r="A348" s="17">
        <v>42665</v>
      </c>
      <c r="B348" s="10" t="s">
        <v>154</v>
      </c>
      <c r="C348" s="11" t="s">
        <v>166</v>
      </c>
      <c r="F348" s="9">
        <v>75000</v>
      </c>
      <c r="G348" s="6">
        <f t="shared" si="10"/>
        <v>-75000</v>
      </c>
    </row>
    <row r="349" spans="1:8" hidden="1" x14ac:dyDescent="0.25">
      <c r="A349" s="17">
        <v>42665</v>
      </c>
      <c r="B349" s="10" t="s">
        <v>1210</v>
      </c>
      <c r="C349" s="11" t="s">
        <v>166</v>
      </c>
      <c r="F349" s="9">
        <v>25000</v>
      </c>
      <c r="G349" s="6">
        <f t="shared" si="10"/>
        <v>-25000</v>
      </c>
    </row>
    <row r="350" spans="1:8" hidden="1" x14ac:dyDescent="0.25">
      <c r="A350" s="17">
        <v>42665</v>
      </c>
      <c r="B350" s="10" t="s">
        <v>1404</v>
      </c>
      <c r="C350" s="11" t="s">
        <v>166</v>
      </c>
      <c r="F350" s="9">
        <v>25000</v>
      </c>
      <c r="G350" s="6">
        <f t="shared" si="10"/>
        <v>-25000</v>
      </c>
      <c r="H350" s="81" t="s">
        <v>1532</v>
      </c>
    </row>
    <row r="351" spans="1:8" hidden="1" x14ac:dyDescent="0.25">
      <c r="A351" s="17">
        <v>42649</v>
      </c>
      <c r="B351" s="10" t="s">
        <v>40</v>
      </c>
      <c r="C351" s="11" t="s">
        <v>161</v>
      </c>
      <c r="D351" s="784">
        <v>286</v>
      </c>
      <c r="E351" s="8">
        <v>3467</v>
      </c>
      <c r="G351" s="6">
        <f t="shared" si="10"/>
        <v>3467</v>
      </c>
      <c r="H351" s="83"/>
    </row>
    <row r="352" spans="1:8" hidden="1" x14ac:dyDescent="0.25">
      <c r="A352" s="17">
        <v>42665</v>
      </c>
      <c r="B352" s="10" t="s">
        <v>40</v>
      </c>
      <c r="C352" s="11" t="s">
        <v>161</v>
      </c>
      <c r="D352" s="784">
        <v>294</v>
      </c>
      <c r="E352" s="8">
        <v>49380</v>
      </c>
      <c r="G352" s="6">
        <f t="shared" si="10"/>
        <v>49380</v>
      </c>
    </row>
    <row r="353" spans="1:8" hidden="1" x14ac:dyDescent="0.25">
      <c r="A353" s="17">
        <v>42665</v>
      </c>
      <c r="B353" s="10" t="s">
        <v>467</v>
      </c>
      <c r="C353" s="11" t="s">
        <v>161</v>
      </c>
      <c r="D353" s="784">
        <v>277</v>
      </c>
      <c r="E353" s="8">
        <v>15675</v>
      </c>
      <c r="G353" s="6">
        <f t="shared" si="10"/>
        <v>15675</v>
      </c>
    </row>
    <row r="354" spans="1:8" hidden="1" x14ac:dyDescent="0.25">
      <c r="A354" s="17">
        <v>42665</v>
      </c>
      <c r="B354" s="10" t="s">
        <v>467</v>
      </c>
      <c r="C354" s="11" t="s">
        <v>161</v>
      </c>
      <c r="D354" s="784">
        <v>295</v>
      </c>
      <c r="E354" s="8">
        <v>15028</v>
      </c>
      <c r="G354" s="6">
        <f t="shared" si="10"/>
        <v>15028</v>
      </c>
    </row>
    <row r="355" spans="1:8" hidden="1" x14ac:dyDescent="0.25">
      <c r="A355" s="17">
        <v>42658</v>
      </c>
      <c r="B355" s="10" t="s">
        <v>38</v>
      </c>
      <c r="C355" s="11" t="s">
        <v>161</v>
      </c>
      <c r="D355" s="784">
        <v>308</v>
      </c>
      <c r="E355" s="8">
        <v>9551</v>
      </c>
      <c r="G355" s="6">
        <f t="shared" si="10"/>
        <v>9551</v>
      </c>
    </row>
    <row r="356" spans="1:8" hidden="1" x14ac:dyDescent="0.25">
      <c r="A356" s="17">
        <v>42665</v>
      </c>
      <c r="B356" s="10" t="s">
        <v>40</v>
      </c>
      <c r="C356" s="11" t="s">
        <v>166</v>
      </c>
      <c r="D356" s="784">
        <v>8106</v>
      </c>
      <c r="E356" s="8">
        <v>3950</v>
      </c>
      <c r="G356" s="6">
        <f t="shared" si="10"/>
        <v>3950</v>
      </c>
    </row>
    <row r="357" spans="1:8" hidden="1"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hidden="1" x14ac:dyDescent="0.25">
      <c r="A362" s="17">
        <v>42657</v>
      </c>
      <c r="B362" s="10" t="s">
        <v>1502</v>
      </c>
      <c r="C362" s="11" t="s">
        <v>166</v>
      </c>
      <c r="D362" s="784">
        <v>8092</v>
      </c>
      <c r="E362" s="8">
        <v>42350</v>
      </c>
      <c r="G362" s="6">
        <f t="shared" si="10"/>
        <v>42350</v>
      </c>
    </row>
    <row r="363" spans="1:8" hidden="1" x14ac:dyDescent="0.25">
      <c r="A363" s="17">
        <v>42669</v>
      </c>
      <c r="B363" s="10" t="s">
        <v>677</v>
      </c>
      <c r="C363" s="11" t="s">
        <v>169</v>
      </c>
      <c r="F363" s="9">
        <v>50244</v>
      </c>
      <c r="G363" s="6">
        <f t="shared" si="10"/>
        <v>-50244</v>
      </c>
      <c r="H363" s="81"/>
    </row>
    <row r="364" spans="1:8" hidden="1" x14ac:dyDescent="0.25">
      <c r="A364" s="17">
        <v>42669</v>
      </c>
      <c r="B364" s="10" t="s">
        <v>467</v>
      </c>
      <c r="C364" s="11" t="s">
        <v>169</v>
      </c>
      <c r="F364" s="9">
        <v>5495</v>
      </c>
      <c r="G364" s="6">
        <f t="shared" si="10"/>
        <v>-5495</v>
      </c>
      <c r="H364" s="82" t="s">
        <v>1533</v>
      </c>
    </row>
    <row r="365" spans="1:8" hidden="1" x14ac:dyDescent="0.25">
      <c r="A365" s="17">
        <v>42669</v>
      </c>
      <c r="B365" s="10" t="s">
        <v>40</v>
      </c>
      <c r="C365" s="11" t="s">
        <v>169</v>
      </c>
      <c r="F365" s="9">
        <v>27261</v>
      </c>
      <c r="G365" s="6">
        <f t="shared" si="10"/>
        <v>-27261</v>
      </c>
      <c r="H365" s="83"/>
    </row>
    <row r="366" spans="1:8" hidden="1" x14ac:dyDescent="0.25">
      <c r="A366" s="17">
        <v>42662</v>
      </c>
      <c r="B366" s="10" t="s">
        <v>1404</v>
      </c>
      <c r="C366" s="11" t="s">
        <v>164</v>
      </c>
      <c r="D366" s="784">
        <v>1564</v>
      </c>
      <c r="E366" s="8">
        <v>63654</v>
      </c>
      <c r="G366" s="6">
        <f t="shared" si="10"/>
        <v>63654</v>
      </c>
    </row>
    <row r="367" spans="1:8" hidden="1" x14ac:dyDescent="0.25">
      <c r="A367" s="17">
        <v>42664</v>
      </c>
      <c r="B367" s="10" t="s">
        <v>1404</v>
      </c>
      <c r="C367" s="11" t="s">
        <v>164</v>
      </c>
      <c r="D367" s="784">
        <v>1625</v>
      </c>
      <c r="E367" s="8">
        <v>510973</v>
      </c>
      <c r="G367" s="6">
        <f t="shared" si="10"/>
        <v>510973</v>
      </c>
    </row>
    <row r="368" spans="1:8" hidden="1" x14ac:dyDescent="0.25">
      <c r="A368" s="17">
        <v>42667</v>
      </c>
      <c r="B368" s="10" t="s">
        <v>1404</v>
      </c>
      <c r="C368" s="11" t="s">
        <v>164</v>
      </c>
      <c r="D368" s="784">
        <v>1658</v>
      </c>
      <c r="E368" s="8">
        <v>1250</v>
      </c>
      <c r="G368" s="6">
        <f t="shared" si="10"/>
        <v>1250</v>
      </c>
    </row>
    <row r="369" spans="1:8" hidden="1" x14ac:dyDescent="0.25">
      <c r="A369" s="17">
        <v>42667</v>
      </c>
      <c r="B369" s="10" t="s">
        <v>1404</v>
      </c>
      <c r="C369" s="11" t="s">
        <v>164</v>
      </c>
      <c r="D369" s="784">
        <v>1638</v>
      </c>
      <c r="E369" s="8">
        <v>12414</v>
      </c>
      <c r="G369" s="6">
        <f t="shared" si="10"/>
        <v>12414</v>
      </c>
    </row>
    <row r="370" spans="1:8" hidden="1"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hidden="1" x14ac:dyDescent="0.25">
      <c r="A373" s="17">
        <v>42662</v>
      </c>
      <c r="B373" s="10" t="s">
        <v>1404</v>
      </c>
      <c r="C373" s="11" t="s">
        <v>166</v>
      </c>
      <c r="D373" s="784">
        <v>8122</v>
      </c>
      <c r="E373" s="8">
        <v>39150</v>
      </c>
      <c r="G373" s="6">
        <f t="shared" si="10"/>
        <v>39150</v>
      </c>
    </row>
    <row r="374" spans="1:8" hidden="1" x14ac:dyDescent="0.25">
      <c r="A374" s="17">
        <v>42662</v>
      </c>
      <c r="B374" s="10" t="s">
        <v>1502</v>
      </c>
      <c r="C374" s="11" t="s">
        <v>166</v>
      </c>
      <c r="D374" s="784">
        <v>8126</v>
      </c>
      <c r="E374" s="8">
        <v>14750</v>
      </c>
      <c r="G374" s="6">
        <f t="shared" si="10"/>
        <v>14750</v>
      </c>
    </row>
    <row r="375" spans="1:8" hidden="1" x14ac:dyDescent="0.25">
      <c r="A375" s="17">
        <v>42663</v>
      </c>
      <c r="B375" s="10" t="s">
        <v>1404</v>
      </c>
      <c r="C375" s="11" t="s">
        <v>166</v>
      </c>
      <c r="D375" s="784">
        <v>8139</v>
      </c>
      <c r="E375" s="8">
        <v>16700</v>
      </c>
      <c r="G375" s="6">
        <f t="shared" si="10"/>
        <v>16700</v>
      </c>
    </row>
    <row r="376" spans="1:8" hidden="1" x14ac:dyDescent="0.25">
      <c r="A376" s="17">
        <v>42665</v>
      </c>
      <c r="B376" s="10" t="s">
        <v>1222</v>
      </c>
      <c r="C376" s="11" t="s">
        <v>166</v>
      </c>
      <c r="D376" s="784">
        <v>8160</v>
      </c>
      <c r="E376" s="8">
        <v>165296</v>
      </c>
      <c r="G376" s="6">
        <f t="shared" si="10"/>
        <v>165296</v>
      </c>
    </row>
    <row r="377" spans="1:8" hidden="1" x14ac:dyDescent="0.25">
      <c r="A377" s="17">
        <v>42676</v>
      </c>
      <c r="B377" s="10" t="s">
        <v>40</v>
      </c>
      <c r="C377" s="11" t="s">
        <v>180</v>
      </c>
      <c r="F377" s="9">
        <v>146519</v>
      </c>
      <c r="G377" s="6">
        <f t="shared" si="10"/>
        <v>-146519</v>
      </c>
      <c r="H377" s="81"/>
    </row>
    <row r="378" spans="1:8" hidden="1" x14ac:dyDescent="0.25">
      <c r="A378" s="17">
        <v>42676</v>
      </c>
      <c r="B378" s="10" t="s">
        <v>1094</v>
      </c>
      <c r="C378" s="11" t="s">
        <v>180</v>
      </c>
      <c r="F378" s="9">
        <v>49500</v>
      </c>
      <c r="G378" s="6">
        <f t="shared" si="10"/>
        <v>-49500</v>
      </c>
      <c r="H378" s="82"/>
    </row>
    <row r="379" spans="1:8" hidden="1" x14ac:dyDescent="0.25">
      <c r="A379" s="17">
        <v>42676</v>
      </c>
      <c r="B379" s="10" t="s">
        <v>82</v>
      </c>
      <c r="C379" s="11" t="s">
        <v>180</v>
      </c>
      <c r="F379" s="9">
        <v>255004</v>
      </c>
      <c r="G379" s="6">
        <f t="shared" si="10"/>
        <v>-255004</v>
      </c>
      <c r="H379" s="82"/>
    </row>
    <row r="380" spans="1:8" hidden="1" x14ac:dyDescent="0.25">
      <c r="A380" s="17">
        <v>42676</v>
      </c>
      <c r="B380" s="10" t="s">
        <v>467</v>
      </c>
      <c r="C380" s="11" t="s">
        <v>180</v>
      </c>
      <c r="F380" s="9">
        <v>210896</v>
      </c>
      <c r="G380" s="6">
        <f t="shared" si="10"/>
        <v>-210896</v>
      </c>
      <c r="H380" s="82" t="s">
        <v>1550</v>
      </c>
    </row>
    <row r="381" spans="1:8" hidden="1" x14ac:dyDescent="0.25">
      <c r="A381" s="17">
        <v>42676</v>
      </c>
      <c r="B381" s="10" t="s">
        <v>129</v>
      </c>
      <c r="C381" s="11" t="s">
        <v>180</v>
      </c>
      <c r="F381" s="9">
        <v>65760</v>
      </c>
      <c r="G381" s="6">
        <f t="shared" si="10"/>
        <v>-65760</v>
      </c>
      <c r="H381" s="82"/>
    </row>
    <row r="382" spans="1:8" hidden="1" x14ac:dyDescent="0.25">
      <c r="A382" s="17">
        <v>42676</v>
      </c>
      <c r="B382" s="10" t="s">
        <v>677</v>
      </c>
      <c r="C382" s="11" t="s">
        <v>180</v>
      </c>
      <c r="F382" s="9">
        <v>204900</v>
      </c>
      <c r="G382" s="6">
        <f t="shared" si="10"/>
        <v>-204900</v>
      </c>
      <c r="H382" s="82" t="s">
        <v>1948</v>
      </c>
    </row>
    <row r="383" spans="1:8" hidden="1" x14ac:dyDescent="0.25">
      <c r="A383" s="17">
        <v>42676</v>
      </c>
      <c r="B383" s="10" t="s">
        <v>38</v>
      </c>
      <c r="C383" s="11" t="s">
        <v>180</v>
      </c>
      <c r="F383" s="9">
        <v>37412</v>
      </c>
      <c r="G383" s="6">
        <f t="shared" si="10"/>
        <v>-37412</v>
      </c>
      <c r="H383" s="83"/>
    </row>
    <row r="384" spans="1:8" hidden="1" x14ac:dyDescent="0.25">
      <c r="A384" s="17">
        <v>42665</v>
      </c>
      <c r="B384" s="10" t="s">
        <v>1406</v>
      </c>
      <c r="C384" s="11" t="s">
        <v>164</v>
      </c>
      <c r="E384" s="8">
        <v>255</v>
      </c>
      <c r="G384" s="6">
        <f t="shared" si="10"/>
        <v>255</v>
      </c>
    </row>
    <row r="385" spans="1:8" hidden="1" x14ac:dyDescent="0.25">
      <c r="A385" s="17">
        <v>42665</v>
      </c>
      <c r="B385" s="10" t="s">
        <v>1406</v>
      </c>
      <c r="C385" s="11" t="s">
        <v>164</v>
      </c>
      <c r="E385" s="8">
        <v>6362</v>
      </c>
      <c r="G385" s="6">
        <f t="shared" si="10"/>
        <v>6362</v>
      </c>
    </row>
    <row r="386" spans="1:8" hidden="1" x14ac:dyDescent="0.25">
      <c r="A386" s="17">
        <v>42669</v>
      </c>
      <c r="B386" s="10" t="s">
        <v>1406</v>
      </c>
      <c r="C386" s="11" t="s">
        <v>169</v>
      </c>
      <c r="E386" s="8">
        <v>5000</v>
      </c>
      <c r="G386" s="6">
        <f t="shared" si="10"/>
        <v>5000</v>
      </c>
    </row>
    <row r="387" spans="1:8" hidden="1" x14ac:dyDescent="0.25">
      <c r="A387" s="17">
        <v>42672</v>
      </c>
      <c r="B387" s="10" t="s">
        <v>1404</v>
      </c>
      <c r="C387" s="11" t="s">
        <v>164</v>
      </c>
      <c r="E387" s="8">
        <v>21498</v>
      </c>
      <c r="G387" s="6">
        <f t="shared" si="10"/>
        <v>21498</v>
      </c>
    </row>
    <row r="388" spans="1:8" hidden="1" x14ac:dyDescent="0.25">
      <c r="A388" s="17">
        <v>42670</v>
      </c>
      <c r="B388" s="10" t="s">
        <v>1404</v>
      </c>
      <c r="C388" s="11" t="s">
        <v>164</v>
      </c>
      <c r="E388" s="8">
        <v>3425</v>
      </c>
      <c r="G388" s="6">
        <f t="shared" si="10"/>
        <v>3425</v>
      </c>
    </row>
    <row r="389" spans="1:8" hidden="1" x14ac:dyDescent="0.25">
      <c r="A389" s="17">
        <v>42671</v>
      </c>
      <c r="B389" s="10" t="s">
        <v>1404</v>
      </c>
      <c r="C389" s="11" t="s">
        <v>164</v>
      </c>
      <c r="E389" s="8">
        <v>2772</v>
      </c>
      <c r="G389" s="6">
        <f t="shared" si="10"/>
        <v>2772</v>
      </c>
    </row>
    <row r="390" spans="1:8" hidden="1" x14ac:dyDescent="0.25">
      <c r="A390" s="17">
        <v>42677</v>
      </c>
      <c r="B390" s="10" t="s">
        <v>1404</v>
      </c>
      <c r="C390" s="11" t="s">
        <v>164</v>
      </c>
      <c r="F390" s="9">
        <v>300000</v>
      </c>
      <c r="G390" s="6">
        <f t="shared" si="10"/>
        <v>-300000</v>
      </c>
      <c r="H390" s="32" t="s">
        <v>1672</v>
      </c>
    </row>
    <row r="391" spans="1:8" hidden="1" x14ac:dyDescent="0.25">
      <c r="A391" s="17">
        <v>42685</v>
      </c>
      <c r="B391" s="10" t="s">
        <v>40</v>
      </c>
      <c r="C391" s="11" t="s">
        <v>169</v>
      </c>
      <c r="D391" s="784">
        <v>143</v>
      </c>
      <c r="E391" s="8">
        <v>4139</v>
      </c>
      <c r="G391" s="6">
        <f t="shared" si="10"/>
        <v>4139</v>
      </c>
    </row>
    <row r="392" spans="1:8" hidden="1"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hidden="1" x14ac:dyDescent="0.25">
      <c r="A394" s="17">
        <v>42671</v>
      </c>
      <c r="B394" s="10" t="s">
        <v>1404</v>
      </c>
      <c r="C394" s="11" t="s">
        <v>161</v>
      </c>
      <c r="D394" s="784">
        <v>341</v>
      </c>
      <c r="E394" s="8">
        <v>127293</v>
      </c>
      <c r="G394" s="6">
        <f t="shared" si="10"/>
        <v>127293</v>
      </c>
    </row>
    <row r="395" spans="1:8" hidden="1" x14ac:dyDescent="0.25">
      <c r="A395" s="17">
        <v>42671</v>
      </c>
      <c r="B395" s="10" t="s">
        <v>40</v>
      </c>
      <c r="C395" s="11" t="s">
        <v>164</v>
      </c>
      <c r="D395" s="784">
        <v>1617</v>
      </c>
      <c r="E395" s="8">
        <v>2066</v>
      </c>
      <c r="G395" s="6">
        <f t="shared" si="10"/>
        <v>2066</v>
      </c>
    </row>
    <row r="396" spans="1:8" hidden="1" x14ac:dyDescent="0.25">
      <c r="A396" s="17">
        <v>42671</v>
      </c>
      <c r="B396" s="10" t="s">
        <v>1404</v>
      </c>
      <c r="C396" s="11" t="s">
        <v>164</v>
      </c>
      <c r="D396" s="784">
        <v>1617</v>
      </c>
      <c r="E396" s="8">
        <v>2673</v>
      </c>
      <c r="G396" s="6">
        <f t="shared" si="10"/>
        <v>2673</v>
      </c>
    </row>
    <row r="397" spans="1:8" hidden="1" x14ac:dyDescent="0.25">
      <c r="A397" s="17">
        <v>42678</v>
      </c>
      <c r="B397" s="10" t="s">
        <v>40</v>
      </c>
      <c r="C397" s="11" t="s">
        <v>161</v>
      </c>
      <c r="D397" s="784">
        <v>371</v>
      </c>
      <c r="E397" s="8">
        <v>27403</v>
      </c>
      <c r="G397" s="6">
        <f t="shared" si="10"/>
        <v>27403</v>
      </c>
    </row>
    <row r="398" spans="1:8" hidden="1" x14ac:dyDescent="0.25">
      <c r="A398" s="17">
        <v>42683</v>
      </c>
      <c r="B398" s="10" t="s">
        <v>1404</v>
      </c>
      <c r="C398" s="11" t="s">
        <v>161</v>
      </c>
      <c r="D398" s="784">
        <v>385</v>
      </c>
      <c r="E398" s="8">
        <v>2912</v>
      </c>
      <c r="G398" s="6">
        <f t="shared" si="10"/>
        <v>2912</v>
      </c>
    </row>
    <row r="399" spans="1:8" hidden="1" x14ac:dyDescent="0.25">
      <c r="A399" s="17">
        <v>42684</v>
      </c>
      <c r="B399" s="10" t="s">
        <v>969</v>
      </c>
      <c r="C399" s="11" t="s">
        <v>161</v>
      </c>
      <c r="D399" s="784">
        <v>393</v>
      </c>
      <c r="E399" s="8">
        <v>36992</v>
      </c>
      <c r="G399" s="6">
        <f t="shared" si="10"/>
        <v>36992</v>
      </c>
    </row>
    <row r="400" spans="1:8" hidden="1"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hidden="1" x14ac:dyDescent="0.25">
      <c r="A402" s="17">
        <v>42678</v>
      </c>
      <c r="B402" s="10" t="s">
        <v>1502</v>
      </c>
      <c r="C402" s="11" t="s">
        <v>166</v>
      </c>
      <c r="D402" s="784">
        <v>8227</v>
      </c>
      <c r="E402" s="8">
        <v>37550</v>
      </c>
      <c r="F402" s="9">
        <v>70</v>
      </c>
      <c r="G402" s="6">
        <f t="shared" si="10"/>
        <v>37480</v>
      </c>
    </row>
    <row r="403" spans="1:7" hidden="1" x14ac:dyDescent="0.25">
      <c r="A403" s="17">
        <v>42679</v>
      </c>
      <c r="B403" s="10" t="s">
        <v>969</v>
      </c>
      <c r="C403" s="11" t="s">
        <v>166</v>
      </c>
      <c r="D403" s="784">
        <v>8232</v>
      </c>
      <c r="E403" s="8">
        <v>18750</v>
      </c>
      <c r="G403" s="6">
        <f t="shared" si="10"/>
        <v>18750</v>
      </c>
    </row>
    <row r="404" spans="1:7" hidden="1" x14ac:dyDescent="0.25">
      <c r="A404" s="17">
        <v>42691</v>
      </c>
      <c r="B404" s="10" t="s">
        <v>1404</v>
      </c>
      <c r="C404" s="11" t="s">
        <v>166</v>
      </c>
      <c r="D404" s="784">
        <v>8294</v>
      </c>
      <c r="E404" s="8">
        <v>29550</v>
      </c>
      <c r="G404" s="6">
        <f t="shared" si="10"/>
        <v>29550</v>
      </c>
    </row>
    <row r="405" spans="1:7" hidden="1" x14ac:dyDescent="0.25">
      <c r="A405" s="17">
        <v>42691</v>
      </c>
      <c r="B405" s="10" t="s">
        <v>1406</v>
      </c>
      <c r="C405" s="11" t="s">
        <v>166</v>
      </c>
      <c r="D405" s="784">
        <v>8295</v>
      </c>
      <c r="E405" s="8">
        <v>10150</v>
      </c>
      <c r="G405" s="6">
        <f t="shared" si="10"/>
        <v>10150</v>
      </c>
    </row>
    <row r="406" spans="1:7" hidden="1" x14ac:dyDescent="0.25">
      <c r="A406" s="17">
        <v>42697</v>
      </c>
      <c r="B406" s="10" t="s">
        <v>1502</v>
      </c>
      <c r="C406" s="11" t="s">
        <v>166</v>
      </c>
      <c r="D406" s="784">
        <v>8337</v>
      </c>
      <c r="E406" s="8">
        <v>16650</v>
      </c>
      <c r="G406" s="6">
        <f t="shared" si="10"/>
        <v>16650</v>
      </c>
    </row>
    <row r="407" spans="1:7" hidden="1" x14ac:dyDescent="0.25">
      <c r="A407" s="17">
        <v>42697</v>
      </c>
      <c r="B407" s="10" t="s">
        <v>40</v>
      </c>
      <c r="C407" s="11" t="s">
        <v>166</v>
      </c>
      <c r="D407" s="784">
        <v>8333</v>
      </c>
      <c r="E407" s="8">
        <v>3950</v>
      </c>
      <c r="G407" s="6">
        <f t="shared" si="10"/>
        <v>3950</v>
      </c>
    </row>
    <row r="408" spans="1:7" hidden="1" x14ac:dyDescent="0.25">
      <c r="A408" s="17">
        <v>42697</v>
      </c>
      <c r="B408" s="10" t="s">
        <v>1406</v>
      </c>
      <c r="C408" s="11" t="s">
        <v>166</v>
      </c>
      <c r="D408" s="784">
        <v>8343</v>
      </c>
      <c r="E408" s="8">
        <v>3950</v>
      </c>
      <c r="G408" s="6">
        <f t="shared" si="10"/>
        <v>3950</v>
      </c>
    </row>
    <row r="409" spans="1:7" hidden="1" x14ac:dyDescent="0.25">
      <c r="A409" s="17">
        <v>42697</v>
      </c>
      <c r="B409" s="10" t="s">
        <v>1407</v>
      </c>
      <c r="C409" s="11" t="s">
        <v>1828</v>
      </c>
      <c r="D409" s="784">
        <v>282</v>
      </c>
      <c r="E409" s="8">
        <v>625598</v>
      </c>
      <c r="G409" s="6">
        <f t="shared" si="10"/>
        <v>625598</v>
      </c>
    </row>
    <row r="410" spans="1:7" hidden="1" x14ac:dyDescent="0.25">
      <c r="A410" s="17">
        <v>42697</v>
      </c>
      <c r="B410" s="10" t="s">
        <v>1404</v>
      </c>
      <c r="C410" s="11" t="s">
        <v>166</v>
      </c>
      <c r="D410" s="784">
        <v>8349</v>
      </c>
      <c r="E410" s="8">
        <v>13550</v>
      </c>
      <c r="G410" s="6">
        <f t="shared" si="10"/>
        <v>13550</v>
      </c>
    </row>
    <row r="411" spans="1:7" hidden="1" x14ac:dyDescent="0.25">
      <c r="A411" s="17">
        <v>42703</v>
      </c>
      <c r="B411" s="10" t="s">
        <v>154</v>
      </c>
      <c r="C411" s="11" t="s">
        <v>166</v>
      </c>
      <c r="F411" s="9">
        <v>109590</v>
      </c>
      <c r="G411" s="6">
        <f t="shared" si="10"/>
        <v>-109590</v>
      </c>
    </row>
    <row r="412" spans="1:7" hidden="1" x14ac:dyDescent="0.25">
      <c r="A412" s="17">
        <v>42703</v>
      </c>
      <c r="B412" s="10" t="s">
        <v>1210</v>
      </c>
      <c r="C412" s="11" t="s">
        <v>166</v>
      </c>
      <c r="F412" s="9">
        <v>34350</v>
      </c>
      <c r="G412" s="6">
        <f t="shared" si="10"/>
        <v>-34350</v>
      </c>
    </row>
    <row r="413" spans="1:7" hidden="1" x14ac:dyDescent="0.25">
      <c r="A413" s="17">
        <v>42703</v>
      </c>
      <c r="B413" s="10" t="s">
        <v>969</v>
      </c>
      <c r="C413" s="11" t="s">
        <v>166</v>
      </c>
      <c r="F413" s="9">
        <v>31500</v>
      </c>
      <c r="G413" s="6">
        <f t="shared" si="10"/>
        <v>-31500</v>
      </c>
    </row>
    <row r="414" spans="1:7" hidden="1" x14ac:dyDescent="0.25">
      <c r="A414" s="17">
        <v>42703</v>
      </c>
      <c r="B414" s="10" t="s">
        <v>1406</v>
      </c>
      <c r="C414" s="11" t="s">
        <v>166</v>
      </c>
      <c r="F414" s="9">
        <v>24450</v>
      </c>
      <c r="G414" s="6">
        <f t="shared" si="10"/>
        <v>-24450</v>
      </c>
    </row>
    <row r="415" spans="1:7" hidden="1"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199" t="s">
        <v>1813</v>
      </c>
    </row>
    <row r="419" spans="1:8" x14ac:dyDescent="0.25">
      <c r="A419" s="17">
        <v>42706</v>
      </c>
      <c r="B419" s="10" t="s">
        <v>1222</v>
      </c>
      <c r="C419" s="11" t="s">
        <v>168</v>
      </c>
      <c r="F419" s="9">
        <v>227869</v>
      </c>
      <c r="G419" s="6">
        <f t="shared" si="10"/>
        <v>-227869</v>
      </c>
      <c r="H419" s="1200"/>
    </row>
    <row r="420" spans="1:8" hidden="1" x14ac:dyDescent="0.25">
      <c r="A420" s="17">
        <v>42711</v>
      </c>
      <c r="B420" s="10" t="s">
        <v>1818</v>
      </c>
      <c r="C420" s="11" t="s">
        <v>166</v>
      </c>
      <c r="D420" s="784">
        <v>8394</v>
      </c>
      <c r="E420" s="8">
        <v>22400</v>
      </c>
      <c r="G420" s="6">
        <f t="shared" ref="G420:G665" si="11">E420-F420</f>
        <v>22400</v>
      </c>
    </row>
    <row r="421" spans="1:8" hidden="1"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hidden="1" x14ac:dyDescent="0.25">
      <c r="A425" s="17">
        <v>42712</v>
      </c>
      <c r="B425" s="10" t="s">
        <v>1407</v>
      </c>
      <c r="C425" s="11" t="s">
        <v>1828</v>
      </c>
      <c r="F425" s="9">
        <v>500000</v>
      </c>
      <c r="G425" s="6">
        <f t="shared" si="11"/>
        <v>-500000</v>
      </c>
      <c r="H425" s="32" t="s">
        <v>2150</v>
      </c>
    </row>
    <row r="426" spans="1:8" hidden="1" x14ac:dyDescent="0.25">
      <c r="A426" s="17">
        <v>42625</v>
      </c>
      <c r="B426" s="10" t="s">
        <v>1820</v>
      </c>
      <c r="C426" s="11" t="s">
        <v>169</v>
      </c>
      <c r="D426" s="784">
        <v>166</v>
      </c>
      <c r="E426" s="8">
        <v>4800</v>
      </c>
      <c r="G426" s="6">
        <f t="shared" si="11"/>
        <v>4800</v>
      </c>
    </row>
    <row r="427" spans="1:8" hidden="1" x14ac:dyDescent="0.25">
      <c r="A427" s="17">
        <v>42625</v>
      </c>
      <c r="B427" s="10" t="s">
        <v>82</v>
      </c>
      <c r="C427" s="11" t="s">
        <v>169</v>
      </c>
      <c r="D427" s="784">
        <v>167</v>
      </c>
      <c r="E427" s="8">
        <v>62500</v>
      </c>
      <c r="G427" s="6">
        <f t="shared" si="11"/>
        <v>62500</v>
      </c>
    </row>
    <row r="428" spans="1:8" hidden="1" x14ac:dyDescent="0.25">
      <c r="A428" s="17">
        <v>42718</v>
      </c>
      <c r="B428" s="10" t="s">
        <v>40</v>
      </c>
      <c r="C428" s="11" t="s">
        <v>166</v>
      </c>
      <c r="F428" s="109">
        <v>52616</v>
      </c>
      <c r="G428" s="6">
        <f t="shared" si="11"/>
        <v>-52616</v>
      </c>
      <c r="H428" s="81"/>
    </row>
    <row r="429" spans="1:8" hidden="1" x14ac:dyDescent="0.25">
      <c r="A429" s="17">
        <v>42718</v>
      </c>
      <c r="B429" s="10" t="s">
        <v>774</v>
      </c>
      <c r="C429" s="11" t="s">
        <v>166</v>
      </c>
      <c r="F429" s="109">
        <v>58518</v>
      </c>
      <c r="G429" s="6">
        <f t="shared" si="11"/>
        <v>-58518</v>
      </c>
      <c r="H429" s="82" t="s">
        <v>1837</v>
      </c>
    </row>
    <row r="430" spans="1:8" hidden="1" x14ac:dyDescent="0.25">
      <c r="A430" s="17">
        <v>42718</v>
      </c>
      <c r="B430" s="10" t="s">
        <v>1818</v>
      </c>
      <c r="C430" s="11" t="s">
        <v>166</v>
      </c>
      <c r="F430" s="109">
        <v>22400</v>
      </c>
      <c r="G430" s="6">
        <f t="shared" si="11"/>
        <v>-22400</v>
      </c>
      <c r="H430" s="82" t="s">
        <v>1835</v>
      </c>
    </row>
    <row r="431" spans="1:8" hidden="1" x14ac:dyDescent="0.25">
      <c r="A431" s="17">
        <v>42718</v>
      </c>
      <c r="B431" s="10" t="s">
        <v>1502</v>
      </c>
      <c r="C431" s="11" t="s">
        <v>166</v>
      </c>
      <c r="F431" s="109">
        <v>30000</v>
      </c>
      <c r="G431" s="6">
        <f t="shared" si="11"/>
        <v>-30000</v>
      </c>
      <c r="H431" s="82" t="s">
        <v>1836</v>
      </c>
    </row>
    <row r="432" spans="1:8" hidden="1" x14ac:dyDescent="0.25">
      <c r="A432" s="17">
        <v>42718</v>
      </c>
      <c r="B432" s="10" t="s">
        <v>1404</v>
      </c>
      <c r="C432" s="11" t="s">
        <v>166</v>
      </c>
      <c r="F432" s="109">
        <v>20000</v>
      </c>
      <c r="G432" s="6">
        <f t="shared" si="11"/>
        <v>-20000</v>
      </c>
      <c r="H432" s="82"/>
    </row>
    <row r="433" spans="1:8" hidden="1"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201" t="s">
        <v>1839</v>
      </c>
    </row>
    <row r="439" spans="1:8" x14ac:dyDescent="0.25">
      <c r="A439" s="17">
        <v>42719</v>
      </c>
      <c r="B439" s="10" t="s">
        <v>1072</v>
      </c>
      <c r="C439" s="11" t="s">
        <v>168</v>
      </c>
      <c r="F439" s="9">
        <v>22800</v>
      </c>
      <c r="G439" s="6">
        <f t="shared" si="11"/>
        <v>-22800</v>
      </c>
      <c r="H439" s="1201"/>
    </row>
    <row r="440" spans="1:8" x14ac:dyDescent="0.25">
      <c r="A440" s="17">
        <v>42719</v>
      </c>
      <c r="B440" s="10" t="s">
        <v>1406</v>
      </c>
      <c r="C440" s="11" t="s">
        <v>168</v>
      </c>
      <c r="F440" s="9">
        <v>55320</v>
      </c>
      <c r="G440" s="6">
        <f t="shared" si="11"/>
        <v>-55320</v>
      </c>
      <c r="H440" s="1201"/>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hidden="1" x14ac:dyDescent="0.25">
      <c r="A445" s="17">
        <v>42721</v>
      </c>
      <c r="B445" s="10" t="s">
        <v>82</v>
      </c>
      <c r="C445" s="11" t="s">
        <v>169</v>
      </c>
      <c r="F445" s="9">
        <v>62500</v>
      </c>
      <c r="G445" s="6">
        <f t="shared" si="11"/>
        <v>-62500</v>
      </c>
      <c r="H445" s="32" t="s">
        <v>1848</v>
      </c>
    </row>
    <row r="446" spans="1:8" hidden="1" x14ac:dyDescent="0.25">
      <c r="A446" s="17">
        <v>42709</v>
      </c>
      <c r="B446" s="10" t="s">
        <v>1404</v>
      </c>
      <c r="C446" s="11" t="s">
        <v>164</v>
      </c>
      <c r="D446" s="784">
        <v>2497</v>
      </c>
      <c r="E446" s="8">
        <v>15015</v>
      </c>
      <c r="G446" s="6">
        <f t="shared" si="11"/>
        <v>15015</v>
      </c>
    </row>
    <row r="447" spans="1:8" hidden="1" x14ac:dyDescent="0.25">
      <c r="A447" s="17">
        <v>42713</v>
      </c>
      <c r="B447" s="10" t="s">
        <v>1404</v>
      </c>
      <c r="C447" s="11" t="s">
        <v>164</v>
      </c>
      <c r="D447" s="784">
        <v>2594</v>
      </c>
      <c r="E447" s="8">
        <v>1646</v>
      </c>
      <c r="G447" s="6">
        <f t="shared" si="11"/>
        <v>1646</v>
      </c>
    </row>
    <row r="448" spans="1:8" hidden="1" x14ac:dyDescent="0.25">
      <c r="A448" s="17">
        <v>42713</v>
      </c>
      <c r="B448" s="10" t="s">
        <v>1404</v>
      </c>
      <c r="C448" s="11" t="s">
        <v>164</v>
      </c>
      <c r="F448" s="9">
        <v>500000</v>
      </c>
      <c r="G448" s="6">
        <f t="shared" si="11"/>
        <v>-500000</v>
      </c>
      <c r="H448" s="32" t="s">
        <v>1689</v>
      </c>
    </row>
    <row r="449" spans="1:8" hidden="1" x14ac:dyDescent="0.25">
      <c r="A449" s="17">
        <v>42723</v>
      </c>
      <c r="B449" s="10" t="s">
        <v>1404</v>
      </c>
      <c r="C449" s="11" t="s">
        <v>164</v>
      </c>
      <c r="D449" s="784">
        <v>2770</v>
      </c>
      <c r="E449" s="8">
        <v>121</v>
      </c>
      <c r="G449" s="6">
        <f t="shared" si="11"/>
        <v>121</v>
      </c>
    </row>
    <row r="450" spans="1:8" hidden="1" x14ac:dyDescent="0.25">
      <c r="A450" s="17">
        <v>42721</v>
      </c>
      <c r="B450" s="10" t="s">
        <v>1404</v>
      </c>
      <c r="C450" s="11" t="s">
        <v>164</v>
      </c>
      <c r="D450" s="784">
        <v>2746</v>
      </c>
      <c r="E450" s="8">
        <v>281</v>
      </c>
      <c r="G450" s="6">
        <f t="shared" si="11"/>
        <v>281</v>
      </c>
    </row>
    <row r="451" spans="1:8" hidden="1" x14ac:dyDescent="0.25">
      <c r="A451" s="17">
        <v>42724</v>
      </c>
      <c r="B451" s="10" t="s">
        <v>1404</v>
      </c>
      <c r="C451" s="11" t="s">
        <v>164</v>
      </c>
      <c r="D451" s="784">
        <v>2803</v>
      </c>
      <c r="E451" s="8">
        <v>13067</v>
      </c>
      <c r="G451" s="6">
        <f t="shared" si="11"/>
        <v>13067</v>
      </c>
    </row>
    <row r="452" spans="1:8" hidden="1" x14ac:dyDescent="0.25">
      <c r="A452" s="17">
        <v>42731</v>
      </c>
      <c r="B452" s="10" t="s">
        <v>1404</v>
      </c>
      <c r="C452" s="11" t="s">
        <v>164</v>
      </c>
      <c r="D452" s="784">
        <v>2730</v>
      </c>
      <c r="E452" s="8">
        <v>281</v>
      </c>
      <c r="G452" s="6">
        <f t="shared" si="11"/>
        <v>281</v>
      </c>
    </row>
    <row r="453" spans="1:8" hidden="1" x14ac:dyDescent="0.25">
      <c r="A453" s="17">
        <v>42728</v>
      </c>
      <c r="B453" s="10" t="s">
        <v>40</v>
      </c>
      <c r="C453" s="11" t="s">
        <v>161</v>
      </c>
      <c r="D453" s="784">
        <v>430</v>
      </c>
      <c r="E453" s="8">
        <v>15578</v>
      </c>
      <c r="G453" s="6">
        <f t="shared" si="11"/>
        <v>15578</v>
      </c>
    </row>
    <row r="454" spans="1:8" hidden="1" x14ac:dyDescent="0.25">
      <c r="A454" s="17">
        <v>42707</v>
      </c>
      <c r="B454" s="10" t="s">
        <v>1502</v>
      </c>
      <c r="C454" s="11" t="s">
        <v>166</v>
      </c>
      <c r="D454" s="784">
        <v>8378</v>
      </c>
      <c r="E454" s="8">
        <v>16750</v>
      </c>
      <c r="G454" s="6">
        <f t="shared" si="11"/>
        <v>16750</v>
      </c>
    </row>
    <row r="455" spans="1:8" hidden="1" x14ac:dyDescent="0.25">
      <c r="A455" s="17">
        <v>42728</v>
      </c>
      <c r="B455" s="10" t="s">
        <v>1818</v>
      </c>
      <c r="C455" s="11" t="s">
        <v>166</v>
      </c>
      <c r="D455" s="784">
        <v>8435</v>
      </c>
      <c r="E455" s="8">
        <v>31050</v>
      </c>
      <c r="G455" s="6">
        <f t="shared" si="11"/>
        <v>31050</v>
      </c>
    </row>
    <row r="456" spans="1:8" hidden="1" x14ac:dyDescent="0.25">
      <c r="A456" s="17">
        <v>42728</v>
      </c>
      <c r="B456" s="10" t="s">
        <v>1222</v>
      </c>
      <c r="C456" s="11" t="s">
        <v>166</v>
      </c>
      <c r="D456" s="784">
        <v>8519</v>
      </c>
      <c r="E456" s="8">
        <v>65200</v>
      </c>
      <c r="G456" s="6">
        <f t="shared" si="11"/>
        <v>65200</v>
      </c>
    </row>
    <row r="457" spans="1:8" hidden="1" x14ac:dyDescent="0.25">
      <c r="A457" s="17">
        <v>42738</v>
      </c>
      <c r="B457" s="10" t="s">
        <v>1407</v>
      </c>
      <c r="C457" s="11" t="s">
        <v>1828</v>
      </c>
      <c r="D457" s="784">
        <v>310</v>
      </c>
      <c r="E457" s="8">
        <v>64607</v>
      </c>
      <c r="G457" s="6">
        <f t="shared" si="11"/>
        <v>64607</v>
      </c>
    </row>
    <row r="458" spans="1:8" hidden="1" x14ac:dyDescent="0.25">
      <c r="A458" s="17">
        <v>42741</v>
      </c>
      <c r="B458" s="10" t="s">
        <v>40</v>
      </c>
      <c r="C458" s="11" t="s">
        <v>161</v>
      </c>
      <c r="D458" s="784">
        <v>527</v>
      </c>
      <c r="E458" s="8">
        <v>6960</v>
      </c>
      <c r="G458" s="6">
        <f t="shared" si="11"/>
        <v>6960</v>
      </c>
    </row>
    <row r="459" spans="1:8" hidden="1" x14ac:dyDescent="0.25">
      <c r="A459" s="17">
        <v>42741</v>
      </c>
      <c r="B459" s="10" t="s">
        <v>969</v>
      </c>
      <c r="C459" s="11" t="s">
        <v>166</v>
      </c>
      <c r="D459" s="784">
        <v>527</v>
      </c>
      <c r="E459" s="8">
        <v>2000</v>
      </c>
      <c r="G459" s="6">
        <f t="shared" si="11"/>
        <v>2000</v>
      </c>
    </row>
    <row r="460" spans="1:8" hidden="1" x14ac:dyDescent="0.25">
      <c r="A460" s="17">
        <v>42741</v>
      </c>
      <c r="B460" s="10" t="s">
        <v>1407</v>
      </c>
      <c r="C460" s="11" t="s">
        <v>1828</v>
      </c>
      <c r="D460" s="784">
        <v>313</v>
      </c>
      <c r="E460" s="8">
        <v>41277</v>
      </c>
      <c r="G460" s="6">
        <f t="shared" si="11"/>
        <v>41277</v>
      </c>
    </row>
    <row r="461" spans="1:8" hidden="1"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hidden="1"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hidden="1" x14ac:dyDescent="0.25">
      <c r="A466" s="17">
        <v>42718</v>
      </c>
      <c r="B466" s="10" t="s">
        <v>1404</v>
      </c>
      <c r="C466" s="11" t="s">
        <v>169</v>
      </c>
      <c r="D466" s="784">
        <v>173</v>
      </c>
      <c r="E466" s="8">
        <v>6820</v>
      </c>
      <c r="G466" s="6">
        <f t="shared" si="11"/>
        <v>6820</v>
      </c>
    </row>
    <row r="467" spans="1:8" hidden="1" x14ac:dyDescent="0.25">
      <c r="A467" s="17">
        <v>42723</v>
      </c>
      <c r="B467" s="10" t="s">
        <v>40</v>
      </c>
      <c r="C467" s="11" t="s">
        <v>169</v>
      </c>
      <c r="D467" s="784">
        <v>184</v>
      </c>
      <c r="E467" s="8">
        <v>8338</v>
      </c>
      <c r="G467" s="6">
        <f t="shared" si="11"/>
        <v>8338</v>
      </c>
    </row>
    <row r="468" spans="1:8" hidden="1" x14ac:dyDescent="0.25">
      <c r="A468" s="17">
        <v>42739</v>
      </c>
      <c r="B468" s="10" t="s">
        <v>1222</v>
      </c>
      <c r="C468" s="11" t="s">
        <v>169</v>
      </c>
      <c r="D468" s="784">
        <v>198</v>
      </c>
      <c r="E468" s="8">
        <v>9600</v>
      </c>
      <c r="G468" s="6">
        <f t="shared" si="11"/>
        <v>9600</v>
      </c>
    </row>
    <row r="469" spans="1:8" hidden="1" x14ac:dyDescent="0.25">
      <c r="A469" s="17">
        <v>42746</v>
      </c>
      <c r="B469" s="10" t="s">
        <v>40</v>
      </c>
      <c r="C469" s="11" t="s">
        <v>169</v>
      </c>
      <c r="D469" s="784">
        <v>208</v>
      </c>
      <c r="E469" s="8">
        <v>18880</v>
      </c>
      <c r="G469" s="6">
        <f t="shared" si="11"/>
        <v>18880</v>
      </c>
    </row>
    <row r="470" spans="1:8" hidden="1" x14ac:dyDescent="0.25">
      <c r="A470" s="17">
        <v>42739</v>
      </c>
      <c r="B470" s="10" t="s">
        <v>40</v>
      </c>
      <c r="C470" s="11" t="s">
        <v>161</v>
      </c>
      <c r="D470" s="784">
        <v>545</v>
      </c>
      <c r="E470" s="8">
        <v>4156</v>
      </c>
      <c r="G470" s="6">
        <f t="shared" si="11"/>
        <v>4156</v>
      </c>
    </row>
    <row r="471" spans="1:8" hidden="1" x14ac:dyDescent="0.25">
      <c r="A471" s="17">
        <v>42739</v>
      </c>
      <c r="B471" s="10" t="s">
        <v>969</v>
      </c>
      <c r="C471" s="11" t="s">
        <v>161</v>
      </c>
      <c r="D471" s="784">
        <v>545</v>
      </c>
      <c r="E471" s="8">
        <v>13000</v>
      </c>
      <c r="G471" s="6">
        <f t="shared" si="11"/>
        <v>13000</v>
      </c>
    </row>
    <row r="472" spans="1:8" hidden="1" x14ac:dyDescent="0.25">
      <c r="A472" s="17">
        <v>42726</v>
      </c>
      <c r="B472" s="10" t="s">
        <v>40</v>
      </c>
      <c r="C472" s="11" t="s">
        <v>164</v>
      </c>
      <c r="D472" s="784">
        <v>2854</v>
      </c>
      <c r="E472" s="8">
        <v>5460</v>
      </c>
      <c r="G472" s="6">
        <f t="shared" si="11"/>
        <v>5460</v>
      </c>
    </row>
    <row r="473" spans="1:8" hidden="1" x14ac:dyDescent="0.25">
      <c r="A473" s="17">
        <v>42731</v>
      </c>
      <c r="B473" s="10" t="s">
        <v>1404</v>
      </c>
      <c r="C473" s="11" t="s">
        <v>164</v>
      </c>
      <c r="D473" s="784">
        <v>2957</v>
      </c>
      <c r="E473" s="8">
        <v>7480</v>
      </c>
      <c r="G473" s="6">
        <f t="shared" si="11"/>
        <v>7480</v>
      </c>
    </row>
    <row r="474" spans="1:8" hidden="1" x14ac:dyDescent="0.25">
      <c r="A474" s="17">
        <v>42738</v>
      </c>
      <c r="B474" s="10" t="s">
        <v>1406</v>
      </c>
      <c r="C474" s="11" t="s">
        <v>164</v>
      </c>
      <c r="D474" s="784">
        <v>3086</v>
      </c>
      <c r="E474" s="8">
        <v>1067</v>
      </c>
      <c r="G474" s="6">
        <f t="shared" si="11"/>
        <v>1067</v>
      </c>
    </row>
    <row r="475" spans="1:8" hidden="1" x14ac:dyDescent="0.25">
      <c r="A475" s="17">
        <v>42738</v>
      </c>
      <c r="B475" s="10" t="s">
        <v>40</v>
      </c>
      <c r="C475" s="11" t="s">
        <v>164</v>
      </c>
      <c r="D475" s="784">
        <v>3087</v>
      </c>
      <c r="E475" s="112">
        <v>3797</v>
      </c>
      <c r="F475" s="220"/>
      <c r="G475" s="6">
        <f t="shared" ref="G475" si="12">E475-F475</f>
        <v>3797</v>
      </c>
    </row>
    <row r="476" spans="1:8" hidden="1" x14ac:dyDescent="0.25">
      <c r="A476" s="17">
        <v>42759</v>
      </c>
      <c r="B476" s="10" t="s">
        <v>1094</v>
      </c>
      <c r="C476" s="11" t="s">
        <v>161</v>
      </c>
      <c r="E476" s="112"/>
      <c r="F476" s="113">
        <v>11240</v>
      </c>
      <c r="G476" s="6">
        <f t="shared" si="11"/>
        <v>-11240</v>
      </c>
      <c r="H476" s="81"/>
    </row>
    <row r="477" spans="1:8" hidden="1" x14ac:dyDescent="0.25">
      <c r="A477" s="17">
        <v>42759</v>
      </c>
      <c r="B477" s="10" t="s">
        <v>38</v>
      </c>
      <c r="C477" s="11" t="s">
        <v>161</v>
      </c>
      <c r="E477" s="112"/>
      <c r="F477" s="114">
        <v>9551</v>
      </c>
      <c r="G477" s="6">
        <f t="shared" si="11"/>
        <v>-9551</v>
      </c>
      <c r="H477" s="82" t="s">
        <v>2053</v>
      </c>
    </row>
    <row r="478" spans="1:8" hidden="1" x14ac:dyDescent="0.25">
      <c r="A478" s="17">
        <v>42759</v>
      </c>
      <c r="B478" s="10" t="s">
        <v>969</v>
      </c>
      <c r="C478" s="11" t="s">
        <v>161</v>
      </c>
      <c r="E478" s="112"/>
      <c r="F478" s="114">
        <v>49992</v>
      </c>
      <c r="G478" s="6">
        <f t="shared" si="11"/>
        <v>-49992</v>
      </c>
      <c r="H478" s="82" t="s">
        <v>2054</v>
      </c>
    </row>
    <row r="479" spans="1:8" hidden="1" x14ac:dyDescent="0.25">
      <c r="A479" s="17">
        <v>42759</v>
      </c>
      <c r="B479" s="10" t="s">
        <v>1404</v>
      </c>
      <c r="C479" s="11" t="s">
        <v>161</v>
      </c>
      <c r="E479" s="112"/>
      <c r="F479" s="114">
        <v>130205</v>
      </c>
      <c r="G479" s="6">
        <f t="shared" si="11"/>
        <v>-130205</v>
      </c>
      <c r="H479" s="82"/>
    </row>
    <row r="480" spans="1:8" hidden="1" x14ac:dyDescent="0.25">
      <c r="A480" s="17">
        <v>42759</v>
      </c>
      <c r="B480" s="10" t="s">
        <v>40</v>
      </c>
      <c r="C480" s="11" t="s">
        <v>161</v>
      </c>
      <c r="E480" s="112"/>
      <c r="F480" s="115">
        <v>99012</v>
      </c>
      <c r="G480" s="6">
        <f t="shared" si="11"/>
        <v>-99012</v>
      </c>
      <c r="H480" s="83"/>
    </row>
    <row r="481" spans="1:8" hidden="1" x14ac:dyDescent="0.25">
      <c r="A481" s="17">
        <v>42759</v>
      </c>
      <c r="B481" s="10" t="s">
        <v>1502</v>
      </c>
      <c r="C481" s="11" t="s">
        <v>166</v>
      </c>
      <c r="E481" s="112"/>
      <c r="F481" s="113">
        <v>70650</v>
      </c>
      <c r="G481" s="6">
        <f t="shared" si="11"/>
        <v>-70650</v>
      </c>
      <c r="H481" s="81"/>
    </row>
    <row r="482" spans="1:8" hidden="1" x14ac:dyDescent="0.25">
      <c r="A482" s="17">
        <v>42759</v>
      </c>
      <c r="B482" s="10" t="s">
        <v>969</v>
      </c>
      <c r="C482" s="11" t="s">
        <v>166</v>
      </c>
      <c r="E482" s="112"/>
      <c r="F482" s="114">
        <v>2000</v>
      </c>
      <c r="G482" s="6">
        <f t="shared" si="11"/>
        <v>-2000</v>
      </c>
      <c r="H482" s="82" t="s">
        <v>2055</v>
      </c>
    </row>
    <row r="483" spans="1:8" hidden="1" x14ac:dyDescent="0.25">
      <c r="A483" s="17">
        <v>42759</v>
      </c>
      <c r="B483" s="10" t="s">
        <v>1818</v>
      </c>
      <c r="C483" s="11" t="s">
        <v>166</v>
      </c>
      <c r="E483" s="112"/>
      <c r="F483" s="114">
        <v>31050</v>
      </c>
      <c r="G483" s="6">
        <f t="shared" si="11"/>
        <v>-31050</v>
      </c>
      <c r="H483" s="82" t="s">
        <v>2054</v>
      </c>
    </row>
    <row r="484" spans="1:8" hidden="1" x14ac:dyDescent="0.25">
      <c r="A484" s="17">
        <v>42759</v>
      </c>
      <c r="B484" s="10" t="s">
        <v>1404</v>
      </c>
      <c r="C484" s="11" t="s">
        <v>166</v>
      </c>
      <c r="E484" s="112"/>
      <c r="F484" s="114">
        <v>96300</v>
      </c>
      <c r="G484" s="6">
        <f t="shared" si="11"/>
        <v>-96300</v>
      </c>
      <c r="H484" s="82"/>
    </row>
    <row r="485" spans="1:8" hidden="1" x14ac:dyDescent="0.25">
      <c r="A485" s="17">
        <v>42759</v>
      </c>
      <c r="B485" s="10" t="s">
        <v>1222</v>
      </c>
      <c r="C485" s="11" t="s">
        <v>166</v>
      </c>
      <c r="E485" s="112"/>
      <c r="F485" s="115">
        <v>100000</v>
      </c>
      <c r="G485" s="6">
        <f t="shared" si="11"/>
        <v>-100000</v>
      </c>
      <c r="H485" s="83"/>
    </row>
    <row r="486" spans="1:8" hidden="1" x14ac:dyDescent="0.25">
      <c r="A486" s="17">
        <v>42738</v>
      </c>
      <c r="B486" s="10" t="s">
        <v>1818</v>
      </c>
      <c r="C486" s="11" t="s">
        <v>166</v>
      </c>
      <c r="D486" s="784">
        <v>8534</v>
      </c>
      <c r="E486" s="8">
        <v>4575</v>
      </c>
      <c r="G486" s="6">
        <f t="shared" si="11"/>
        <v>4575</v>
      </c>
    </row>
    <row r="487" spans="1:8" hidden="1" x14ac:dyDescent="0.25">
      <c r="A487" s="17">
        <v>42739</v>
      </c>
      <c r="B487" s="10" t="s">
        <v>1818</v>
      </c>
      <c r="C487" s="11" t="s">
        <v>166</v>
      </c>
      <c r="D487" s="784">
        <v>8552</v>
      </c>
      <c r="E487" s="8">
        <v>9000</v>
      </c>
      <c r="G487" s="6">
        <f t="shared" si="11"/>
        <v>9000</v>
      </c>
    </row>
    <row r="488" spans="1:8" hidden="1" x14ac:dyDescent="0.25">
      <c r="A488" s="17">
        <v>42756</v>
      </c>
      <c r="B488" s="10" t="s">
        <v>1222</v>
      </c>
      <c r="C488" s="11" t="s">
        <v>166</v>
      </c>
      <c r="D488" s="784">
        <v>8662</v>
      </c>
      <c r="E488" s="8">
        <v>18860</v>
      </c>
      <c r="G488" s="6">
        <f t="shared" si="11"/>
        <v>18860</v>
      </c>
    </row>
    <row r="489" spans="1:8" hidden="1" x14ac:dyDescent="0.25">
      <c r="A489" s="17">
        <v>42758</v>
      </c>
      <c r="B489" s="10" t="s">
        <v>1818</v>
      </c>
      <c r="C489" s="11" t="s">
        <v>166</v>
      </c>
      <c r="D489" s="784">
        <v>8627</v>
      </c>
      <c r="E489" s="8">
        <v>5598</v>
      </c>
      <c r="G489" s="6">
        <f t="shared" si="11"/>
        <v>5598</v>
      </c>
    </row>
    <row r="490" spans="1:8" hidden="1" x14ac:dyDescent="0.25">
      <c r="A490" s="17">
        <v>42763</v>
      </c>
      <c r="B490" s="10" t="s">
        <v>1818</v>
      </c>
      <c r="C490" s="11" t="s">
        <v>166</v>
      </c>
      <c r="D490" s="784">
        <v>8671</v>
      </c>
      <c r="E490" s="8">
        <v>6000</v>
      </c>
      <c r="G490" s="6">
        <f t="shared" si="11"/>
        <v>6000</v>
      </c>
    </row>
    <row r="491" spans="1:8" hidden="1" x14ac:dyDescent="0.25">
      <c r="A491" s="17">
        <v>42765</v>
      </c>
      <c r="B491" s="10" t="s">
        <v>1818</v>
      </c>
      <c r="C491" s="11" t="s">
        <v>166</v>
      </c>
      <c r="D491" s="784">
        <v>8674</v>
      </c>
      <c r="E491" s="8">
        <v>6300</v>
      </c>
      <c r="G491" s="6">
        <f t="shared" si="11"/>
        <v>6300</v>
      </c>
    </row>
    <row r="492" spans="1:8" hidden="1" x14ac:dyDescent="0.25">
      <c r="A492" s="17">
        <v>42597</v>
      </c>
      <c r="B492" s="10" t="s">
        <v>40</v>
      </c>
      <c r="C492" s="11" t="s">
        <v>180</v>
      </c>
      <c r="D492" s="784">
        <v>7302</v>
      </c>
      <c r="E492" s="8">
        <v>48000</v>
      </c>
      <c r="G492" s="6">
        <f t="shared" si="11"/>
        <v>48000</v>
      </c>
    </row>
    <row r="493" spans="1:8" hidden="1" x14ac:dyDescent="0.25">
      <c r="A493" s="17">
        <v>42600</v>
      </c>
      <c r="B493" s="10" t="s">
        <v>40</v>
      </c>
      <c r="C493" s="11" t="s">
        <v>180</v>
      </c>
      <c r="D493" s="784">
        <v>7322</v>
      </c>
      <c r="E493" s="8">
        <v>24000</v>
      </c>
      <c r="G493" s="6">
        <f t="shared" si="11"/>
        <v>24000</v>
      </c>
    </row>
    <row r="494" spans="1:8" hidden="1" x14ac:dyDescent="0.25">
      <c r="A494" s="17">
        <v>42601</v>
      </c>
      <c r="B494" s="10" t="s">
        <v>40</v>
      </c>
      <c r="C494" s="11" t="s">
        <v>180</v>
      </c>
      <c r="D494" s="784">
        <v>7325</v>
      </c>
      <c r="E494" s="8">
        <v>16276</v>
      </c>
      <c r="G494" s="6">
        <f t="shared" si="11"/>
        <v>16276</v>
      </c>
    </row>
    <row r="495" spans="1:8" hidden="1" x14ac:dyDescent="0.25">
      <c r="A495" s="17">
        <v>42601</v>
      </c>
      <c r="B495" s="10" t="s">
        <v>40</v>
      </c>
      <c r="C495" s="11" t="s">
        <v>180</v>
      </c>
      <c r="D495" s="784">
        <v>7326</v>
      </c>
      <c r="E495" s="8">
        <v>37100</v>
      </c>
      <c r="G495" s="6">
        <f t="shared" si="11"/>
        <v>37100</v>
      </c>
    </row>
    <row r="496" spans="1:8" hidden="1" x14ac:dyDescent="0.25">
      <c r="A496" s="17">
        <v>42641</v>
      </c>
      <c r="B496" s="10" t="s">
        <v>1404</v>
      </c>
      <c r="C496" s="11" t="s">
        <v>180</v>
      </c>
      <c r="D496" s="784">
        <v>7397</v>
      </c>
      <c r="E496" s="8">
        <v>47720</v>
      </c>
      <c r="G496" s="6">
        <f t="shared" si="11"/>
        <v>47720</v>
      </c>
    </row>
    <row r="497" spans="1:7" hidden="1" x14ac:dyDescent="0.25">
      <c r="A497" s="17">
        <v>42641</v>
      </c>
      <c r="B497" s="10" t="s">
        <v>1404</v>
      </c>
      <c r="C497" s="11" t="s">
        <v>180</v>
      </c>
      <c r="D497" s="784">
        <v>7395</v>
      </c>
      <c r="E497" s="8">
        <v>75900</v>
      </c>
      <c r="G497" s="6">
        <f t="shared" si="11"/>
        <v>75900</v>
      </c>
    </row>
    <row r="498" spans="1:7" hidden="1" x14ac:dyDescent="0.25">
      <c r="A498" s="17">
        <v>42641</v>
      </c>
      <c r="B498" s="10" t="s">
        <v>40</v>
      </c>
      <c r="C498" s="11" t="s">
        <v>180</v>
      </c>
      <c r="D498" s="784">
        <v>7396</v>
      </c>
      <c r="E498" s="8">
        <v>11200</v>
      </c>
      <c r="G498" s="6">
        <f t="shared" si="11"/>
        <v>11200</v>
      </c>
    </row>
    <row r="499" spans="1:7" hidden="1" x14ac:dyDescent="0.25">
      <c r="A499" s="17">
        <v>42683</v>
      </c>
      <c r="B499" s="10" t="s">
        <v>1688</v>
      </c>
      <c r="C499" s="11" t="s">
        <v>180</v>
      </c>
      <c r="D499" s="784">
        <v>7484</v>
      </c>
      <c r="E499" s="8">
        <v>20020</v>
      </c>
      <c r="G499" s="6">
        <f t="shared" si="11"/>
        <v>20020</v>
      </c>
    </row>
    <row r="500" spans="1:7" hidden="1" x14ac:dyDescent="0.25">
      <c r="A500" s="17">
        <v>42704</v>
      </c>
      <c r="B500" s="10" t="s">
        <v>1404</v>
      </c>
      <c r="C500" s="11" t="s">
        <v>180</v>
      </c>
      <c r="D500" s="784">
        <v>7528</v>
      </c>
      <c r="E500" s="8">
        <v>16800</v>
      </c>
      <c r="G500" s="6">
        <f t="shared" si="11"/>
        <v>16800</v>
      </c>
    </row>
    <row r="501" spans="1:7" hidden="1" x14ac:dyDescent="0.25">
      <c r="A501" s="17">
        <v>42741</v>
      </c>
      <c r="B501" s="10" t="s">
        <v>1688</v>
      </c>
      <c r="C501" s="11" t="s">
        <v>180</v>
      </c>
      <c r="D501" s="784">
        <v>7628</v>
      </c>
      <c r="E501" s="8">
        <v>11980</v>
      </c>
      <c r="G501" s="6">
        <f t="shared" si="11"/>
        <v>11980</v>
      </c>
    </row>
    <row r="502" spans="1:7" hidden="1" x14ac:dyDescent="0.25">
      <c r="A502" s="17">
        <v>42741</v>
      </c>
      <c r="B502" s="10" t="s">
        <v>1688</v>
      </c>
      <c r="C502" s="11" t="s">
        <v>180</v>
      </c>
      <c r="D502" s="784">
        <v>7629</v>
      </c>
      <c r="E502" s="8">
        <v>17550</v>
      </c>
      <c r="G502" s="6">
        <f t="shared" si="11"/>
        <v>17550</v>
      </c>
    </row>
    <row r="503" spans="1:7" hidden="1" x14ac:dyDescent="0.25">
      <c r="A503" s="17">
        <v>42758</v>
      </c>
      <c r="B503" s="10" t="s">
        <v>1404</v>
      </c>
      <c r="C503" s="11" t="s">
        <v>180</v>
      </c>
      <c r="D503" s="784">
        <v>7660</v>
      </c>
      <c r="E503" s="8">
        <v>30872</v>
      </c>
      <c r="G503" s="6">
        <f t="shared" si="11"/>
        <v>30872</v>
      </c>
    </row>
    <row r="504" spans="1:7" hidden="1" x14ac:dyDescent="0.25">
      <c r="A504" s="17">
        <v>42774</v>
      </c>
      <c r="B504" s="10" t="s">
        <v>1404</v>
      </c>
      <c r="C504" s="11" t="s">
        <v>180</v>
      </c>
      <c r="D504" s="784">
        <v>7693</v>
      </c>
      <c r="E504" s="8">
        <v>272620</v>
      </c>
      <c r="G504" s="6">
        <f t="shared" si="11"/>
        <v>272620</v>
      </c>
    </row>
    <row r="505" spans="1:7" hidden="1" x14ac:dyDescent="0.25">
      <c r="A505" s="17">
        <v>42775</v>
      </c>
      <c r="B505" s="10" t="s">
        <v>1407</v>
      </c>
      <c r="C505" s="11" t="s">
        <v>1828</v>
      </c>
      <c r="D505" s="784">
        <v>331</v>
      </c>
      <c r="E505" s="8">
        <v>122171</v>
      </c>
      <c r="G505" s="6">
        <f t="shared" si="11"/>
        <v>122171</v>
      </c>
    </row>
    <row r="506" spans="1:7" hidden="1" x14ac:dyDescent="0.25">
      <c r="A506" s="17">
        <v>42775</v>
      </c>
      <c r="B506" s="10" t="s">
        <v>1407</v>
      </c>
      <c r="C506" s="11" t="s">
        <v>1828</v>
      </c>
      <c r="D506" s="784">
        <v>334</v>
      </c>
      <c r="E506" s="8">
        <v>24483</v>
      </c>
      <c r="G506" s="6">
        <f t="shared" si="11"/>
        <v>24483</v>
      </c>
    </row>
    <row r="507" spans="1:7" hidden="1" x14ac:dyDescent="0.25">
      <c r="A507" s="17">
        <v>42775</v>
      </c>
      <c r="B507" s="10" t="s">
        <v>1407</v>
      </c>
      <c r="C507" s="11" t="s">
        <v>1828</v>
      </c>
      <c r="D507" s="784">
        <v>336</v>
      </c>
      <c r="E507" s="8">
        <v>5304</v>
      </c>
      <c r="G507" s="6">
        <f t="shared" si="11"/>
        <v>5304</v>
      </c>
    </row>
    <row r="508" spans="1:7" hidden="1" x14ac:dyDescent="0.25">
      <c r="A508" s="17">
        <v>42775</v>
      </c>
      <c r="B508" s="10" t="s">
        <v>1818</v>
      </c>
      <c r="C508" s="11" t="s">
        <v>1828</v>
      </c>
      <c r="D508" s="784">
        <v>340</v>
      </c>
      <c r="E508" s="231">
        <v>69000</v>
      </c>
      <c r="G508" s="6">
        <f t="shared" si="11"/>
        <v>69000</v>
      </c>
    </row>
    <row r="509" spans="1:7" hidden="1" x14ac:dyDescent="0.25">
      <c r="A509" s="17">
        <v>42767</v>
      </c>
      <c r="B509" s="10" t="s">
        <v>40</v>
      </c>
      <c r="C509" s="11" t="s">
        <v>164</v>
      </c>
      <c r="D509" s="784">
        <v>3619</v>
      </c>
      <c r="E509" s="8">
        <v>4682</v>
      </c>
      <c r="G509" s="6">
        <f t="shared" si="11"/>
        <v>4682</v>
      </c>
    </row>
    <row r="510" spans="1:7" hidden="1" x14ac:dyDescent="0.25">
      <c r="A510" s="17">
        <v>42767</v>
      </c>
      <c r="B510" s="10" t="s">
        <v>1703</v>
      </c>
      <c r="C510" s="11" t="s">
        <v>164</v>
      </c>
      <c r="D510" s="784">
        <v>3579</v>
      </c>
      <c r="E510" s="8">
        <v>6925</v>
      </c>
      <c r="G510" s="6">
        <f t="shared" si="11"/>
        <v>6925</v>
      </c>
    </row>
    <row r="511" spans="1:7" hidden="1" x14ac:dyDescent="0.25">
      <c r="A511" s="17">
        <v>42760</v>
      </c>
      <c r="B511" s="10" t="s">
        <v>1818</v>
      </c>
      <c r="C511" s="11" t="s">
        <v>161</v>
      </c>
      <c r="D511" s="784">
        <v>596</v>
      </c>
      <c r="E511" s="8">
        <v>1500</v>
      </c>
      <c r="G511" s="6">
        <f t="shared" si="11"/>
        <v>1500</v>
      </c>
    </row>
    <row r="512" spans="1:7" hidden="1" x14ac:dyDescent="0.25">
      <c r="A512" s="17">
        <v>42760</v>
      </c>
      <c r="B512" s="10" t="s">
        <v>40</v>
      </c>
      <c r="C512" s="11" t="s">
        <v>161</v>
      </c>
      <c r="D512" s="784">
        <v>596</v>
      </c>
      <c r="E512" s="8">
        <v>22924</v>
      </c>
      <c r="G512" s="6">
        <f t="shared" si="11"/>
        <v>22924</v>
      </c>
    </row>
    <row r="513" spans="1:8" hidden="1" x14ac:dyDescent="0.25">
      <c r="A513" s="17">
        <v>42770</v>
      </c>
      <c r="B513" s="10" t="s">
        <v>1404</v>
      </c>
      <c r="C513" s="11" t="s">
        <v>164</v>
      </c>
      <c r="D513" s="784">
        <v>3688</v>
      </c>
      <c r="E513" s="8">
        <v>29229</v>
      </c>
      <c r="G513" s="6">
        <f t="shared" si="11"/>
        <v>29229</v>
      </c>
    </row>
    <row r="514" spans="1:8" hidden="1" x14ac:dyDescent="0.25">
      <c r="A514" s="17">
        <v>42774</v>
      </c>
      <c r="B514" s="10" t="s">
        <v>1703</v>
      </c>
      <c r="C514" s="11" t="s">
        <v>164</v>
      </c>
      <c r="D514" s="784">
        <v>3769</v>
      </c>
      <c r="E514" s="8">
        <v>3091</v>
      </c>
      <c r="G514" s="6">
        <f t="shared" si="11"/>
        <v>3091</v>
      </c>
    </row>
    <row r="515" spans="1:8" hidden="1" x14ac:dyDescent="0.25">
      <c r="A515" s="17">
        <v>42780</v>
      </c>
      <c r="B515" s="10" t="s">
        <v>2104</v>
      </c>
      <c r="C515" s="11" t="s">
        <v>169</v>
      </c>
      <c r="D515" s="784">
        <v>240</v>
      </c>
      <c r="E515" s="8">
        <v>22000</v>
      </c>
      <c r="G515" s="6">
        <f t="shared" si="11"/>
        <v>22000</v>
      </c>
    </row>
    <row r="516" spans="1:8" hidden="1" x14ac:dyDescent="0.25">
      <c r="A516" s="17">
        <v>42776</v>
      </c>
      <c r="B516" s="10" t="s">
        <v>1688</v>
      </c>
      <c r="C516" s="11" t="s">
        <v>166</v>
      </c>
      <c r="D516" s="784">
        <v>8740</v>
      </c>
      <c r="E516" s="8">
        <v>24250</v>
      </c>
      <c r="G516" s="6">
        <f t="shared" si="11"/>
        <v>24250</v>
      </c>
    </row>
    <row r="517" spans="1:8" hidden="1" x14ac:dyDescent="0.25">
      <c r="A517" s="17">
        <v>42783</v>
      </c>
      <c r="B517" s="10" t="s">
        <v>1502</v>
      </c>
      <c r="C517" s="11" t="s">
        <v>166</v>
      </c>
      <c r="F517" s="9">
        <v>75030</v>
      </c>
      <c r="G517" s="6">
        <f t="shared" si="11"/>
        <v>-75030</v>
      </c>
      <c r="H517" s="81"/>
    </row>
    <row r="518" spans="1:8" hidden="1" x14ac:dyDescent="0.25">
      <c r="A518" s="17">
        <v>42783</v>
      </c>
      <c r="B518" s="10" t="s">
        <v>1818</v>
      </c>
      <c r="C518" s="11" t="s">
        <v>166</v>
      </c>
      <c r="F518" s="9">
        <v>31473</v>
      </c>
      <c r="G518" s="6">
        <f t="shared" si="11"/>
        <v>-31473</v>
      </c>
      <c r="H518" s="82" t="s">
        <v>2107</v>
      </c>
    </row>
    <row r="519" spans="1:8" hidden="1" x14ac:dyDescent="0.25">
      <c r="A519" s="17">
        <v>42783</v>
      </c>
      <c r="B519" s="10" t="s">
        <v>1688</v>
      </c>
      <c r="C519" s="11" t="s">
        <v>166</v>
      </c>
      <c r="F519" s="9">
        <v>24250</v>
      </c>
      <c r="G519" s="6">
        <f t="shared" si="11"/>
        <v>-24250</v>
      </c>
      <c r="H519" s="82"/>
    </row>
    <row r="520" spans="1:8" hidden="1" x14ac:dyDescent="0.25">
      <c r="A520" s="17">
        <v>42783</v>
      </c>
      <c r="B520" s="10" t="s">
        <v>1222</v>
      </c>
      <c r="C520" s="11" t="s">
        <v>166</v>
      </c>
      <c r="F520" s="9">
        <v>69247</v>
      </c>
      <c r="G520" s="6">
        <f t="shared" si="11"/>
        <v>-69247</v>
      </c>
      <c r="H520" s="83"/>
    </row>
    <row r="521" spans="1:8" hidden="1"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hidden="1" x14ac:dyDescent="0.25">
      <c r="A523" s="17">
        <v>42783</v>
      </c>
      <c r="B523" s="10" t="s">
        <v>1703</v>
      </c>
      <c r="C523" s="11" t="s">
        <v>164</v>
      </c>
      <c r="F523" s="9">
        <v>10016</v>
      </c>
      <c r="G523" s="6">
        <f t="shared" si="11"/>
        <v>-10016</v>
      </c>
      <c r="H523" s="81"/>
    </row>
    <row r="524" spans="1:8" hidden="1" x14ac:dyDescent="0.25">
      <c r="A524" s="17">
        <v>42783</v>
      </c>
      <c r="B524" s="10" t="s">
        <v>774</v>
      </c>
      <c r="C524" s="11" t="s">
        <v>164</v>
      </c>
      <c r="F524" s="9">
        <v>4260</v>
      </c>
      <c r="G524" s="6">
        <f t="shared" si="11"/>
        <v>-4260</v>
      </c>
      <c r="H524" s="82" t="s">
        <v>2111</v>
      </c>
    </row>
    <row r="525" spans="1:8" hidden="1" x14ac:dyDescent="0.25">
      <c r="A525" s="17">
        <v>42783</v>
      </c>
      <c r="B525" s="10" t="s">
        <v>1406</v>
      </c>
      <c r="C525" s="11" t="s">
        <v>164</v>
      </c>
      <c r="F525" s="9">
        <v>25185</v>
      </c>
      <c r="G525" s="6">
        <f t="shared" si="11"/>
        <v>-25185</v>
      </c>
      <c r="H525" s="82"/>
    </row>
    <row r="526" spans="1:8" hidden="1" x14ac:dyDescent="0.25">
      <c r="A526" s="17">
        <v>42783</v>
      </c>
      <c r="B526" s="10" t="s">
        <v>40</v>
      </c>
      <c r="C526" s="11" t="s">
        <v>164</v>
      </c>
      <c r="F526" s="9">
        <v>110539</v>
      </c>
      <c r="G526" s="6">
        <f t="shared" si="11"/>
        <v>-110539</v>
      </c>
      <c r="H526" s="83"/>
    </row>
    <row r="527" spans="1:8" hidden="1" x14ac:dyDescent="0.25">
      <c r="A527" s="17">
        <v>42783</v>
      </c>
      <c r="B527" s="10" t="s">
        <v>2104</v>
      </c>
      <c r="C527" s="11" t="s">
        <v>166</v>
      </c>
      <c r="E527" s="8">
        <v>24072</v>
      </c>
      <c r="G527" s="6">
        <f t="shared" si="11"/>
        <v>24072</v>
      </c>
    </row>
    <row r="528" spans="1:8" hidden="1" x14ac:dyDescent="0.25">
      <c r="A528" s="17">
        <v>42783</v>
      </c>
      <c r="B528" s="10" t="s">
        <v>1407</v>
      </c>
      <c r="C528" s="11" t="s">
        <v>1828</v>
      </c>
      <c r="D528" s="784">
        <v>347</v>
      </c>
      <c r="E528" s="8">
        <v>806368</v>
      </c>
      <c r="G528" s="6">
        <f t="shared" si="11"/>
        <v>806368</v>
      </c>
    </row>
    <row r="529" spans="1:8" hidden="1" x14ac:dyDescent="0.25">
      <c r="A529" s="17">
        <v>42787</v>
      </c>
      <c r="B529" s="10" t="s">
        <v>2038</v>
      </c>
      <c r="C529" s="11" t="s">
        <v>166</v>
      </c>
      <c r="D529" s="784">
        <v>8808</v>
      </c>
      <c r="E529" s="8">
        <v>78330</v>
      </c>
      <c r="G529" s="6">
        <f t="shared" si="11"/>
        <v>78330</v>
      </c>
    </row>
    <row r="530" spans="1:8" hidden="1" x14ac:dyDescent="0.25">
      <c r="A530" s="17">
        <v>42787</v>
      </c>
      <c r="B530" s="10" t="s">
        <v>2038</v>
      </c>
      <c r="C530" s="11" t="s">
        <v>166</v>
      </c>
      <c r="D530" s="784">
        <v>8809</v>
      </c>
      <c r="E530" s="8">
        <v>33600</v>
      </c>
      <c r="G530" s="6">
        <f t="shared" si="11"/>
        <v>33600</v>
      </c>
    </row>
    <row r="531" spans="1:8" hidden="1" x14ac:dyDescent="0.25">
      <c r="A531" s="17">
        <v>42788</v>
      </c>
      <c r="B531" s="10" t="s">
        <v>2038</v>
      </c>
      <c r="C531" s="11" t="s">
        <v>166</v>
      </c>
      <c r="D531" s="784">
        <v>8816</v>
      </c>
      <c r="E531" s="8">
        <v>7128</v>
      </c>
      <c r="G531" s="6">
        <f t="shared" si="11"/>
        <v>7128</v>
      </c>
    </row>
    <row r="532" spans="1:8" hidden="1" x14ac:dyDescent="0.25">
      <c r="A532" s="17">
        <v>42784</v>
      </c>
      <c r="B532" s="10" t="s">
        <v>2104</v>
      </c>
      <c r="C532" s="11" t="s">
        <v>164</v>
      </c>
      <c r="D532" s="784">
        <v>3985</v>
      </c>
      <c r="E532" s="8">
        <v>3305</v>
      </c>
      <c r="G532" s="6">
        <f t="shared" si="11"/>
        <v>3305</v>
      </c>
    </row>
    <row r="533" spans="1:8" hidden="1" x14ac:dyDescent="0.25">
      <c r="A533" s="17">
        <v>42784</v>
      </c>
      <c r="B533" s="10" t="s">
        <v>1404</v>
      </c>
      <c r="C533" s="11" t="s">
        <v>164</v>
      </c>
      <c r="D533" s="784">
        <v>3918</v>
      </c>
      <c r="E533" s="8">
        <v>1690</v>
      </c>
      <c r="G533" s="6">
        <f t="shared" ref="G533:G534" si="13">E533-F533</f>
        <v>1690</v>
      </c>
    </row>
    <row r="534" spans="1:8" hidden="1"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hidden="1" x14ac:dyDescent="0.25">
      <c r="A536" s="17">
        <v>42773</v>
      </c>
      <c r="B536" s="10" t="s">
        <v>1404</v>
      </c>
      <c r="C536" s="11" t="s">
        <v>161</v>
      </c>
      <c r="D536" s="784">
        <v>629</v>
      </c>
      <c r="E536" s="8">
        <v>26618</v>
      </c>
      <c r="G536" s="6">
        <f t="shared" si="11"/>
        <v>26618</v>
      </c>
    </row>
    <row r="537" spans="1:8" hidden="1" x14ac:dyDescent="0.25">
      <c r="A537" s="17">
        <v>42776</v>
      </c>
      <c r="B537" s="10" t="s">
        <v>1404</v>
      </c>
      <c r="C537" s="11" t="s">
        <v>161</v>
      </c>
      <c r="D537" s="784">
        <v>638</v>
      </c>
      <c r="E537" s="8">
        <v>105186</v>
      </c>
      <c r="G537" s="6">
        <f t="shared" si="11"/>
        <v>105186</v>
      </c>
    </row>
    <row r="538" spans="1:8" hidden="1" x14ac:dyDescent="0.25">
      <c r="A538" s="17">
        <v>42789</v>
      </c>
      <c r="B538" s="10" t="s">
        <v>1404</v>
      </c>
      <c r="C538" s="11" t="s">
        <v>161</v>
      </c>
      <c r="D538" s="784">
        <v>675</v>
      </c>
      <c r="E538" s="8">
        <v>69661</v>
      </c>
      <c r="G538" s="6">
        <f t="shared" si="11"/>
        <v>69661</v>
      </c>
    </row>
    <row r="539" spans="1:8" hidden="1" x14ac:dyDescent="0.25">
      <c r="A539" s="17">
        <v>42791</v>
      </c>
      <c r="B539" s="10" t="s">
        <v>1404</v>
      </c>
      <c r="C539" s="11" t="s">
        <v>166</v>
      </c>
      <c r="D539" s="784">
        <v>8832</v>
      </c>
      <c r="E539" s="8">
        <v>13500</v>
      </c>
      <c r="G539" s="6">
        <f t="shared" si="11"/>
        <v>13500</v>
      </c>
    </row>
    <row r="540" spans="1:8" hidden="1" x14ac:dyDescent="0.25">
      <c r="A540" s="17">
        <v>42796</v>
      </c>
      <c r="B540" s="10" t="s">
        <v>1404</v>
      </c>
      <c r="C540" s="11" t="s">
        <v>166</v>
      </c>
      <c r="D540" s="784">
        <v>8863</v>
      </c>
      <c r="E540" s="8">
        <v>9600</v>
      </c>
      <c r="G540" s="6">
        <f t="shared" si="11"/>
        <v>9600</v>
      </c>
    </row>
    <row r="541" spans="1:8" hidden="1" x14ac:dyDescent="0.25">
      <c r="A541" s="17">
        <v>42796</v>
      </c>
      <c r="B541" s="10" t="s">
        <v>1407</v>
      </c>
      <c r="C541" s="11" t="s">
        <v>1828</v>
      </c>
      <c r="F541" s="9">
        <v>400000</v>
      </c>
      <c r="G541" s="6">
        <f t="shared" si="11"/>
        <v>-400000</v>
      </c>
      <c r="H541" s="32" t="s">
        <v>2151</v>
      </c>
    </row>
    <row r="542" spans="1:8" hidden="1" x14ac:dyDescent="0.25">
      <c r="A542" s="17">
        <v>42780</v>
      </c>
      <c r="B542" s="10" t="s">
        <v>1818</v>
      </c>
      <c r="C542" s="11" t="s">
        <v>164</v>
      </c>
      <c r="D542" s="784">
        <v>3884</v>
      </c>
      <c r="E542" s="8">
        <v>68397</v>
      </c>
      <c r="G542" s="6">
        <f t="shared" si="11"/>
        <v>68397</v>
      </c>
    </row>
    <row r="543" spans="1:8" hidden="1" x14ac:dyDescent="0.25">
      <c r="A543" s="17">
        <v>42791</v>
      </c>
      <c r="B543" s="10" t="s">
        <v>1404</v>
      </c>
      <c r="C543" s="11" t="s">
        <v>164</v>
      </c>
      <c r="D543" s="784">
        <v>4124</v>
      </c>
      <c r="E543" s="8">
        <v>18913</v>
      </c>
      <c r="G543" s="6">
        <f t="shared" si="11"/>
        <v>18913</v>
      </c>
    </row>
    <row r="544" spans="1:8" hidden="1" x14ac:dyDescent="0.25">
      <c r="A544" s="17">
        <v>42793</v>
      </c>
      <c r="B544" s="10" t="s">
        <v>1404</v>
      </c>
      <c r="C544" s="11" t="s">
        <v>164</v>
      </c>
      <c r="D544" s="784">
        <v>4155</v>
      </c>
      <c r="E544" s="8">
        <v>882</v>
      </c>
      <c r="G544" s="6">
        <f t="shared" si="11"/>
        <v>882</v>
      </c>
    </row>
    <row r="545" spans="1:8" hidden="1" x14ac:dyDescent="0.25">
      <c r="A545" s="17">
        <v>42793</v>
      </c>
      <c r="B545" s="10" t="s">
        <v>1404</v>
      </c>
      <c r="C545" s="11" t="s">
        <v>164</v>
      </c>
      <c r="D545" s="784">
        <v>4132</v>
      </c>
      <c r="E545" s="8">
        <v>4392</v>
      </c>
      <c r="G545" s="6">
        <f t="shared" si="11"/>
        <v>4392</v>
      </c>
    </row>
    <row r="546" spans="1:8" hidden="1" x14ac:dyDescent="0.25">
      <c r="A546" s="17">
        <v>42811</v>
      </c>
      <c r="B546" s="10" t="s">
        <v>1404</v>
      </c>
      <c r="C546" s="11" t="s">
        <v>164</v>
      </c>
      <c r="D546" s="784">
        <v>4548</v>
      </c>
      <c r="E546" s="8">
        <v>2430</v>
      </c>
      <c r="G546" s="6">
        <f t="shared" ref="G546" si="14">E546-F546</f>
        <v>2430</v>
      </c>
    </row>
    <row r="547" spans="1:8" hidden="1" x14ac:dyDescent="0.25">
      <c r="A547" s="17">
        <v>42808</v>
      </c>
      <c r="B547" s="10" t="s">
        <v>1222</v>
      </c>
      <c r="C547" s="11" t="s">
        <v>166</v>
      </c>
      <c r="F547" s="9">
        <v>63643</v>
      </c>
      <c r="G547" s="6">
        <f t="shared" si="11"/>
        <v>-63643</v>
      </c>
      <c r="H547" s="32" t="s">
        <v>2435</v>
      </c>
    </row>
    <row r="548" spans="1:8" hidden="1" x14ac:dyDescent="0.25">
      <c r="A548" s="17">
        <v>42808</v>
      </c>
      <c r="B548" s="10" t="s">
        <v>2104</v>
      </c>
      <c r="C548" s="11" t="s">
        <v>166</v>
      </c>
      <c r="F548" s="9">
        <v>24072</v>
      </c>
      <c r="G548" s="6">
        <f t="shared" si="11"/>
        <v>-24072</v>
      </c>
      <c r="H548" s="127"/>
    </row>
    <row r="549" spans="1:8" hidden="1" x14ac:dyDescent="0.25">
      <c r="A549" s="17">
        <v>42808</v>
      </c>
      <c r="B549" s="10" t="s">
        <v>2038</v>
      </c>
      <c r="C549" s="11" t="s">
        <v>166</v>
      </c>
      <c r="F549" s="9">
        <v>119058</v>
      </c>
      <c r="G549" s="6">
        <f t="shared" si="11"/>
        <v>-119058</v>
      </c>
      <c r="H549" s="127"/>
    </row>
    <row r="550" spans="1:8" hidden="1" x14ac:dyDescent="0.25">
      <c r="A550" s="17">
        <v>42808</v>
      </c>
      <c r="B550" s="10" t="s">
        <v>1404</v>
      </c>
      <c r="C550" s="11" t="s">
        <v>166</v>
      </c>
      <c r="F550" s="9">
        <v>23100</v>
      </c>
      <c r="G550" s="6">
        <f t="shared" si="11"/>
        <v>-23100</v>
      </c>
      <c r="H550" s="127"/>
    </row>
    <row r="551" spans="1:8" hidden="1"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hidden="1"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hidden="1" x14ac:dyDescent="0.25">
      <c r="A556" s="17">
        <v>42814</v>
      </c>
      <c r="B556" s="10" t="s">
        <v>1404</v>
      </c>
      <c r="C556" s="11" t="s">
        <v>164</v>
      </c>
      <c r="E556" s="8">
        <v>18646</v>
      </c>
      <c r="G556" s="6">
        <f t="shared" si="11"/>
        <v>18646</v>
      </c>
    </row>
    <row r="557" spans="1:8" hidden="1" x14ac:dyDescent="0.25">
      <c r="A557" s="17">
        <v>42693</v>
      </c>
      <c r="B557" s="10" t="s">
        <v>33</v>
      </c>
      <c r="C557" s="11" t="s">
        <v>1816</v>
      </c>
      <c r="E557" s="8">
        <v>106847</v>
      </c>
      <c r="G557" s="6">
        <f t="shared" si="11"/>
        <v>106847</v>
      </c>
    </row>
    <row r="558" spans="1:8" hidden="1" x14ac:dyDescent="0.25">
      <c r="A558" s="17">
        <v>42693</v>
      </c>
      <c r="B558" s="10" t="s">
        <v>32</v>
      </c>
      <c r="C558" s="11" t="s">
        <v>1816</v>
      </c>
      <c r="E558" s="8">
        <v>106847</v>
      </c>
      <c r="G558" s="6">
        <f t="shared" si="11"/>
        <v>106847</v>
      </c>
    </row>
    <row r="559" spans="1:8" hidden="1" x14ac:dyDescent="0.25">
      <c r="A559" s="17">
        <v>42693</v>
      </c>
      <c r="B559" s="10" t="s">
        <v>1404</v>
      </c>
      <c r="C559" s="11" t="s">
        <v>1816</v>
      </c>
      <c r="E559" s="8">
        <v>51879</v>
      </c>
      <c r="G559" s="6">
        <f t="shared" si="11"/>
        <v>51879</v>
      </c>
    </row>
    <row r="560" spans="1:8" hidden="1" x14ac:dyDescent="0.25">
      <c r="A560" s="17">
        <v>42686</v>
      </c>
      <c r="B560" s="10" t="s">
        <v>1404</v>
      </c>
      <c r="C560" s="11" t="s">
        <v>1816</v>
      </c>
      <c r="E560" s="8">
        <v>42108</v>
      </c>
      <c r="G560" s="6">
        <f t="shared" si="11"/>
        <v>42108</v>
      </c>
    </row>
    <row r="561" spans="1:8" hidden="1" x14ac:dyDescent="0.25">
      <c r="A561" s="17">
        <v>42677</v>
      </c>
      <c r="B561" s="10" t="s">
        <v>33</v>
      </c>
      <c r="C561" s="11" t="s">
        <v>1816</v>
      </c>
      <c r="E561" s="8">
        <v>11550</v>
      </c>
      <c r="G561" s="6">
        <f t="shared" si="11"/>
        <v>11550</v>
      </c>
    </row>
    <row r="562" spans="1:8" hidden="1" x14ac:dyDescent="0.25">
      <c r="A562" s="17">
        <v>42682</v>
      </c>
      <c r="B562" s="10" t="s">
        <v>33</v>
      </c>
      <c r="C562" s="11" t="s">
        <v>1816</v>
      </c>
      <c r="E562" s="8">
        <v>19233</v>
      </c>
      <c r="G562" s="6">
        <f t="shared" si="11"/>
        <v>19233</v>
      </c>
    </row>
    <row r="563" spans="1:8" hidden="1" x14ac:dyDescent="0.25">
      <c r="A563" s="17">
        <v>42698</v>
      </c>
      <c r="B563" s="10" t="s">
        <v>1404</v>
      </c>
      <c r="C563" s="11" t="s">
        <v>1816</v>
      </c>
      <c r="E563" s="8">
        <v>3000</v>
      </c>
      <c r="G563" s="6">
        <f t="shared" si="11"/>
        <v>3000</v>
      </c>
    </row>
    <row r="564" spans="1:8" hidden="1" x14ac:dyDescent="0.25">
      <c r="A564" s="17">
        <v>42732</v>
      </c>
      <c r="B564" s="10" t="s">
        <v>1407</v>
      </c>
      <c r="C564" s="11" t="s">
        <v>1816</v>
      </c>
      <c r="E564" s="8">
        <v>433624</v>
      </c>
      <c r="G564" s="6">
        <f t="shared" si="11"/>
        <v>433624</v>
      </c>
    </row>
    <row r="565" spans="1:8" hidden="1" x14ac:dyDescent="0.25">
      <c r="A565" s="17">
        <v>42721</v>
      </c>
      <c r="B565" s="10" t="s">
        <v>33</v>
      </c>
      <c r="C565" s="11" t="s">
        <v>1816</v>
      </c>
      <c r="F565" s="9">
        <v>44879</v>
      </c>
      <c r="G565" s="6">
        <f t="shared" si="11"/>
        <v>-44879</v>
      </c>
      <c r="H565" s="7" t="s">
        <v>2208</v>
      </c>
    </row>
    <row r="566" spans="1:8" hidden="1" x14ac:dyDescent="0.25">
      <c r="A566" s="17">
        <v>42730</v>
      </c>
      <c r="B566" s="10" t="s">
        <v>1688</v>
      </c>
      <c r="C566" s="11" t="s">
        <v>1816</v>
      </c>
      <c r="E566" s="8">
        <v>32908</v>
      </c>
      <c r="G566" s="6">
        <f t="shared" si="11"/>
        <v>32908</v>
      </c>
    </row>
    <row r="567" spans="1:8" hidden="1" x14ac:dyDescent="0.25">
      <c r="A567" s="17">
        <v>42711</v>
      </c>
      <c r="B567" s="10" t="s">
        <v>32</v>
      </c>
      <c r="C567" s="11" t="s">
        <v>1816</v>
      </c>
      <c r="E567" s="8">
        <v>3445</v>
      </c>
      <c r="G567" s="6">
        <f t="shared" si="11"/>
        <v>3445</v>
      </c>
    </row>
    <row r="568" spans="1:8" hidden="1" x14ac:dyDescent="0.25">
      <c r="A568" s="17">
        <v>42727</v>
      </c>
      <c r="B568" s="10" t="s">
        <v>32</v>
      </c>
      <c r="C568" s="11" t="s">
        <v>1816</v>
      </c>
      <c r="E568" s="8">
        <v>36929</v>
      </c>
      <c r="G568" s="6">
        <f t="shared" si="11"/>
        <v>36929</v>
      </c>
    </row>
    <row r="569" spans="1:8" hidden="1" x14ac:dyDescent="0.25">
      <c r="A569" s="17">
        <v>42720</v>
      </c>
      <c r="B569" s="10" t="s">
        <v>33</v>
      </c>
      <c r="C569" s="11" t="s">
        <v>1816</v>
      </c>
      <c r="E569" s="8">
        <v>55873</v>
      </c>
      <c r="G569" s="6">
        <f t="shared" si="11"/>
        <v>55873</v>
      </c>
    </row>
    <row r="570" spans="1:8" hidden="1" x14ac:dyDescent="0.25">
      <c r="A570" s="17">
        <v>42740</v>
      </c>
      <c r="B570" s="10" t="s">
        <v>1404</v>
      </c>
      <c r="C570" s="11" t="s">
        <v>1816</v>
      </c>
      <c r="F570" s="9">
        <v>3000</v>
      </c>
      <c r="G570" s="6">
        <f t="shared" si="11"/>
        <v>-3000</v>
      </c>
      <c r="H570" s="1199" t="s">
        <v>2209</v>
      </c>
    </row>
    <row r="571" spans="1:8" hidden="1" x14ac:dyDescent="0.25">
      <c r="A571" s="17">
        <v>42740</v>
      </c>
      <c r="B571" s="10" t="s">
        <v>1407</v>
      </c>
      <c r="C571" s="11" t="s">
        <v>1816</v>
      </c>
      <c r="F571" s="9">
        <v>433634</v>
      </c>
      <c r="G571" s="6">
        <f t="shared" si="11"/>
        <v>-433634</v>
      </c>
      <c r="H571" s="1202"/>
    </row>
    <row r="572" spans="1:8" hidden="1" x14ac:dyDescent="0.25">
      <c r="A572" s="17">
        <v>42740</v>
      </c>
      <c r="B572" s="10" t="s">
        <v>1688</v>
      </c>
      <c r="C572" s="11" t="s">
        <v>1816</v>
      </c>
      <c r="F572" s="9">
        <v>32908</v>
      </c>
      <c r="G572" s="6">
        <f t="shared" si="11"/>
        <v>-32908</v>
      </c>
      <c r="H572" s="1202"/>
    </row>
    <row r="573" spans="1:8" hidden="1" x14ac:dyDescent="0.25">
      <c r="A573" s="17">
        <v>42740</v>
      </c>
      <c r="B573" s="10" t="s">
        <v>32</v>
      </c>
      <c r="C573" s="11" t="s">
        <v>1816</v>
      </c>
      <c r="F573" s="9">
        <v>30468</v>
      </c>
      <c r="G573" s="6">
        <f t="shared" si="11"/>
        <v>-30468</v>
      </c>
      <c r="H573" s="1200"/>
    </row>
    <row r="574" spans="1:8" hidden="1" x14ac:dyDescent="0.25">
      <c r="A574" s="17">
        <v>42775</v>
      </c>
      <c r="B574" s="10" t="s">
        <v>32</v>
      </c>
      <c r="C574" s="11" t="s">
        <v>1816</v>
      </c>
      <c r="E574" s="8">
        <v>10916</v>
      </c>
      <c r="G574" s="6">
        <f t="shared" si="11"/>
        <v>10916</v>
      </c>
    </row>
    <row r="575" spans="1:8" hidden="1" x14ac:dyDescent="0.25">
      <c r="A575" s="17">
        <v>42770</v>
      </c>
      <c r="B575" s="10" t="s">
        <v>1404</v>
      </c>
      <c r="C575" s="11" t="s">
        <v>1816</v>
      </c>
      <c r="E575" s="8">
        <v>9717</v>
      </c>
      <c r="G575" s="6">
        <f t="shared" si="11"/>
        <v>9717</v>
      </c>
    </row>
    <row r="576" spans="1:8" hidden="1" x14ac:dyDescent="0.25">
      <c r="A576" s="17">
        <v>42768</v>
      </c>
      <c r="B576" s="10" t="s">
        <v>33</v>
      </c>
      <c r="C576" s="11" t="s">
        <v>1816</v>
      </c>
      <c r="E576" s="8">
        <v>13612</v>
      </c>
      <c r="G576" s="6">
        <f t="shared" si="11"/>
        <v>13612</v>
      </c>
    </row>
    <row r="577" spans="1:8" hidden="1" x14ac:dyDescent="0.25">
      <c r="A577" s="17">
        <v>42747</v>
      </c>
      <c r="B577" s="10" t="s">
        <v>32</v>
      </c>
      <c r="C577" s="11" t="s">
        <v>1816</v>
      </c>
      <c r="E577" s="8">
        <v>43165</v>
      </c>
      <c r="G577" s="6">
        <f t="shared" si="11"/>
        <v>43165</v>
      </c>
    </row>
    <row r="578" spans="1:8" hidden="1" x14ac:dyDescent="0.25">
      <c r="A578" s="17">
        <v>42755</v>
      </c>
      <c r="B578" s="10" t="s">
        <v>32</v>
      </c>
      <c r="C578" s="11" t="s">
        <v>1816</v>
      </c>
      <c r="E578" s="8">
        <v>6306</v>
      </c>
      <c r="G578" s="6">
        <f t="shared" si="11"/>
        <v>6306</v>
      </c>
    </row>
    <row r="579" spans="1:8" hidden="1" x14ac:dyDescent="0.25">
      <c r="A579" s="17">
        <v>42755</v>
      </c>
      <c r="B579" s="10" t="s">
        <v>1404</v>
      </c>
      <c r="C579" s="11" t="s">
        <v>1816</v>
      </c>
      <c r="E579" s="8">
        <v>33200</v>
      </c>
      <c r="G579" s="6">
        <f t="shared" si="11"/>
        <v>33200</v>
      </c>
    </row>
    <row r="580" spans="1:8" hidden="1" x14ac:dyDescent="0.25">
      <c r="A580" s="17">
        <v>42755</v>
      </c>
      <c r="B580" s="10" t="s">
        <v>1404</v>
      </c>
      <c r="C580" s="11" t="s">
        <v>1816</v>
      </c>
      <c r="F580" s="9">
        <v>44665</v>
      </c>
      <c r="G580" s="6">
        <f t="shared" si="11"/>
        <v>-44665</v>
      </c>
    </row>
    <row r="581" spans="1:8" hidden="1" x14ac:dyDescent="0.25">
      <c r="A581" s="17">
        <v>42742</v>
      </c>
      <c r="B581" s="10" t="s">
        <v>33</v>
      </c>
      <c r="C581" s="11" t="s">
        <v>1816</v>
      </c>
      <c r="E581" s="8">
        <v>10413</v>
      </c>
      <c r="G581" s="6">
        <f t="shared" si="11"/>
        <v>10413</v>
      </c>
    </row>
    <row r="582" spans="1:8" hidden="1" x14ac:dyDescent="0.25">
      <c r="A582" s="17">
        <v>42744</v>
      </c>
      <c r="B582" s="10" t="s">
        <v>33</v>
      </c>
      <c r="C582" s="11" t="s">
        <v>1816</v>
      </c>
      <c r="E582" s="8">
        <v>89052</v>
      </c>
      <c r="G582" s="6">
        <f t="shared" si="11"/>
        <v>89052</v>
      </c>
    </row>
    <row r="583" spans="1:8" hidden="1" x14ac:dyDescent="0.25">
      <c r="A583" s="17">
        <v>42746</v>
      </c>
      <c r="B583" s="10" t="s">
        <v>33</v>
      </c>
      <c r="C583" s="11" t="s">
        <v>1816</v>
      </c>
      <c r="E583" s="8">
        <v>3348</v>
      </c>
      <c r="G583" s="6">
        <f t="shared" si="11"/>
        <v>3348</v>
      </c>
    </row>
    <row r="584" spans="1:8" hidden="1" x14ac:dyDescent="0.25">
      <c r="A584" s="17">
        <v>42740</v>
      </c>
      <c r="B584" s="10" t="s">
        <v>32</v>
      </c>
      <c r="C584" s="11" t="s">
        <v>1816</v>
      </c>
      <c r="E584" s="8">
        <v>95472</v>
      </c>
      <c r="G584" s="6">
        <f t="shared" si="11"/>
        <v>95472</v>
      </c>
    </row>
    <row r="585" spans="1:8" hidden="1" x14ac:dyDescent="0.25">
      <c r="A585" s="17">
        <v>42786</v>
      </c>
      <c r="B585" s="10" t="s">
        <v>1407</v>
      </c>
      <c r="C585" s="11" t="s">
        <v>1816</v>
      </c>
      <c r="E585" s="8">
        <v>1567</v>
      </c>
      <c r="G585" s="6">
        <f t="shared" si="11"/>
        <v>1567</v>
      </c>
    </row>
    <row r="586" spans="1:8" hidden="1" x14ac:dyDescent="0.25">
      <c r="A586" s="17">
        <v>42793</v>
      </c>
      <c r="B586" s="10" t="s">
        <v>1407</v>
      </c>
      <c r="C586" s="11" t="s">
        <v>1816</v>
      </c>
      <c r="E586" s="8">
        <v>27850</v>
      </c>
      <c r="G586" s="6">
        <f t="shared" si="11"/>
        <v>27850</v>
      </c>
    </row>
    <row r="587" spans="1:8" hidden="1" x14ac:dyDescent="0.25">
      <c r="A587" s="17">
        <v>42784</v>
      </c>
      <c r="B587" s="10" t="s">
        <v>33</v>
      </c>
      <c r="C587" s="11" t="s">
        <v>1816</v>
      </c>
      <c r="E587" s="8">
        <v>46586</v>
      </c>
      <c r="G587" s="6">
        <f t="shared" si="11"/>
        <v>46586</v>
      </c>
    </row>
    <row r="588" spans="1:8" hidden="1" x14ac:dyDescent="0.25">
      <c r="A588" s="17">
        <v>42804</v>
      </c>
      <c r="B588" s="10" t="s">
        <v>33</v>
      </c>
      <c r="C588" s="11" t="s">
        <v>1816</v>
      </c>
      <c r="F588" s="9">
        <v>100000</v>
      </c>
      <c r="G588" s="6">
        <f t="shared" si="11"/>
        <v>-100000</v>
      </c>
      <c r="H588" s="1199" t="s">
        <v>2210</v>
      </c>
    </row>
    <row r="589" spans="1:8" hidden="1" x14ac:dyDescent="0.25">
      <c r="A589" s="17">
        <v>42804</v>
      </c>
      <c r="B589" s="10" t="s">
        <v>1404</v>
      </c>
      <c r="C589" s="11" t="s">
        <v>1816</v>
      </c>
      <c r="F589" s="9">
        <v>100000</v>
      </c>
      <c r="G589" s="6">
        <f t="shared" si="11"/>
        <v>-100000</v>
      </c>
      <c r="H589" s="1202"/>
    </row>
    <row r="590" spans="1:8" hidden="1" x14ac:dyDescent="0.25">
      <c r="A590" s="17">
        <v>42804</v>
      </c>
      <c r="B590" s="10" t="s">
        <v>32</v>
      </c>
      <c r="C590" s="11" t="s">
        <v>1816</v>
      </c>
      <c r="F590" s="9">
        <v>100000</v>
      </c>
      <c r="G590" s="6">
        <f t="shared" si="11"/>
        <v>-100000</v>
      </c>
      <c r="H590" s="1200"/>
    </row>
    <row r="591" spans="1:8" hidden="1" x14ac:dyDescent="0.25">
      <c r="A591" s="17">
        <v>42819</v>
      </c>
      <c r="B591" s="10" t="s">
        <v>2104</v>
      </c>
      <c r="C591" s="11" t="s">
        <v>169</v>
      </c>
      <c r="E591" s="8">
        <v>1600</v>
      </c>
      <c r="G591" s="6">
        <f t="shared" si="11"/>
        <v>1600</v>
      </c>
    </row>
    <row r="592" spans="1:8" hidden="1" x14ac:dyDescent="0.25">
      <c r="A592" s="17">
        <v>42809</v>
      </c>
      <c r="B592" s="10" t="s">
        <v>32</v>
      </c>
      <c r="C592" s="11" t="s">
        <v>1816</v>
      </c>
      <c r="E592" s="8">
        <v>15593</v>
      </c>
      <c r="G592" s="6">
        <f t="shared" si="11"/>
        <v>15593</v>
      </c>
    </row>
    <row r="593" spans="1:8" hidden="1" x14ac:dyDescent="0.25">
      <c r="A593" s="17">
        <v>42787</v>
      </c>
      <c r="B593" s="10" t="s">
        <v>32</v>
      </c>
      <c r="C593" s="11" t="s">
        <v>1816</v>
      </c>
      <c r="E593" s="8">
        <v>5693</v>
      </c>
      <c r="G593" s="6">
        <f t="shared" si="11"/>
        <v>5693</v>
      </c>
    </row>
    <row r="594" spans="1:8" hidden="1" x14ac:dyDescent="0.25">
      <c r="A594" s="17">
        <v>42812</v>
      </c>
      <c r="B594" s="10" t="s">
        <v>1407</v>
      </c>
      <c r="C594" s="11" t="s">
        <v>1816</v>
      </c>
      <c r="E594" s="8">
        <v>83845</v>
      </c>
      <c r="G594" s="6">
        <f t="shared" si="11"/>
        <v>83845</v>
      </c>
    </row>
    <row r="595" spans="1:8" hidden="1" x14ac:dyDescent="0.25">
      <c r="A595" s="17">
        <v>42793</v>
      </c>
      <c r="B595" s="10" t="s">
        <v>32</v>
      </c>
      <c r="C595" s="11" t="s">
        <v>1816</v>
      </c>
      <c r="E595" s="8">
        <v>1367</v>
      </c>
      <c r="G595" s="6">
        <f t="shared" si="11"/>
        <v>1367</v>
      </c>
    </row>
    <row r="596" spans="1:8" hidden="1" x14ac:dyDescent="0.25">
      <c r="A596" s="17">
        <v>42798</v>
      </c>
      <c r="B596" s="10" t="s">
        <v>32</v>
      </c>
      <c r="C596" s="11" t="s">
        <v>1816</v>
      </c>
      <c r="E596" s="8">
        <v>1700</v>
      </c>
      <c r="G596" s="6">
        <f t="shared" si="11"/>
        <v>1700</v>
      </c>
    </row>
    <row r="597" spans="1:8" hidden="1" x14ac:dyDescent="0.25">
      <c r="A597" s="17">
        <v>42819</v>
      </c>
      <c r="B597" s="10" t="s">
        <v>1404</v>
      </c>
      <c r="C597" s="11" t="s">
        <v>1816</v>
      </c>
      <c r="E597" s="8">
        <v>67418</v>
      </c>
      <c r="G597" s="6">
        <f t="shared" si="11"/>
        <v>67418</v>
      </c>
    </row>
    <row r="598" spans="1:8" hidden="1" x14ac:dyDescent="0.25">
      <c r="A598" s="17">
        <v>42821</v>
      </c>
      <c r="B598" s="10" t="s">
        <v>1404</v>
      </c>
      <c r="C598" s="11" t="s">
        <v>1816</v>
      </c>
      <c r="E598" s="8">
        <v>39396</v>
      </c>
      <c r="G598" s="6">
        <f t="shared" si="11"/>
        <v>39396</v>
      </c>
    </row>
    <row r="599" spans="1:8" hidden="1" x14ac:dyDescent="0.25">
      <c r="A599" s="17">
        <v>42807</v>
      </c>
      <c r="B599" s="10" t="s">
        <v>1818</v>
      </c>
      <c r="C599" s="11" t="s">
        <v>166</v>
      </c>
      <c r="E599" s="8">
        <v>9600</v>
      </c>
      <c r="G599" s="6">
        <f t="shared" si="11"/>
        <v>9600</v>
      </c>
    </row>
    <row r="600" spans="1:8" hidden="1" x14ac:dyDescent="0.25">
      <c r="A600" s="17">
        <v>42811</v>
      </c>
      <c r="B600" s="10" t="s">
        <v>1688</v>
      </c>
      <c r="C600" s="11" t="s">
        <v>166</v>
      </c>
      <c r="E600" s="8">
        <v>3276</v>
      </c>
      <c r="G600" s="6">
        <f t="shared" si="11"/>
        <v>3276</v>
      </c>
    </row>
    <row r="601" spans="1:8" hidden="1" x14ac:dyDescent="0.25">
      <c r="A601" s="17">
        <v>42818</v>
      </c>
      <c r="B601" s="10" t="s">
        <v>2104</v>
      </c>
      <c r="C601" s="11" t="s">
        <v>166</v>
      </c>
      <c r="E601" s="8">
        <v>5434</v>
      </c>
      <c r="G601" s="6">
        <f t="shared" si="11"/>
        <v>5434</v>
      </c>
    </row>
    <row r="602" spans="1:8" hidden="1" x14ac:dyDescent="0.25">
      <c r="A602" s="17">
        <v>42828</v>
      </c>
      <c r="B602" s="10" t="s">
        <v>2109</v>
      </c>
      <c r="C602" s="11" t="s">
        <v>166</v>
      </c>
      <c r="E602" s="8">
        <v>14700</v>
      </c>
      <c r="G602" s="6">
        <f t="shared" si="11"/>
        <v>14700</v>
      </c>
    </row>
    <row r="603" spans="1:8" hidden="1" x14ac:dyDescent="0.25">
      <c r="A603" s="17">
        <v>42829</v>
      </c>
      <c r="B603" s="10" t="s">
        <v>1407</v>
      </c>
      <c r="C603" s="11" t="s">
        <v>1828</v>
      </c>
      <c r="D603" s="784">
        <v>358</v>
      </c>
      <c r="E603" s="8">
        <v>13194</v>
      </c>
      <c r="G603" s="6">
        <f t="shared" si="11"/>
        <v>13194</v>
      </c>
    </row>
    <row r="604" spans="1:8" hidden="1" x14ac:dyDescent="0.25">
      <c r="A604" s="17">
        <v>42829</v>
      </c>
      <c r="B604" s="10" t="s">
        <v>1407</v>
      </c>
      <c r="C604" s="11" t="s">
        <v>1828</v>
      </c>
      <c r="D604" s="784">
        <v>363</v>
      </c>
      <c r="E604" s="8">
        <v>5580</v>
      </c>
      <c r="G604" s="6">
        <f t="shared" si="11"/>
        <v>5580</v>
      </c>
    </row>
    <row r="605" spans="1:8" hidden="1"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hidden="1" x14ac:dyDescent="0.25">
      <c r="A612" s="17">
        <v>42829</v>
      </c>
      <c r="B612" s="10" t="s">
        <v>2104</v>
      </c>
      <c r="C612" s="11" t="s">
        <v>169</v>
      </c>
      <c r="E612" s="8">
        <v>4844</v>
      </c>
      <c r="G612" s="6">
        <f t="shared" si="11"/>
        <v>4844</v>
      </c>
    </row>
    <row r="613" spans="1:8" hidden="1" x14ac:dyDescent="0.25">
      <c r="A613" s="17">
        <v>42578</v>
      </c>
      <c r="B613" s="10" t="s">
        <v>774</v>
      </c>
      <c r="C613" s="11" t="s">
        <v>2281</v>
      </c>
      <c r="E613" s="8">
        <v>61500</v>
      </c>
      <c r="G613" s="6">
        <f t="shared" ref="G613:G631" si="16">E613-F613</f>
        <v>61500</v>
      </c>
    </row>
    <row r="614" spans="1:8" hidden="1" x14ac:dyDescent="0.25">
      <c r="A614" s="17">
        <v>42574</v>
      </c>
      <c r="B614" s="10" t="s">
        <v>969</v>
      </c>
      <c r="C614" s="11" t="s">
        <v>2281</v>
      </c>
      <c r="E614" s="8">
        <v>433070</v>
      </c>
      <c r="G614" s="6">
        <f t="shared" si="16"/>
        <v>433070</v>
      </c>
    </row>
    <row r="615" spans="1:8" hidden="1" x14ac:dyDescent="0.25">
      <c r="A615" s="17">
        <v>42666</v>
      </c>
      <c r="B615" s="10" t="s">
        <v>969</v>
      </c>
      <c r="C615" s="11" t="s">
        <v>2281</v>
      </c>
      <c r="E615" s="8">
        <v>115075</v>
      </c>
      <c r="G615" s="6">
        <f t="shared" si="16"/>
        <v>115075</v>
      </c>
    </row>
    <row r="616" spans="1:8" hidden="1" x14ac:dyDescent="0.25">
      <c r="A616" s="17">
        <v>42593</v>
      </c>
      <c r="B616" s="10" t="s">
        <v>969</v>
      </c>
      <c r="C616" s="11" t="s">
        <v>2281</v>
      </c>
      <c r="F616" s="9">
        <v>500000</v>
      </c>
      <c r="G616" s="6">
        <f t="shared" si="16"/>
        <v>-500000</v>
      </c>
      <c r="H616" s="32" t="s">
        <v>2995</v>
      </c>
    </row>
    <row r="617" spans="1:8" hidden="1" x14ac:dyDescent="0.25">
      <c r="A617" s="17">
        <v>42661</v>
      </c>
      <c r="B617" s="10" t="s">
        <v>969</v>
      </c>
      <c r="C617" s="11" t="s">
        <v>2281</v>
      </c>
      <c r="F617" s="9">
        <v>48145</v>
      </c>
      <c r="G617" s="6">
        <f t="shared" si="16"/>
        <v>-48145</v>
      </c>
      <c r="H617" s="1205" t="s">
        <v>2997</v>
      </c>
    </row>
    <row r="618" spans="1:8" hidden="1" x14ac:dyDescent="0.25">
      <c r="A618" s="17">
        <v>42661</v>
      </c>
      <c r="B618" s="10" t="s">
        <v>774</v>
      </c>
      <c r="C618" s="11" t="s">
        <v>2281</v>
      </c>
      <c r="F618" s="9">
        <v>61500</v>
      </c>
      <c r="G618" s="6">
        <f t="shared" si="16"/>
        <v>-61500</v>
      </c>
      <c r="H618" s="1206"/>
    </row>
    <row r="619" spans="1:8" hidden="1" x14ac:dyDescent="0.25">
      <c r="A619" s="17">
        <v>42661</v>
      </c>
      <c r="B619" s="10" t="s">
        <v>1222</v>
      </c>
      <c r="C619" s="11" t="s">
        <v>2281</v>
      </c>
      <c r="F619" s="9">
        <v>90355</v>
      </c>
      <c r="G619" s="6">
        <f t="shared" si="16"/>
        <v>-90355</v>
      </c>
      <c r="H619" s="1206"/>
    </row>
    <row r="620" spans="1:8" hidden="1" x14ac:dyDescent="0.25">
      <c r="A620" s="17">
        <v>42685</v>
      </c>
      <c r="B620" s="10" t="s">
        <v>1404</v>
      </c>
      <c r="C620" s="11" t="s">
        <v>2281</v>
      </c>
      <c r="E620" s="8">
        <v>31200</v>
      </c>
      <c r="G620" s="6">
        <f t="shared" si="16"/>
        <v>31200</v>
      </c>
    </row>
    <row r="621" spans="1:8" hidden="1" x14ac:dyDescent="0.25">
      <c r="A621" s="17">
        <v>42685</v>
      </c>
      <c r="B621" s="10" t="s">
        <v>1222</v>
      </c>
      <c r="C621" s="11" t="s">
        <v>2281</v>
      </c>
      <c r="E621" s="8">
        <v>23400</v>
      </c>
      <c r="G621" s="6">
        <f t="shared" si="16"/>
        <v>23400</v>
      </c>
    </row>
    <row r="622" spans="1:8" hidden="1" x14ac:dyDescent="0.25">
      <c r="A622" s="17">
        <v>42685</v>
      </c>
      <c r="B622" s="10" t="s">
        <v>969</v>
      </c>
      <c r="C622" s="11" t="s">
        <v>2281</v>
      </c>
      <c r="E622" s="8">
        <v>12950</v>
      </c>
      <c r="G622" s="6">
        <f t="shared" si="16"/>
        <v>12950</v>
      </c>
    </row>
    <row r="623" spans="1:8" hidden="1" x14ac:dyDescent="0.25">
      <c r="A623" s="17">
        <v>42685</v>
      </c>
      <c r="B623" s="10" t="s">
        <v>1404</v>
      </c>
      <c r="C623" s="11" t="s">
        <v>2281</v>
      </c>
      <c r="E623" s="8">
        <v>10050</v>
      </c>
      <c r="G623" s="6">
        <f t="shared" si="16"/>
        <v>10050</v>
      </c>
    </row>
    <row r="624" spans="1:8" hidden="1" x14ac:dyDescent="0.25">
      <c r="A624" s="17">
        <v>42685</v>
      </c>
      <c r="B624" s="10" t="s">
        <v>1404</v>
      </c>
      <c r="C624" s="11" t="s">
        <v>2281</v>
      </c>
      <c r="E624" s="8">
        <v>100000</v>
      </c>
      <c r="G624" s="6">
        <f t="shared" si="16"/>
        <v>100000</v>
      </c>
    </row>
    <row r="625" spans="1:8" hidden="1" x14ac:dyDescent="0.25">
      <c r="A625" s="17">
        <v>42685</v>
      </c>
      <c r="B625" s="10" t="s">
        <v>1222</v>
      </c>
      <c r="C625" s="11" t="s">
        <v>2281</v>
      </c>
      <c r="E625" s="8">
        <v>30000</v>
      </c>
      <c r="G625" s="6">
        <f t="shared" si="16"/>
        <v>30000</v>
      </c>
    </row>
    <row r="626" spans="1:8" hidden="1" x14ac:dyDescent="0.25">
      <c r="A626" s="17">
        <v>42685</v>
      </c>
      <c r="B626" s="10" t="s">
        <v>1404</v>
      </c>
      <c r="C626" s="11" t="s">
        <v>2281</v>
      </c>
      <c r="E626" s="8">
        <v>22000</v>
      </c>
      <c r="G626" s="6">
        <f t="shared" si="16"/>
        <v>22000</v>
      </c>
    </row>
    <row r="627" spans="1:8" hidden="1" x14ac:dyDescent="0.25">
      <c r="A627" s="17">
        <v>42704</v>
      </c>
      <c r="B627" s="10" t="s">
        <v>969</v>
      </c>
      <c r="C627" s="11" t="s">
        <v>2281</v>
      </c>
      <c r="E627" s="8">
        <v>124430</v>
      </c>
      <c r="G627" s="6">
        <f t="shared" si="16"/>
        <v>124430</v>
      </c>
    </row>
    <row r="628" spans="1:8" hidden="1" x14ac:dyDescent="0.25">
      <c r="A628" s="17">
        <v>42704</v>
      </c>
      <c r="B628" s="10" t="s">
        <v>1404</v>
      </c>
      <c r="C628" s="11" t="s">
        <v>2281</v>
      </c>
      <c r="E628" s="8">
        <v>510000</v>
      </c>
      <c r="G628" s="6">
        <f t="shared" si="16"/>
        <v>510000</v>
      </c>
    </row>
    <row r="629" spans="1:8" hidden="1" x14ac:dyDescent="0.25">
      <c r="A629" s="17">
        <v>42721</v>
      </c>
      <c r="B629" s="10" t="s">
        <v>1404</v>
      </c>
      <c r="C629" s="11" t="s">
        <v>2281</v>
      </c>
      <c r="F629" s="9">
        <v>350000</v>
      </c>
      <c r="G629" s="6">
        <f t="shared" si="16"/>
        <v>-350000</v>
      </c>
      <c r="H629" s="1203" t="s">
        <v>2994</v>
      </c>
    </row>
    <row r="630" spans="1:8" hidden="1" x14ac:dyDescent="0.25">
      <c r="A630" s="17">
        <v>42721</v>
      </c>
      <c r="B630" s="10" t="s">
        <v>969</v>
      </c>
      <c r="C630" s="11" t="s">
        <v>2281</v>
      </c>
      <c r="F630" s="9">
        <v>100000</v>
      </c>
      <c r="G630" s="6">
        <f t="shared" si="16"/>
        <v>-100000</v>
      </c>
      <c r="H630" s="1204"/>
    </row>
    <row r="631" spans="1:8" hidden="1" x14ac:dyDescent="0.25">
      <c r="A631" s="17">
        <v>42721</v>
      </c>
      <c r="B631" s="10" t="s">
        <v>1222</v>
      </c>
      <c r="C631" s="11" t="s">
        <v>2281</v>
      </c>
      <c r="F631" s="9">
        <v>50000</v>
      </c>
      <c r="G631" s="6">
        <f t="shared" si="16"/>
        <v>-50000</v>
      </c>
      <c r="H631" s="1204"/>
    </row>
    <row r="632" spans="1:8" hidden="1" x14ac:dyDescent="0.25">
      <c r="A632" s="17">
        <v>42685</v>
      </c>
      <c r="B632" s="10" t="s">
        <v>1407</v>
      </c>
      <c r="C632" s="11" t="s">
        <v>2281</v>
      </c>
      <c r="E632" s="231">
        <v>15500</v>
      </c>
      <c r="G632" s="6">
        <f t="shared" ref="G632" si="17">E632-F632</f>
        <v>15500</v>
      </c>
    </row>
    <row r="633" spans="1:8" hidden="1" x14ac:dyDescent="0.25">
      <c r="A633" s="17">
        <v>42720</v>
      </c>
      <c r="B633" s="10" t="s">
        <v>1404</v>
      </c>
      <c r="C633" s="11" t="s">
        <v>2281</v>
      </c>
      <c r="E633" s="231">
        <v>117880</v>
      </c>
      <c r="G633" s="6">
        <f t="shared" si="11"/>
        <v>117880</v>
      </c>
    </row>
    <row r="634" spans="1:8" hidden="1" x14ac:dyDescent="0.25">
      <c r="A634" s="17">
        <v>42720</v>
      </c>
      <c r="B634" s="10" t="s">
        <v>1222</v>
      </c>
      <c r="C634" s="11" t="s">
        <v>2281</v>
      </c>
      <c r="E634" s="231">
        <v>203000</v>
      </c>
      <c r="G634" s="6">
        <f t="shared" si="11"/>
        <v>203000</v>
      </c>
    </row>
    <row r="635" spans="1:8" hidden="1" x14ac:dyDescent="0.25">
      <c r="A635" s="17">
        <v>42782</v>
      </c>
      <c r="B635" s="10" t="s">
        <v>1407</v>
      </c>
      <c r="C635" s="11" t="s">
        <v>2281</v>
      </c>
      <c r="E635" s="231">
        <v>207000</v>
      </c>
      <c r="G635" s="6">
        <f t="shared" si="11"/>
        <v>207000</v>
      </c>
    </row>
    <row r="636" spans="1:8" hidden="1" x14ac:dyDescent="0.25">
      <c r="A636" s="17">
        <v>42781</v>
      </c>
      <c r="B636" s="10" t="s">
        <v>2038</v>
      </c>
      <c r="C636" s="11" t="s">
        <v>2281</v>
      </c>
      <c r="E636" s="231">
        <v>197352</v>
      </c>
      <c r="G636" s="6">
        <f t="shared" si="11"/>
        <v>197352</v>
      </c>
    </row>
    <row r="637" spans="1:8" hidden="1" x14ac:dyDescent="0.25">
      <c r="A637" s="17">
        <v>42782</v>
      </c>
      <c r="B637" s="10" t="s">
        <v>1404</v>
      </c>
      <c r="C637" s="11" t="s">
        <v>2281</v>
      </c>
      <c r="E637" s="231">
        <v>67608</v>
      </c>
      <c r="G637" s="6">
        <f t="shared" si="11"/>
        <v>67608</v>
      </c>
    </row>
    <row r="638" spans="1:8" hidden="1" x14ac:dyDescent="0.25">
      <c r="A638" s="17">
        <v>42782</v>
      </c>
      <c r="B638" s="10" t="s">
        <v>1688</v>
      </c>
      <c r="C638" s="11" t="s">
        <v>2281</v>
      </c>
      <c r="E638" s="231">
        <v>18972</v>
      </c>
      <c r="G638" s="6">
        <f t="shared" si="11"/>
        <v>18972</v>
      </c>
    </row>
    <row r="639" spans="1:8" hidden="1" x14ac:dyDescent="0.25">
      <c r="A639" s="17">
        <v>42782</v>
      </c>
      <c r="B639" s="10" t="s">
        <v>2058</v>
      </c>
      <c r="C639" s="11" t="s">
        <v>2281</v>
      </c>
      <c r="E639" s="231">
        <v>123761</v>
      </c>
      <c r="G639" s="6">
        <f t="shared" si="11"/>
        <v>123761</v>
      </c>
    </row>
    <row r="640" spans="1:8" hidden="1" x14ac:dyDescent="0.25">
      <c r="A640" s="17">
        <v>42753</v>
      </c>
      <c r="B640" s="10" t="s">
        <v>1404</v>
      </c>
      <c r="C640" s="11" t="s">
        <v>2281</v>
      </c>
      <c r="E640" s="231">
        <v>125000</v>
      </c>
      <c r="G640" s="6">
        <f t="shared" si="11"/>
        <v>125000</v>
      </c>
    </row>
    <row r="641" spans="1:8" hidden="1" x14ac:dyDescent="0.25">
      <c r="A641" s="17">
        <v>42753</v>
      </c>
      <c r="B641" s="10" t="s">
        <v>1222</v>
      </c>
      <c r="C641" s="11" t="s">
        <v>2281</v>
      </c>
      <c r="E641" s="231">
        <v>303950</v>
      </c>
      <c r="G641" s="6">
        <f t="shared" si="11"/>
        <v>303950</v>
      </c>
    </row>
    <row r="642" spans="1:8" hidden="1" x14ac:dyDescent="0.25">
      <c r="A642" s="17">
        <v>42753</v>
      </c>
      <c r="B642" s="10" t="s">
        <v>40</v>
      </c>
      <c r="C642" s="11" t="s">
        <v>2281</v>
      </c>
      <c r="E642" s="231">
        <v>56576</v>
      </c>
      <c r="G642" s="6">
        <f t="shared" si="11"/>
        <v>56576</v>
      </c>
    </row>
    <row r="643" spans="1:8" hidden="1" x14ac:dyDescent="0.25">
      <c r="A643" s="17">
        <v>42800</v>
      </c>
      <c r="B643" s="10" t="s">
        <v>1404</v>
      </c>
      <c r="C643" s="11" t="s">
        <v>2281</v>
      </c>
      <c r="E643" s="231">
        <v>19000</v>
      </c>
      <c r="G643" s="6">
        <f t="shared" si="11"/>
        <v>19000</v>
      </c>
    </row>
    <row r="644" spans="1:8" hidden="1" x14ac:dyDescent="0.25">
      <c r="A644" s="17">
        <v>42800</v>
      </c>
      <c r="B644" s="10" t="s">
        <v>1404</v>
      </c>
      <c r="C644" s="11" t="s">
        <v>2281</v>
      </c>
      <c r="E644" s="231">
        <v>41000</v>
      </c>
      <c r="G644" s="6">
        <f t="shared" si="11"/>
        <v>41000</v>
      </c>
    </row>
    <row r="645" spans="1:8" hidden="1" x14ac:dyDescent="0.25">
      <c r="A645" s="17">
        <v>42800</v>
      </c>
      <c r="B645" s="10" t="s">
        <v>2058</v>
      </c>
      <c r="C645" s="11" t="s">
        <v>2281</v>
      </c>
      <c r="E645" s="231">
        <v>15000</v>
      </c>
      <c r="G645" s="6">
        <f t="shared" si="11"/>
        <v>15000</v>
      </c>
    </row>
    <row r="646" spans="1:8" hidden="1" x14ac:dyDescent="0.25">
      <c r="A646" s="17">
        <v>42823</v>
      </c>
      <c r="B646" s="10" t="s">
        <v>2109</v>
      </c>
      <c r="C646" s="11" t="s">
        <v>2281</v>
      </c>
      <c r="E646" s="231">
        <v>91600</v>
      </c>
      <c r="G646" s="6">
        <f t="shared" si="11"/>
        <v>91600</v>
      </c>
    </row>
    <row r="647" spans="1:8" hidden="1" x14ac:dyDescent="0.25">
      <c r="A647" s="17">
        <v>42823</v>
      </c>
      <c r="B647" s="10" t="s">
        <v>1404</v>
      </c>
      <c r="C647" s="11" t="s">
        <v>2281</v>
      </c>
      <c r="E647" s="231">
        <v>8250</v>
      </c>
      <c r="G647" s="6">
        <f t="shared" si="11"/>
        <v>8250</v>
      </c>
    </row>
    <row r="648" spans="1:8" hidden="1" x14ac:dyDescent="0.25">
      <c r="A648" s="17">
        <v>42823</v>
      </c>
      <c r="B648" s="10" t="s">
        <v>2109</v>
      </c>
      <c r="C648" s="11" t="s">
        <v>2281</v>
      </c>
      <c r="E648" s="231">
        <v>77000</v>
      </c>
      <c r="G648" s="6">
        <f t="shared" si="11"/>
        <v>77000</v>
      </c>
    </row>
    <row r="649" spans="1:8" hidden="1" x14ac:dyDescent="0.25">
      <c r="A649" s="17">
        <v>42824</v>
      </c>
      <c r="B649" s="10" t="s">
        <v>2058</v>
      </c>
      <c r="C649" s="11" t="s">
        <v>2281</v>
      </c>
      <c r="E649" s="231">
        <v>162660</v>
      </c>
      <c r="G649" s="6">
        <f t="shared" si="11"/>
        <v>162660</v>
      </c>
    </row>
    <row r="650" spans="1:8" hidden="1" x14ac:dyDescent="0.25">
      <c r="A650" s="17">
        <v>42828</v>
      </c>
      <c r="B650" s="10" t="s">
        <v>1688</v>
      </c>
      <c r="C650" s="11" t="s">
        <v>2281</v>
      </c>
      <c r="F650" s="9">
        <v>18972</v>
      </c>
      <c r="G650" s="6">
        <f t="shared" si="11"/>
        <v>-18972</v>
      </c>
      <c r="H650" s="81"/>
    </row>
    <row r="651" spans="1:8" hidden="1" x14ac:dyDescent="0.25">
      <c r="A651" s="17">
        <v>42828</v>
      </c>
      <c r="B651" s="10" t="s">
        <v>40</v>
      </c>
      <c r="C651" s="11" t="s">
        <v>2281</v>
      </c>
      <c r="F651" s="9">
        <v>56576</v>
      </c>
      <c r="G651" s="6">
        <f t="shared" si="11"/>
        <v>-56576</v>
      </c>
      <c r="H651" s="82"/>
    </row>
    <row r="652" spans="1:8" hidden="1" x14ac:dyDescent="0.25">
      <c r="A652" s="17">
        <v>42828</v>
      </c>
      <c r="B652" s="10" t="s">
        <v>2038</v>
      </c>
      <c r="C652" s="11" t="s">
        <v>2281</v>
      </c>
      <c r="F652" s="9">
        <v>197352</v>
      </c>
      <c r="G652" s="6">
        <f t="shared" si="11"/>
        <v>-197352</v>
      </c>
      <c r="H652" s="82" t="s">
        <v>2440</v>
      </c>
    </row>
    <row r="653" spans="1:8" hidden="1" x14ac:dyDescent="0.25">
      <c r="A653" s="17">
        <v>42828</v>
      </c>
      <c r="B653" s="10" t="s">
        <v>1407</v>
      </c>
      <c r="C653" s="11" t="s">
        <v>2281</v>
      </c>
      <c r="F653" s="9">
        <v>205200</v>
      </c>
      <c r="G653" s="6">
        <f t="shared" si="11"/>
        <v>-205200</v>
      </c>
      <c r="H653" s="82"/>
    </row>
    <row r="654" spans="1:8" hidden="1" x14ac:dyDescent="0.25">
      <c r="A654" s="17">
        <v>42828</v>
      </c>
      <c r="B654" s="10" t="s">
        <v>2058</v>
      </c>
      <c r="C654" s="11" t="s">
        <v>2281</v>
      </c>
      <c r="F654" s="9">
        <v>21900</v>
      </c>
      <c r="G654" s="6">
        <f t="shared" si="11"/>
        <v>-21900</v>
      </c>
      <c r="H654" s="83"/>
    </row>
    <row r="655" spans="1:8" hidden="1" x14ac:dyDescent="0.25">
      <c r="A655" s="17">
        <v>42833</v>
      </c>
      <c r="B655" s="10" t="s">
        <v>1820</v>
      </c>
      <c r="C655" s="11" t="s">
        <v>169</v>
      </c>
      <c r="F655" s="9">
        <v>4800</v>
      </c>
      <c r="G655" s="6">
        <f t="shared" si="11"/>
        <v>-4800</v>
      </c>
      <c r="H655" s="81"/>
    </row>
    <row r="656" spans="1:8" hidden="1" x14ac:dyDescent="0.25">
      <c r="A656" s="17">
        <v>42833</v>
      </c>
      <c r="B656" s="10" t="s">
        <v>1502</v>
      </c>
      <c r="C656" s="11" t="s">
        <v>169</v>
      </c>
      <c r="F656" s="9">
        <v>13000</v>
      </c>
      <c r="G656" s="6">
        <f t="shared" si="11"/>
        <v>-13000</v>
      </c>
      <c r="H656" s="82"/>
    </row>
    <row r="657" spans="1:8" hidden="1" x14ac:dyDescent="0.25">
      <c r="A657" s="17">
        <v>42833</v>
      </c>
      <c r="B657" s="10" t="s">
        <v>774</v>
      </c>
      <c r="C657" s="11" t="s">
        <v>169</v>
      </c>
      <c r="F657" s="9">
        <v>8652</v>
      </c>
      <c r="G657" s="6">
        <f t="shared" si="11"/>
        <v>-8652</v>
      </c>
      <c r="H657" s="82"/>
    </row>
    <row r="658" spans="1:8" hidden="1" x14ac:dyDescent="0.25">
      <c r="A658" s="17">
        <v>42833</v>
      </c>
      <c r="B658" s="10" t="s">
        <v>1222</v>
      </c>
      <c r="C658" s="11" t="s">
        <v>169</v>
      </c>
      <c r="F658" s="9">
        <v>9600</v>
      </c>
      <c r="G658" s="6">
        <f t="shared" si="11"/>
        <v>-9600</v>
      </c>
      <c r="H658" s="82" t="s">
        <v>2283</v>
      </c>
    </row>
    <row r="659" spans="1:8" hidden="1" x14ac:dyDescent="0.25">
      <c r="A659" s="17">
        <v>42833</v>
      </c>
      <c r="B659" s="10" t="s">
        <v>1406</v>
      </c>
      <c r="C659" s="11" t="s">
        <v>169</v>
      </c>
      <c r="F659" s="9">
        <v>5000</v>
      </c>
      <c r="G659" s="6">
        <f t="shared" si="11"/>
        <v>-5000</v>
      </c>
      <c r="H659" s="82"/>
    </row>
    <row r="660" spans="1:8" hidden="1" x14ac:dyDescent="0.25">
      <c r="A660" s="17">
        <v>42833</v>
      </c>
      <c r="B660" s="10" t="s">
        <v>1404</v>
      </c>
      <c r="C660" s="11" t="s">
        <v>169</v>
      </c>
      <c r="F660" s="9">
        <v>6820</v>
      </c>
      <c r="G660" s="6">
        <f t="shared" si="11"/>
        <v>-6820</v>
      </c>
      <c r="H660" s="82"/>
    </row>
    <row r="661" spans="1:8" hidden="1" x14ac:dyDescent="0.25">
      <c r="A661" s="17">
        <v>42833</v>
      </c>
      <c r="B661" s="10" t="s">
        <v>40</v>
      </c>
      <c r="C661" s="11" t="s">
        <v>169</v>
      </c>
      <c r="F661" s="9">
        <v>2128</v>
      </c>
      <c r="G661" s="6">
        <f t="shared" si="11"/>
        <v>-2128</v>
      </c>
      <c r="H661" s="83"/>
    </row>
    <row r="662" spans="1:8" hidden="1" x14ac:dyDescent="0.25">
      <c r="A662" s="17">
        <v>42835</v>
      </c>
      <c r="B662" s="10" t="s">
        <v>2109</v>
      </c>
      <c r="C662" s="11" t="s">
        <v>166</v>
      </c>
      <c r="E662" s="8">
        <v>4012</v>
      </c>
      <c r="G662" s="6">
        <f t="shared" si="11"/>
        <v>4012</v>
      </c>
    </row>
    <row r="663" spans="1:8" hidden="1" x14ac:dyDescent="0.25">
      <c r="A663" s="17">
        <v>42838</v>
      </c>
      <c r="B663" s="10" t="s">
        <v>40</v>
      </c>
      <c r="C663" s="11" t="s">
        <v>164</v>
      </c>
      <c r="F663" s="9">
        <v>19598</v>
      </c>
      <c r="G663" s="6">
        <f t="shared" si="11"/>
        <v>-19598</v>
      </c>
      <c r="H663" s="81"/>
    </row>
    <row r="664" spans="1:8" hidden="1" x14ac:dyDescent="0.25">
      <c r="A664" s="17">
        <v>42838</v>
      </c>
      <c r="B664" s="10" t="s">
        <v>2104</v>
      </c>
      <c r="C664" s="11" t="s">
        <v>164</v>
      </c>
      <c r="F664" s="9">
        <v>3305</v>
      </c>
      <c r="G664" s="6">
        <f t="shared" si="11"/>
        <v>-3305</v>
      </c>
      <c r="H664" s="82"/>
    </row>
    <row r="665" spans="1:8" hidden="1" x14ac:dyDescent="0.25">
      <c r="A665" s="17">
        <v>42838</v>
      </c>
      <c r="B665" s="10" t="s">
        <v>1818</v>
      </c>
      <c r="C665" s="11" t="s">
        <v>164</v>
      </c>
      <c r="F665" s="9">
        <v>68397</v>
      </c>
      <c r="G665" s="6">
        <f t="shared" si="11"/>
        <v>-68397</v>
      </c>
      <c r="H665" s="82" t="s">
        <v>2294</v>
      </c>
    </row>
    <row r="666" spans="1:8" hidden="1" x14ac:dyDescent="0.25">
      <c r="A666" s="17">
        <v>42838</v>
      </c>
      <c r="B666" s="10" t="s">
        <v>1404</v>
      </c>
      <c r="C666" s="11" t="s">
        <v>164</v>
      </c>
      <c r="F666" s="9">
        <v>8700</v>
      </c>
      <c r="G666" s="6">
        <f t="shared" ref="G666:G868" si="18">E666-F666</f>
        <v>-8700</v>
      </c>
      <c r="H666" s="83"/>
    </row>
    <row r="667" spans="1:8" hidden="1" x14ac:dyDescent="0.25">
      <c r="A667" s="17">
        <v>42801</v>
      </c>
      <c r="B667" s="10" t="s">
        <v>1404</v>
      </c>
      <c r="C667" s="11" t="s">
        <v>180</v>
      </c>
      <c r="E667" s="8">
        <v>29600</v>
      </c>
      <c r="G667" s="6">
        <f t="shared" si="18"/>
        <v>29600</v>
      </c>
    </row>
    <row r="668" spans="1:8" hidden="1" x14ac:dyDescent="0.25">
      <c r="A668" s="17">
        <v>42801</v>
      </c>
      <c r="B668" s="10" t="s">
        <v>1404</v>
      </c>
      <c r="C668" s="11" t="s">
        <v>180</v>
      </c>
      <c r="E668" s="8">
        <v>25560</v>
      </c>
      <c r="G668" s="6">
        <f t="shared" si="18"/>
        <v>25560</v>
      </c>
    </row>
    <row r="669" spans="1:8" hidden="1" x14ac:dyDescent="0.25">
      <c r="A669" s="17">
        <v>42789</v>
      </c>
      <c r="B669" s="10" t="s">
        <v>1404</v>
      </c>
      <c r="C669" s="11" t="s">
        <v>180</v>
      </c>
      <c r="E669" s="8">
        <v>74880</v>
      </c>
      <c r="G669" s="6">
        <f t="shared" si="18"/>
        <v>74880</v>
      </c>
    </row>
    <row r="670" spans="1:8" hidden="1" x14ac:dyDescent="0.25">
      <c r="A670" s="17">
        <v>42801</v>
      </c>
      <c r="B670" s="10" t="s">
        <v>2038</v>
      </c>
      <c r="C670" s="11" t="s">
        <v>180</v>
      </c>
      <c r="E670" s="8">
        <v>52480</v>
      </c>
      <c r="G670" s="6">
        <f t="shared" si="18"/>
        <v>52480</v>
      </c>
    </row>
    <row r="671" spans="1:8" hidden="1" x14ac:dyDescent="0.25">
      <c r="A671" s="17">
        <v>42814</v>
      </c>
      <c r="B671" s="10" t="s">
        <v>1404</v>
      </c>
      <c r="C671" s="11" t="s">
        <v>180</v>
      </c>
      <c r="E671" s="8">
        <v>16000</v>
      </c>
      <c r="G671" s="6">
        <f t="shared" si="18"/>
        <v>16000</v>
      </c>
    </row>
    <row r="672" spans="1:8" hidden="1" x14ac:dyDescent="0.25">
      <c r="A672" s="17">
        <v>42836</v>
      </c>
      <c r="B672" s="10" t="s">
        <v>2038</v>
      </c>
      <c r="C672" s="11" t="s">
        <v>180</v>
      </c>
      <c r="E672" s="8">
        <v>41400</v>
      </c>
      <c r="G672" s="6">
        <f t="shared" si="18"/>
        <v>41400</v>
      </c>
    </row>
    <row r="673" spans="1:8" hidden="1" x14ac:dyDescent="0.25">
      <c r="A673" s="17">
        <v>42836</v>
      </c>
      <c r="B673" s="10" t="s">
        <v>2038</v>
      </c>
      <c r="C673" s="11" t="s">
        <v>180</v>
      </c>
      <c r="E673" s="8">
        <v>19260</v>
      </c>
      <c r="G673" s="6">
        <f t="shared" si="18"/>
        <v>19260</v>
      </c>
    </row>
    <row r="674" spans="1:8" hidden="1" x14ac:dyDescent="0.25">
      <c r="A674" s="17">
        <v>42810</v>
      </c>
      <c r="B674" s="10" t="s">
        <v>2109</v>
      </c>
      <c r="C674" s="11" t="s">
        <v>180</v>
      </c>
      <c r="E674" s="8">
        <v>54420</v>
      </c>
      <c r="G674" s="6">
        <f t="shared" si="18"/>
        <v>54420</v>
      </c>
    </row>
    <row r="675" spans="1:8" hidden="1" x14ac:dyDescent="0.25">
      <c r="A675" s="17">
        <v>42810</v>
      </c>
      <c r="B675" s="10" t="s">
        <v>1404</v>
      </c>
      <c r="C675" s="11" t="s">
        <v>180</v>
      </c>
      <c r="E675" s="8">
        <v>99320</v>
      </c>
      <c r="G675" s="6">
        <f t="shared" si="18"/>
        <v>99320</v>
      </c>
    </row>
    <row r="676" spans="1:8" hidden="1" x14ac:dyDescent="0.25">
      <c r="A676" s="17">
        <v>42786</v>
      </c>
      <c r="B676" s="10" t="s">
        <v>1688</v>
      </c>
      <c r="C676" s="11" t="s">
        <v>180</v>
      </c>
      <c r="E676" s="8">
        <v>11640</v>
      </c>
      <c r="G676" s="6">
        <f t="shared" si="18"/>
        <v>11640</v>
      </c>
    </row>
    <row r="677" spans="1:8" hidden="1" x14ac:dyDescent="0.25">
      <c r="A677" s="17">
        <v>42786</v>
      </c>
      <c r="B677" s="10" t="s">
        <v>1404</v>
      </c>
      <c r="C677" s="11" t="s">
        <v>180</v>
      </c>
      <c r="E677" s="8">
        <v>22300</v>
      </c>
      <c r="G677" s="6">
        <f t="shared" si="18"/>
        <v>22300</v>
      </c>
    </row>
    <row r="678" spans="1:8" hidden="1" x14ac:dyDescent="0.25">
      <c r="A678" s="17">
        <v>42786</v>
      </c>
      <c r="B678" s="10" t="s">
        <v>2038</v>
      </c>
      <c r="C678" s="11" t="s">
        <v>180</v>
      </c>
      <c r="F678" s="9">
        <v>72800</v>
      </c>
      <c r="G678" s="6">
        <f t="shared" si="18"/>
        <v>-72800</v>
      </c>
      <c r="H678" s="32" t="s">
        <v>2296</v>
      </c>
    </row>
    <row r="679" spans="1:8" hidden="1" x14ac:dyDescent="0.25">
      <c r="A679" s="17">
        <v>42836</v>
      </c>
      <c r="B679" s="43" t="s">
        <v>2243</v>
      </c>
      <c r="C679" s="11" t="s">
        <v>166</v>
      </c>
      <c r="D679" s="784">
        <v>9111</v>
      </c>
      <c r="E679" s="8">
        <v>240000</v>
      </c>
      <c r="G679" s="6">
        <f t="shared" si="18"/>
        <v>240000</v>
      </c>
      <c r="H679" s="7" t="s">
        <v>2305</v>
      </c>
    </row>
    <row r="680" spans="1:8" hidden="1" x14ac:dyDescent="0.25">
      <c r="A680" s="17">
        <v>42836</v>
      </c>
      <c r="B680" s="10" t="s">
        <v>2109</v>
      </c>
      <c r="C680" s="11" t="s">
        <v>2281</v>
      </c>
      <c r="F680" s="9">
        <v>149000</v>
      </c>
      <c r="G680" s="6">
        <f t="shared" si="18"/>
        <v>-149000</v>
      </c>
      <c r="H680" s="1199" t="s">
        <v>2996</v>
      </c>
    </row>
    <row r="681" spans="1:8" hidden="1" x14ac:dyDescent="0.25">
      <c r="A681" s="17">
        <v>42836</v>
      </c>
      <c r="B681" s="10" t="s">
        <v>1222</v>
      </c>
      <c r="C681" s="11" t="s">
        <v>2281</v>
      </c>
      <c r="F681" s="9">
        <v>51000</v>
      </c>
      <c r="G681" s="6">
        <f t="shared" si="18"/>
        <v>-51000</v>
      </c>
      <c r="H681" s="1200"/>
    </row>
    <row r="682" spans="1:8" hidden="1" x14ac:dyDescent="0.25">
      <c r="A682" s="17">
        <v>42830</v>
      </c>
      <c r="B682" s="10" t="s">
        <v>1404</v>
      </c>
      <c r="C682" s="11" t="s">
        <v>164</v>
      </c>
      <c r="E682" s="8">
        <v>28566</v>
      </c>
      <c r="G682" s="6">
        <f t="shared" si="18"/>
        <v>28566</v>
      </c>
    </row>
    <row r="683" spans="1:8" hidden="1" x14ac:dyDescent="0.25">
      <c r="A683" s="17">
        <v>42831</v>
      </c>
      <c r="B683" s="10" t="s">
        <v>2280</v>
      </c>
      <c r="C683" s="11" t="s">
        <v>166</v>
      </c>
      <c r="E683" s="8">
        <v>24700</v>
      </c>
      <c r="G683" s="6">
        <f t="shared" si="18"/>
        <v>24700</v>
      </c>
    </row>
    <row r="684" spans="1:8" hidden="1" x14ac:dyDescent="0.25">
      <c r="A684" s="17">
        <v>42838</v>
      </c>
      <c r="B684" s="10" t="s">
        <v>2280</v>
      </c>
      <c r="C684" s="11" t="s">
        <v>166</v>
      </c>
      <c r="E684" s="8">
        <v>26100</v>
      </c>
      <c r="G684" s="6">
        <f t="shared" si="18"/>
        <v>26100</v>
      </c>
    </row>
    <row r="685" spans="1:8" hidden="1" x14ac:dyDescent="0.25">
      <c r="A685" s="17">
        <v>42843</v>
      </c>
      <c r="B685" s="10" t="s">
        <v>2280</v>
      </c>
      <c r="C685" s="11" t="s">
        <v>166</v>
      </c>
      <c r="E685" s="8">
        <v>5600</v>
      </c>
      <c r="G685" s="6">
        <f t="shared" si="18"/>
        <v>5600</v>
      </c>
    </row>
    <row r="686" spans="1:8" hidden="1" x14ac:dyDescent="0.25">
      <c r="A686" s="17">
        <v>42835</v>
      </c>
      <c r="B686" s="10" t="s">
        <v>1818</v>
      </c>
      <c r="C686" s="11" t="s">
        <v>166</v>
      </c>
      <c r="E686" s="8">
        <v>3300</v>
      </c>
      <c r="G686" s="6">
        <f t="shared" si="18"/>
        <v>3300</v>
      </c>
    </row>
    <row r="687" spans="1:8" hidden="1"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hidden="1" x14ac:dyDescent="0.25">
      <c r="A690" s="17">
        <v>42847</v>
      </c>
      <c r="B690" s="10" t="s">
        <v>2109</v>
      </c>
      <c r="C690" s="11" t="s">
        <v>169</v>
      </c>
      <c r="E690" s="8">
        <v>4300</v>
      </c>
      <c r="G690" s="6">
        <f t="shared" si="18"/>
        <v>4300</v>
      </c>
    </row>
    <row r="691" spans="1:8" hidden="1" x14ac:dyDescent="0.25">
      <c r="A691" s="17">
        <v>42830</v>
      </c>
      <c r="B691" s="10" t="s">
        <v>1404</v>
      </c>
      <c r="C691" s="11" t="s">
        <v>1816</v>
      </c>
      <c r="E691" s="8">
        <v>26755</v>
      </c>
      <c r="G691" s="6">
        <f t="shared" si="18"/>
        <v>26755</v>
      </c>
    </row>
    <row r="692" spans="1:8" hidden="1" x14ac:dyDescent="0.25">
      <c r="A692" s="17">
        <v>42838</v>
      </c>
      <c r="B692" s="10" t="s">
        <v>1407</v>
      </c>
      <c r="C692" s="11" t="s">
        <v>1816</v>
      </c>
      <c r="E692" s="8">
        <v>103641</v>
      </c>
      <c r="G692" s="6">
        <f t="shared" si="18"/>
        <v>103641</v>
      </c>
    </row>
    <row r="693" spans="1:8" hidden="1" x14ac:dyDescent="0.25">
      <c r="A693" s="17">
        <v>42829</v>
      </c>
      <c r="B693" s="10" t="s">
        <v>1404</v>
      </c>
      <c r="C693" s="11" t="s">
        <v>1816</v>
      </c>
      <c r="E693" s="8">
        <v>1442</v>
      </c>
      <c r="G693" s="6">
        <f t="shared" si="18"/>
        <v>1442</v>
      </c>
    </row>
    <row r="694" spans="1:8" hidden="1" x14ac:dyDescent="0.25">
      <c r="A694" s="17">
        <v>42832</v>
      </c>
      <c r="B694" s="10" t="s">
        <v>1404</v>
      </c>
      <c r="C694" s="11" t="s">
        <v>1816</v>
      </c>
      <c r="F694" s="9">
        <v>28035</v>
      </c>
      <c r="G694" s="6">
        <f t="shared" si="18"/>
        <v>-28035</v>
      </c>
      <c r="H694" s="7" t="s">
        <v>2337</v>
      </c>
    </row>
    <row r="695" spans="1:8" hidden="1" x14ac:dyDescent="0.25">
      <c r="A695" s="17">
        <v>42838</v>
      </c>
      <c r="B695" s="10" t="s">
        <v>1404</v>
      </c>
      <c r="C695" s="11" t="s">
        <v>1816</v>
      </c>
      <c r="E695" s="8">
        <v>33150</v>
      </c>
      <c r="G695" s="6">
        <f t="shared" si="18"/>
        <v>33150</v>
      </c>
    </row>
    <row r="696" spans="1:8" hidden="1" x14ac:dyDescent="0.25">
      <c r="A696" s="17">
        <v>42851</v>
      </c>
      <c r="B696" s="10" t="s">
        <v>1818</v>
      </c>
      <c r="C696" s="11" t="s">
        <v>161</v>
      </c>
      <c r="F696" s="9">
        <v>1500</v>
      </c>
      <c r="G696" s="6">
        <f t="shared" si="18"/>
        <v>-1500</v>
      </c>
      <c r="H696" s="32" t="s">
        <v>2338</v>
      </c>
    </row>
    <row r="697" spans="1:8" hidden="1" x14ac:dyDescent="0.25">
      <c r="A697" s="17">
        <v>42851</v>
      </c>
      <c r="B697" s="10" t="s">
        <v>40</v>
      </c>
      <c r="C697" s="11" t="s">
        <v>161</v>
      </c>
      <c r="F697" s="9">
        <v>245069</v>
      </c>
      <c r="G697" s="6">
        <f t="shared" si="18"/>
        <v>-245069</v>
      </c>
      <c r="H697" s="32" t="s">
        <v>2340</v>
      </c>
    </row>
    <row r="698" spans="1:8" hidden="1" x14ac:dyDescent="0.25">
      <c r="A698" s="17">
        <v>42851</v>
      </c>
      <c r="B698" s="10" t="s">
        <v>1404</v>
      </c>
      <c r="C698" s="11" t="s">
        <v>161</v>
      </c>
      <c r="F698" s="9">
        <v>38431</v>
      </c>
      <c r="G698" s="6">
        <f t="shared" si="18"/>
        <v>-38431</v>
      </c>
      <c r="H698" s="32" t="s">
        <v>2339</v>
      </c>
    </row>
    <row r="699" spans="1:8" hidden="1" x14ac:dyDescent="0.25">
      <c r="A699" s="17">
        <v>42851</v>
      </c>
      <c r="B699" s="10" t="s">
        <v>2109</v>
      </c>
      <c r="C699" s="11" t="s">
        <v>166</v>
      </c>
      <c r="E699" s="8">
        <v>15400</v>
      </c>
      <c r="G699" s="6">
        <f t="shared" si="18"/>
        <v>15400</v>
      </c>
    </row>
    <row r="700" spans="1:8" hidden="1" x14ac:dyDescent="0.25">
      <c r="A700" s="17">
        <v>42850</v>
      </c>
      <c r="B700" s="10" t="s">
        <v>1407</v>
      </c>
      <c r="C700" s="11" t="s">
        <v>1828</v>
      </c>
      <c r="E700" s="8">
        <v>67883</v>
      </c>
      <c r="G700" s="6">
        <f t="shared" si="18"/>
        <v>67883</v>
      </c>
    </row>
    <row r="701" spans="1:8" hidden="1" x14ac:dyDescent="0.25">
      <c r="A701" s="17">
        <v>42843</v>
      </c>
      <c r="B701" s="10" t="s">
        <v>2280</v>
      </c>
      <c r="C701" s="11" t="s">
        <v>180</v>
      </c>
      <c r="E701" s="8">
        <v>20360</v>
      </c>
      <c r="G701" s="6">
        <f t="shared" si="18"/>
        <v>20360</v>
      </c>
    </row>
    <row r="702" spans="1:8" hidden="1" x14ac:dyDescent="0.25">
      <c r="A702" s="17">
        <v>42892</v>
      </c>
      <c r="B702" s="10" t="s">
        <v>1404</v>
      </c>
      <c r="C702" s="11" t="s">
        <v>180</v>
      </c>
      <c r="E702" s="8">
        <v>16800</v>
      </c>
      <c r="G702" s="6">
        <f t="shared" si="18"/>
        <v>16800</v>
      </c>
    </row>
    <row r="703" spans="1:8" hidden="1" x14ac:dyDescent="0.25">
      <c r="A703" s="17">
        <v>42971</v>
      </c>
      <c r="B703" s="10" t="s">
        <v>2243</v>
      </c>
      <c r="C703" s="11" t="s">
        <v>180</v>
      </c>
      <c r="E703" s="8">
        <v>22000</v>
      </c>
      <c r="G703" s="6">
        <f t="shared" ref="G703:G704" si="19">E703-F703</f>
        <v>22000</v>
      </c>
    </row>
    <row r="704" spans="1:8" hidden="1" x14ac:dyDescent="0.25">
      <c r="A704" s="17">
        <v>43011</v>
      </c>
      <c r="B704" s="10" t="s">
        <v>1407</v>
      </c>
      <c r="C704" s="11" t="s">
        <v>180</v>
      </c>
      <c r="E704" s="8">
        <v>20050</v>
      </c>
      <c r="G704" s="6">
        <f t="shared" si="19"/>
        <v>20050</v>
      </c>
    </row>
    <row r="705" spans="1:8" hidden="1" x14ac:dyDescent="0.25">
      <c r="A705" s="17">
        <v>42853</v>
      </c>
      <c r="B705" s="10" t="s">
        <v>40</v>
      </c>
      <c r="C705" s="11" t="s">
        <v>180</v>
      </c>
      <c r="F705" s="9">
        <v>135393</v>
      </c>
      <c r="G705" s="6">
        <f t="shared" si="18"/>
        <v>-135393</v>
      </c>
      <c r="H705" s="81"/>
    </row>
    <row r="706" spans="1:8" hidden="1" x14ac:dyDescent="0.25">
      <c r="A706" s="17">
        <v>42853</v>
      </c>
      <c r="B706" s="10" t="s">
        <v>1688</v>
      </c>
      <c r="C706" s="11" t="s">
        <v>180</v>
      </c>
      <c r="F706" s="9">
        <v>41170</v>
      </c>
      <c r="G706" s="6">
        <f t="shared" si="18"/>
        <v>-41170</v>
      </c>
      <c r="H706" s="82"/>
    </row>
    <row r="707" spans="1:8" hidden="1" x14ac:dyDescent="0.25">
      <c r="A707" s="17">
        <v>42853</v>
      </c>
      <c r="B707" s="10" t="s">
        <v>1404</v>
      </c>
      <c r="C707" s="11" t="s">
        <v>180</v>
      </c>
      <c r="F707" s="9">
        <v>62737</v>
      </c>
      <c r="G707" s="6">
        <f t="shared" si="18"/>
        <v>-62737</v>
      </c>
      <c r="H707" s="82" t="s">
        <v>2349</v>
      </c>
    </row>
    <row r="708" spans="1:8" hidden="1" x14ac:dyDescent="0.25">
      <c r="A708" s="17">
        <v>42853</v>
      </c>
      <c r="B708" s="10" t="s">
        <v>2038</v>
      </c>
      <c r="C708" s="11" t="s">
        <v>180</v>
      </c>
      <c r="F708" s="9">
        <v>40340</v>
      </c>
      <c r="G708" s="6">
        <f t="shared" si="18"/>
        <v>-40340</v>
      </c>
      <c r="H708" s="82"/>
    </row>
    <row r="709" spans="1:8" hidden="1" x14ac:dyDescent="0.25">
      <c r="A709" s="17">
        <v>42853</v>
      </c>
      <c r="B709" s="10" t="s">
        <v>2280</v>
      </c>
      <c r="C709" s="11" t="s">
        <v>180</v>
      </c>
      <c r="F709" s="9">
        <v>20360</v>
      </c>
      <c r="G709" s="6">
        <f t="shared" si="18"/>
        <v>-20360</v>
      </c>
      <c r="H709" s="83"/>
    </row>
    <row r="710" spans="1:8" hidden="1" x14ac:dyDescent="0.25">
      <c r="A710" s="17">
        <v>42854</v>
      </c>
      <c r="B710" s="10" t="s">
        <v>1404</v>
      </c>
      <c r="C710" s="11" t="s">
        <v>169</v>
      </c>
      <c r="E710" s="8">
        <v>10000</v>
      </c>
      <c r="G710" s="6">
        <f t="shared" si="18"/>
        <v>10000</v>
      </c>
    </row>
    <row r="711" spans="1:8" hidden="1" x14ac:dyDescent="0.25">
      <c r="A711" s="17">
        <v>42838</v>
      </c>
      <c r="B711" s="10" t="s">
        <v>1404</v>
      </c>
      <c r="C711" s="11" t="s">
        <v>164</v>
      </c>
      <c r="E711" s="8">
        <v>1407</v>
      </c>
      <c r="G711" s="6">
        <f t="shared" si="18"/>
        <v>1407</v>
      </c>
    </row>
    <row r="712" spans="1:8" hidden="1" x14ac:dyDescent="0.25">
      <c r="A712" s="17">
        <v>42838</v>
      </c>
      <c r="B712" s="10" t="s">
        <v>1407</v>
      </c>
      <c r="C712" s="11" t="s">
        <v>164</v>
      </c>
      <c r="E712" s="8">
        <v>2155</v>
      </c>
      <c r="G712" s="6">
        <f t="shared" si="18"/>
        <v>2155</v>
      </c>
    </row>
    <row r="713" spans="1:8" hidden="1" x14ac:dyDescent="0.25">
      <c r="A713" s="17">
        <v>42846</v>
      </c>
      <c r="B713" s="10" t="s">
        <v>2109</v>
      </c>
      <c r="C713" s="11" t="s">
        <v>164</v>
      </c>
      <c r="E713" s="8">
        <v>4304</v>
      </c>
      <c r="G713" s="6">
        <f t="shared" si="18"/>
        <v>4304</v>
      </c>
    </row>
    <row r="714" spans="1:8" hidden="1" x14ac:dyDescent="0.25">
      <c r="A714" s="17">
        <v>42852</v>
      </c>
      <c r="B714" s="10" t="s">
        <v>1407</v>
      </c>
      <c r="C714" s="11" t="s">
        <v>1828</v>
      </c>
      <c r="D714" s="784">
        <v>396</v>
      </c>
      <c r="E714" s="8">
        <v>124666</v>
      </c>
      <c r="G714" s="6">
        <f t="shared" si="18"/>
        <v>124666</v>
      </c>
    </row>
    <row r="715" spans="1:8" hidden="1" x14ac:dyDescent="0.25">
      <c r="A715" s="17">
        <v>42858</v>
      </c>
      <c r="B715" s="10" t="s">
        <v>2109</v>
      </c>
      <c r="C715" s="11" t="s">
        <v>164</v>
      </c>
      <c r="E715" s="8">
        <v>14633</v>
      </c>
      <c r="G715" s="6">
        <f t="shared" si="18"/>
        <v>14633</v>
      </c>
    </row>
    <row r="716" spans="1:8" hidden="1" x14ac:dyDescent="0.25">
      <c r="A716" s="17">
        <v>42854</v>
      </c>
      <c r="B716" s="10" t="s">
        <v>1404</v>
      </c>
      <c r="C716" s="11" t="s">
        <v>161</v>
      </c>
      <c r="E716" s="8">
        <v>12083</v>
      </c>
      <c r="G716" s="6">
        <f t="shared" si="18"/>
        <v>12083</v>
      </c>
    </row>
    <row r="717" spans="1:8" hidden="1" x14ac:dyDescent="0.25">
      <c r="A717" s="17">
        <v>42873</v>
      </c>
      <c r="B717" s="10" t="s">
        <v>1407</v>
      </c>
      <c r="C717" s="11" t="s">
        <v>1828</v>
      </c>
      <c r="E717" s="8">
        <v>152671</v>
      </c>
      <c r="G717" s="6">
        <f t="shared" si="18"/>
        <v>152671</v>
      </c>
    </row>
    <row r="718" spans="1:8" hidden="1" x14ac:dyDescent="0.25">
      <c r="A718" s="17">
        <v>42861</v>
      </c>
      <c r="B718" s="10" t="s">
        <v>2422</v>
      </c>
      <c r="C718" s="11" t="s">
        <v>161</v>
      </c>
      <c r="E718" s="8">
        <v>907</v>
      </c>
      <c r="G718" s="6">
        <f t="shared" si="18"/>
        <v>907</v>
      </c>
    </row>
    <row r="719" spans="1:8" hidden="1" x14ac:dyDescent="0.25">
      <c r="A719" s="17">
        <v>42875</v>
      </c>
      <c r="B719" s="10" t="s">
        <v>1407</v>
      </c>
      <c r="C719" s="11" t="s">
        <v>164</v>
      </c>
      <c r="F719" s="9">
        <v>2155</v>
      </c>
      <c r="G719" s="6">
        <f t="shared" si="18"/>
        <v>-2155</v>
      </c>
      <c r="H719" s="81"/>
    </row>
    <row r="720" spans="1:8" hidden="1" x14ac:dyDescent="0.25">
      <c r="A720" s="17">
        <v>42875</v>
      </c>
      <c r="B720" s="10" t="s">
        <v>2109</v>
      </c>
      <c r="C720" s="11" t="s">
        <v>164</v>
      </c>
      <c r="F720" s="9">
        <v>18937</v>
      </c>
      <c r="G720" s="6">
        <f t="shared" si="18"/>
        <v>-18937</v>
      </c>
      <c r="H720" s="82" t="s">
        <v>2428</v>
      </c>
    </row>
    <row r="721" spans="1:8" hidden="1" x14ac:dyDescent="0.25">
      <c r="A721" s="17">
        <v>42875</v>
      </c>
      <c r="B721" s="10" t="s">
        <v>1404</v>
      </c>
      <c r="C721" s="11" t="s">
        <v>164</v>
      </c>
      <c r="F721" s="9">
        <v>78908</v>
      </c>
      <c r="G721" s="6">
        <f t="shared" si="18"/>
        <v>-78908</v>
      </c>
      <c r="H721" s="83"/>
    </row>
    <row r="722" spans="1:8" hidden="1" x14ac:dyDescent="0.25">
      <c r="A722" s="17">
        <v>42875</v>
      </c>
      <c r="B722" s="10" t="s">
        <v>2422</v>
      </c>
      <c r="C722" s="11" t="s">
        <v>161</v>
      </c>
      <c r="F722" s="9">
        <v>907</v>
      </c>
      <c r="G722" s="6">
        <f t="shared" si="18"/>
        <v>-907</v>
      </c>
      <c r="H722" s="1199" t="s">
        <v>2430</v>
      </c>
    </row>
    <row r="723" spans="1:8" hidden="1" x14ac:dyDescent="0.25">
      <c r="A723" s="17">
        <v>42875</v>
      </c>
      <c r="B723" s="10" t="s">
        <v>1404</v>
      </c>
      <c r="C723" s="11" t="s">
        <v>161</v>
      </c>
      <c r="F723" s="9">
        <v>99093</v>
      </c>
      <c r="G723" s="6">
        <f t="shared" si="18"/>
        <v>-99093</v>
      </c>
      <c r="H723" s="1200"/>
    </row>
    <row r="724" spans="1:8" hidden="1" x14ac:dyDescent="0.25">
      <c r="A724" s="17">
        <v>42875</v>
      </c>
      <c r="B724" s="10" t="s">
        <v>2109</v>
      </c>
      <c r="C724" s="11" t="s">
        <v>169</v>
      </c>
      <c r="F724" s="9">
        <v>4300</v>
      </c>
      <c r="G724" s="6">
        <f t="shared" si="18"/>
        <v>-4300</v>
      </c>
      <c r="H724" s="81"/>
    </row>
    <row r="725" spans="1:8" hidden="1" x14ac:dyDescent="0.25">
      <c r="A725" s="17">
        <v>42875</v>
      </c>
      <c r="B725" s="10" t="s">
        <v>1404</v>
      </c>
      <c r="C725" s="11" t="s">
        <v>169</v>
      </c>
      <c r="F725" s="9">
        <v>10000</v>
      </c>
      <c r="G725" s="6">
        <f t="shared" si="18"/>
        <v>-10000</v>
      </c>
      <c r="H725" s="82" t="s">
        <v>2429</v>
      </c>
    </row>
    <row r="726" spans="1:8" hidden="1" x14ac:dyDescent="0.25">
      <c r="A726" s="17">
        <v>42875</v>
      </c>
      <c r="B726" s="10" t="s">
        <v>2104</v>
      </c>
      <c r="C726" s="11" t="s">
        <v>169</v>
      </c>
      <c r="F726" s="9">
        <v>28444</v>
      </c>
      <c r="G726" s="6">
        <f t="shared" si="18"/>
        <v>-28444</v>
      </c>
      <c r="H726" s="82"/>
    </row>
    <row r="727" spans="1:8" hidden="1" x14ac:dyDescent="0.25">
      <c r="A727" s="17">
        <v>42875</v>
      </c>
      <c r="B727" s="10" t="s">
        <v>40</v>
      </c>
      <c r="C727" s="11" t="s">
        <v>169</v>
      </c>
      <c r="F727" s="9">
        <v>7256</v>
      </c>
      <c r="G727" s="6">
        <f t="shared" si="18"/>
        <v>-7256</v>
      </c>
      <c r="H727" s="83"/>
    </row>
    <row r="728" spans="1:8" hidden="1" x14ac:dyDescent="0.25">
      <c r="A728" s="17">
        <v>42875</v>
      </c>
      <c r="B728" s="10" t="s">
        <v>1407</v>
      </c>
      <c r="C728" s="11" t="s">
        <v>1816</v>
      </c>
      <c r="F728" s="9">
        <v>100000</v>
      </c>
      <c r="G728" s="6">
        <f t="shared" si="18"/>
        <v>-100000</v>
      </c>
      <c r="H728" s="138"/>
    </row>
    <row r="729" spans="1:8" hidden="1" x14ac:dyDescent="0.25">
      <c r="A729" s="17">
        <v>42875</v>
      </c>
      <c r="B729" s="10" t="s">
        <v>1404</v>
      </c>
      <c r="C729" s="11" t="s">
        <v>1816</v>
      </c>
      <c r="F729" s="9">
        <v>100000</v>
      </c>
      <c r="G729" s="6">
        <f t="shared" si="18"/>
        <v>-100000</v>
      </c>
      <c r="H729" s="127"/>
    </row>
    <row r="730" spans="1:8" hidden="1" x14ac:dyDescent="0.25">
      <c r="A730" s="17">
        <v>42875</v>
      </c>
      <c r="B730" s="10" t="s">
        <v>33</v>
      </c>
      <c r="C730" s="11" t="s">
        <v>1816</v>
      </c>
      <c r="F730" s="9">
        <v>50000</v>
      </c>
      <c r="G730" s="6">
        <f t="shared" si="18"/>
        <v>-50000</v>
      </c>
      <c r="H730" s="82" t="s">
        <v>2432</v>
      </c>
    </row>
    <row r="731" spans="1:8" hidden="1" x14ac:dyDescent="0.25">
      <c r="A731" s="17">
        <v>42875</v>
      </c>
      <c r="B731" s="10" t="s">
        <v>32</v>
      </c>
      <c r="C731" s="11" t="s">
        <v>1816</v>
      </c>
      <c r="F731" s="9">
        <v>50000</v>
      </c>
      <c r="G731" s="6">
        <f t="shared" si="18"/>
        <v>-50000</v>
      </c>
      <c r="H731" s="139"/>
    </row>
    <row r="732" spans="1:8" hidden="1" x14ac:dyDescent="0.25">
      <c r="A732" s="17">
        <v>42863</v>
      </c>
      <c r="B732" s="10" t="s">
        <v>1407</v>
      </c>
      <c r="C732" s="11" t="s">
        <v>1816</v>
      </c>
      <c r="E732" s="140">
        <v>32711</v>
      </c>
      <c r="G732" s="6">
        <f t="shared" si="18"/>
        <v>32711</v>
      </c>
    </row>
    <row r="733" spans="1:8" hidden="1" x14ac:dyDescent="0.25">
      <c r="A733" s="17">
        <v>42864</v>
      </c>
      <c r="B733" s="10" t="s">
        <v>1407</v>
      </c>
      <c r="C733" s="11" t="s">
        <v>1816</v>
      </c>
      <c r="E733" s="140">
        <v>2806</v>
      </c>
      <c r="G733" s="6">
        <f t="shared" si="18"/>
        <v>2806</v>
      </c>
    </row>
    <row r="734" spans="1:8" hidden="1" x14ac:dyDescent="0.25">
      <c r="A734" s="17">
        <v>42870</v>
      </c>
      <c r="B734" s="10" t="s">
        <v>38</v>
      </c>
      <c r="C734" s="11" t="s">
        <v>161</v>
      </c>
      <c r="E734" s="8">
        <v>2318</v>
      </c>
      <c r="G734" s="6">
        <f t="shared" si="18"/>
        <v>2318</v>
      </c>
    </row>
    <row r="735" spans="1:8" hidden="1" x14ac:dyDescent="0.25">
      <c r="A735" s="17">
        <v>42875</v>
      </c>
      <c r="B735" s="10" t="s">
        <v>2288</v>
      </c>
      <c r="C735" s="11" t="s">
        <v>164</v>
      </c>
      <c r="E735" s="8">
        <v>6104</v>
      </c>
      <c r="G735" s="6">
        <f t="shared" si="18"/>
        <v>6104</v>
      </c>
    </row>
    <row r="736" spans="1:8" hidden="1" x14ac:dyDescent="0.25">
      <c r="A736" s="17">
        <v>42858</v>
      </c>
      <c r="B736" s="10" t="s">
        <v>2288</v>
      </c>
      <c r="C736" s="11" t="s">
        <v>164</v>
      </c>
      <c r="G736" s="6">
        <f t="shared" si="18"/>
        <v>0</v>
      </c>
    </row>
    <row r="737" spans="1:8" hidden="1" x14ac:dyDescent="0.25">
      <c r="A737" s="17">
        <v>42863</v>
      </c>
      <c r="B737" s="10" t="s">
        <v>2109</v>
      </c>
      <c r="C737" s="11" t="s">
        <v>166</v>
      </c>
      <c r="E737" s="8">
        <v>37100</v>
      </c>
      <c r="G737" s="6">
        <f t="shared" si="18"/>
        <v>37100</v>
      </c>
    </row>
    <row r="738" spans="1:8" hidden="1" x14ac:dyDescent="0.25">
      <c r="A738" s="144">
        <v>42866</v>
      </c>
      <c r="B738" s="10" t="s">
        <v>2280</v>
      </c>
      <c r="C738" s="11" t="s">
        <v>166</v>
      </c>
      <c r="E738" s="8">
        <v>3264</v>
      </c>
      <c r="G738" s="6">
        <f t="shared" si="18"/>
        <v>3264</v>
      </c>
    </row>
    <row r="739" spans="1:8" hidden="1" x14ac:dyDescent="0.25">
      <c r="A739" s="17">
        <v>42880</v>
      </c>
      <c r="B739" s="145" t="s">
        <v>1404</v>
      </c>
      <c r="C739" s="146" t="s">
        <v>164</v>
      </c>
      <c r="D739" s="786"/>
      <c r="E739" s="147"/>
      <c r="F739" s="148">
        <v>100000</v>
      </c>
      <c r="G739" s="149">
        <f t="shared" si="18"/>
        <v>-100000</v>
      </c>
      <c r="H739" s="32" t="s">
        <v>2434</v>
      </c>
    </row>
    <row r="740" spans="1:8" hidden="1" x14ac:dyDescent="0.25">
      <c r="A740" s="17">
        <v>42880</v>
      </c>
      <c r="B740" s="150" t="s">
        <v>33</v>
      </c>
      <c r="C740" s="151" t="s">
        <v>1816</v>
      </c>
      <c r="D740" s="787"/>
      <c r="E740" s="152"/>
      <c r="F740" s="153">
        <v>100000</v>
      </c>
      <c r="G740" s="154">
        <f t="shared" si="18"/>
        <v>-100000</v>
      </c>
      <c r="H740" s="1199" t="s">
        <v>2438</v>
      </c>
    </row>
    <row r="741" spans="1:8" hidden="1" x14ac:dyDescent="0.25">
      <c r="A741" s="17">
        <v>42880</v>
      </c>
      <c r="B741" s="155" t="s">
        <v>32</v>
      </c>
      <c r="C741" s="156" t="s">
        <v>1816</v>
      </c>
      <c r="D741" s="788"/>
      <c r="E741" s="157"/>
      <c r="F741" s="158">
        <v>100000</v>
      </c>
      <c r="G741" s="159">
        <f t="shared" si="18"/>
        <v>-100000</v>
      </c>
      <c r="H741" s="1200"/>
    </row>
    <row r="742" spans="1:8" hidden="1" x14ac:dyDescent="0.25">
      <c r="A742" s="17">
        <v>42880</v>
      </c>
      <c r="B742" s="150" t="s">
        <v>2243</v>
      </c>
      <c r="C742" s="151" t="s">
        <v>166</v>
      </c>
      <c r="D742" s="787"/>
      <c r="E742" s="152"/>
      <c r="F742" s="153">
        <v>14455</v>
      </c>
      <c r="G742" s="154">
        <f t="shared" si="18"/>
        <v>-14455</v>
      </c>
      <c r="H742" s="81"/>
    </row>
    <row r="743" spans="1:8" hidden="1" x14ac:dyDescent="0.25">
      <c r="A743" s="17">
        <v>42880</v>
      </c>
      <c r="B743" s="10" t="s">
        <v>2109</v>
      </c>
      <c r="C743" s="11" t="s">
        <v>166</v>
      </c>
      <c r="F743" s="9">
        <v>1085</v>
      </c>
      <c r="G743" s="6">
        <f t="shared" si="18"/>
        <v>-1085</v>
      </c>
      <c r="H743" s="82"/>
    </row>
    <row r="744" spans="1:8" hidden="1" x14ac:dyDescent="0.25">
      <c r="A744" s="17">
        <v>42880</v>
      </c>
      <c r="B744" s="10" t="s">
        <v>1688</v>
      </c>
      <c r="C744" s="11" t="s">
        <v>166</v>
      </c>
      <c r="F744" s="9">
        <v>3276</v>
      </c>
      <c r="G744" s="6">
        <f t="shared" si="18"/>
        <v>-3276</v>
      </c>
      <c r="H744" s="32" t="s">
        <v>2437</v>
      </c>
    </row>
    <row r="745" spans="1:8" hidden="1" x14ac:dyDescent="0.25">
      <c r="A745" s="17">
        <v>42880</v>
      </c>
      <c r="B745" s="10" t="s">
        <v>1818</v>
      </c>
      <c r="C745" s="11" t="s">
        <v>166</v>
      </c>
      <c r="F745" s="9">
        <v>12900</v>
      </c>
      <c r="G745" s="6">
        <f t="shared" si="18"/>
        <v>-12900</v>
      </c>
      <c r="H745" s="82"/>
    </row>
    <row r="746" spans="1:8" hidden="1" x14ac:dyDescent="0.25">
      <c r="A746" s="17">
        <v>42880</v>
      </c>
      <c r="B746" s="10" t="s">
        <v>2104</v>
      </c>
      <c r="C746" s="11" t="s">
        <v>166</v>
      </c>
      <c r="F746" s="9">
        <v>8620</v>
      </c>
      <c r="G746" s="6">
        <f t="shared" si="18"/>
        <v>-8620</v>
      </c>
      <c r="H746" s="82"/>
    </row>
    <row r="747" spans="1:8" hidden="1" x14ac:dyDescent="0.25">
      <c r="A747" s="17">
        <v>42880</v>
      </c>
      <c r="B747" s="155" t="s">
        <v>2280</v>
      </c>
      <c r="C747" s="156" t="s">
        <v>166</v>
      </c>
      <c r="D747" s="788"/>
      <c r="E747" s="157"/>
      <c r="F747" s="158">
        <v>59664</v>
      </c>
      <c r="G747" s="159">
        <f t="shared" si="18"/>
        <v>-59664</v>
      </c>
      <c r="H747" s="83"/>
    </row>
    <row r="748" spans="1:8" hidden="1" x14ac:dyDescent="0.25">
      <c r="A748" s="17">
        <v>42880</v>
      </c>
      <c r="B748" s="145" t="s">
        <v>1222</v>
      </c>
      <c r="C748" s="146" t="s">
        <v>2281</v>
      </c>
      <c r="D748" s="786"/>
      <c r="E748" s="147"/>
      <c r="F748" s="148">
        <v>150000</v>
      </c>
      <c r="G748" s="149">
        <f t="shared" si="18"/>
        <v>-150000</v>
      </c>
      <c r="H748" s="32" t="s">
        <v>2441</v>
      </c>
    </row>
    <row r="749" spans="1:8" hidden="1" x14ac:dyDescent="0.25">
      <c r="A749" s="17">
        <v>42880</v>
      </c>
      <c r="B749" s="145" t="s">
        <v>1222</v>
      </c>
      <c r="C749" s="146" t="s">
        <v>2281</v>
      </c>
      <c r="D749" s="786"/>
      <c r="E749" s="147"/>
      <c r="F749" s="148">
        <v>150000</v>
      </c>
      <c r="G749" s="149">
        <f t="shared" si="18"/>
        <v>-150000</v>
      </c>
      <c r="H749" s="32" t="s">
        <v>2442</v>
      </c>
    </row>
    <row r="750" spans="1:8" hidden="1" x14ac:dyDescent="0.25">
      <c r="A750" s="17">
        <v>42877</v>
      </c>
      <c r="B750" s="10" t="s">
        <v>2288</v>
      </c>
      <c r="C750" s="11" t="s">
        <v>166</v>
      </c>
      <c r="E750" s="8">
        <v>22700</v>
      </c>
      <c r="G750" s="149">
        <f t="shared" si="18"/>
        <v>22700</v>
      </c>
    </row>
    <row r="751" spans="1:8" hidden="1" x14ac:dyDescent="0.25">
      <c r="A751" s="17">
        <v>42880</v>
      </c>
      <c r="B751" s="10" t="s">
        <v>2038</v>
      </c>
      <c r="C751" s="11" t="s">
        <v>166</v>
      </c>
      <c r="E751" s="8">
        <v>5600</v>
      </c>
      <c r="G751" s="149">
        <f t="shared" si="18"/>
        <v>5600</v>
      </c>
    </row>
    <row r="752" spans="1:8" hidden="1" x14ac:dyDescent="0.25">
      <c r="A752" s="17">
        <v>42879</v>
      </c>
      <c r="B752" s="10" t="s">
        <v>2038</v>
      </c>
      <c r="C752" s="11" t="s">
        <v>166</v>
      </c>
      <c r="E752" s="8">
        <v>40996</v>
      </c>
      <c r="G752" s="149">
        <f t="shared" si="18"/>
        <v>40996</v>
      </c>
    </row>
    <row r="753" spans="1:7" hidden="1" x14ac:dyDescent="0.25">
      <c r="A753" s="17">
        <v>42884</v>
      </c>
      <c r="B753" s="10" t="s">
        <v>1407</v>
      </c>
      <c r="C753" s="11" t="s">
        <v>1828</v>
      </c>
      <c r="E753" s="231">
        <v>15210</v>
      </c>
      <c r="G753" s="6">
        <f t="shared" si="18"/>
        <v>15210</v>
      </c>
    </row>
    <row r="754" spans="1:7" hidden="1"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hidden="1" x14ac:dyDescent="0.25">
      <c r="A756" s="17">
        <v>42882</v>
      </c>
      <c r="B756" s="10" t="s">
        <v>2038</v>
      </c>
      <c r="C756" s="11" t="s">
        <v>166</v>
      </c>
      <c r="E756" s="8">
        <v>9900</v>
      </c>
      <c r="G756" s="6">
        <f t="shared" si="18"/>
        <v>9900</v>
      </c>
    </row>
    <row r="757" spans="1:7" hidden="1" x14ac:dyDescent="0.25">
      <c r="A757" s="17">
        <v>42881</v>
      </c>
      <c r="B757" s="10" t="s">
        <v>1688</v>
      </c>
      <c r="C757" s="11" t="s">
        <v>166</v>
      </c>
      <c r="E757" s="8">
        <v>1400</v>
      </c>
      <c r="G757" s="6">
        <f t="shared" si="18"/>
        <v>1400</v>
      </c>
    </row>
    <row r="758" spans="1:7" hidden="1" x14ac:dyDescent="0.25">
      <c r="A758" s="17">
        <v>42875</v>
      </c>
      <c r="B758" s="10" t="s">
        <v>2058</v>
      </c>
      <c r="C758" s="11" t="s">
        <v>161</v>
      </c>
      <c r="E758" s="8">
        <v>58092</v>
      </c>
      <c r="G758" s="6">
        <f t="shared" si="18"/>
        <v>58092</v>
      </c>
    </row>
    <row r="759" spans="1:7" hidden="1" x14ac:dyDescent="0.25">
      <c r="A759" s="17">
        <v>42899</v>
      </c>
      <c r="B759" s="10" t="s">
        <v>2288</v>
      </c>
      <c r="C759" s="11" t="s">
        <v>164</v>
      </c>
      <c r="E759" s="8">
        <v>585</v>
      </c>
      <c r="G759" s="6">
        <f t="shared" si="18"/>
        <v>585</v>
      </c>
    </row>
    <row r="760" spans="1:7" hidden="1" x14ac:dyDescent="0.25">
      <c r="A760" s="17">
        <v>42889</v>
      </c>
      <c r="B760" s="10" t="s">
        <v>1407</v>
      </c>
      <c r="C760" s="11" t="s">
        <v>1828</v>
      </c>
      <c r="D760" s="784">
        <v>453</v>
      </c>
      <c r="E760" s="8">
        <v>177080</v>
      </c>
      <c r="G760" s="6">
        <f t="shared" si="18"/>
        <v>177080</v>
      </c>
    </row>
    <row r="761" spans="1:7" hidden="1"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hidden="1" x14ac:dyDescent="0.25">
      <c r="A763" s="17">
        <v>42908</v>
      </c>
      <c r="B763" s="10" t="s">
        <v>1407</v>
      </c>
      <c r="C763" s="11" t="s">
        <v>1828</v>
      </c>
      <c r="F763" s="9">
        <v>1000000</v>
      </c>
      <c r="G763" s="6">
        <f t="shared" si="18"/>
        <v>-1000000</v>
      </c>
    </row>
    <row r="764" spans="1:7" hidden="1" x14ac:dyDescent="0.25">
      <c r="A764" s="17">
        <v>42902</v>
      </c>
      <c r="B764" s="10" t="s">
        <v>2288</v>
      </c>
      <c r="C764" s="11" t="s">
        <v>166</v>
      </c>
      <c r="E764" s="8">
        <v>27600</v>
      </c>
      <c r="G764" s="6">
        <f t="shared" si="18"/>
        <v>27600</v>
      </c>
    </row>
    <row r="765" spans="1:7" hidden="1" x14ac:dyDescent="0.25">
      <c r="A765" s="17">
        <v>42906</v>
      </c>
      <c r="B765" s="10" t="s">
        <v>2288</v>
      </c>
      <c r="C765" s="11" t="s">
        <v>166</v>
      </c>
      <c r="E765" s="8">
        <v>3300</v>
      </c>
      <c r="G765" s="6">
        <f t="shared" si="18"/>
        <v>3300</v>
      </c>
    </row>
    <row r="766" spans="1:7" hidden="1" x14ac:dyDescent="0.25">
      <c r="A766" s="17">
        <v>42908</v>
      </c>
      <c r="B766" s="10" t="s">
        <v>2038</v>
      </c>
      <c r="C766" s="11" t="s">
        <v>166</v>
      </c>
      <c r="E766" s="8">
        <v>2268</v>
      </c>
      <c r="G766" s="6">
        <f t="shared" si="18"/>
        <v>2268</v>
      </c>
    </row>
    <row r="767" spans="1:7" hidden="1" x14ac:dyDescent="0.25">
      <c r="A767" s="17">
        <v>42919</v>
      </c>
      <c r="B767" s="10" t="s">
        <v>2288</v>
      </c>
      <c r="C767" s="11" t="s">
        <v>166</v>
      </c>
      <c r="E767" s="8">
        <v>10368</v>
      </c>
      <c r="G767" s="6">
        <f t="shared" si="18"/>
        <v>10368</v>
      </c>
    </row>
    <row r="768" spans="1:7" hidden="1" x14ac:dyDescent="0.25">
      <c r="A768" s="17">
        <v>42916</v>
      </c>
      <c r="B768" s="10" t="s">
        <v>2288</v>
      </c>
      <c r="C768" s="11" t="s">
        <v>166</v>
      </c>
      <c r="E768" s="8">
        <v>12700</v>
      </c>
      <c r="G768" s="6">
        <f t="shared" si="18"/>
        <v>12700</v>
      </c>
    </row>
    <row r="769" spans="1:8" hidden="1" x14ac:dyDescent="0.25">
      <c r="A769" s="17">
        <v>42922</v>
      </c>
      <c r="B769" s="10" t="s">
        <v>2288</v>
      </c>
      <c r="C769" s="11" t="s">
        <v>166</v>
      </c>
      <c r="E769" s="8">
        <v>35300</v>
      </c>
      <c r="G769" s="6">
        <f t="shared" si="18"/>
        <v>35300</v>
      </c>
    </row>
    <row r="770" spans="1:8" hidden="1" x14ac:dyDescent="0.25">
      <c r="A770" s="17">
        <v>42923</v>
      </c>
      <c r="B770" s="10" t="s">
        <v>2288</v>
      </c>
      <c r="C770" s="11" t="s">
        <v>164</v>
      </c>
      <c r="E770" s="8">
        <v>2283</v>
      </c>
      <c r="G770" s="6">
        <f t="shared" si="18"/>
        <v>2283</v>
      </c>
    </row>
    <row r="771" spans="1:8" hidden="1"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hidden="1" x14ac:dyDescent="0.25">
      <c r="A774" s="17">
        <v>42928</v>
      </c>
      <c r="B774" s="10" t="s">
        <v>1404</v>
      </c>
      <c r="C774" s="11" t="s">
        <v>164</v>
      </c>
      <c r="E774" s="8">
        <v>2565</v>
      </c>
      <c r="G774" s="6">
        <f t="shared" si="18"/>
        <v>2565</v>
      </c>
    </row>
    <row r="775" spans="1:8" hidden="1" x14ac:dyDescent="0.25">
      <c r="A775" s="17">
        <v>42903</v>
      </c>
      <c r="B775" s="10" t="s">
        <v>1407</v>
      </c>
      <c r="C775" s="11" t="s">
        <v>1816</v>
      </c>
      <c r="E775" s="8">
        <v>42497</v>
      </c>
      <c r="G775" s="6">
        <f t="shared" si="18"/>
        <v>42497</v>
      </c>
    </row>
    <row r="776" spans="1:8" hidden="1" x14ac:dyDescent="0.25">
      <c r="A776" s="17">
        <v>42920</v>
      </c>
      <c r="B776" s="10" t="s">
        <v>33</v>
      </c>
      <c r="C776" s="11" t="s">
        <v>1816</v>
      </c>
      <c r="E776" s="8">
        <v>16079</v>
      </c>
      <c r="G776" s="6">
        <f t="shared" si="18"/>
        <v>16079</v>
      </c>
    </row>
    <row r="777" spans="1:8" hidden="1" x14ac:dyDescent="0.25">
      <c r="A777" s="17">
        <v>42920</v>
      </c>
      <c r="B777" s="10" t="s">
        <v>1404</v>
      </c>
      <c r="C777" s="11" t="s">
        <v>1816</v>
      </c>
      <c r="E777" s="8">
        <v>31198</v>
      </c>
      <c r="G777" s="6">
        <f t="shared" si="18"/>
        <v>31198</v>
      </c>
    </row>
    <row r="778" spans="1:8" hidden="1" x14ac:dyDescent="0.25">
      <c r="A778" s="17">
        <v>42920</v>
      </c>
      <c r="B778" s="10" t="s">
        <v>1404</v>
      </c>
      <c r="C778" s="11" t="s">
        <v>1816</v>
      </c>
      <c r="E778" s="8">
        <v>1264</v>
      </c>
      <c r="G778" s="6">
        <f t="shared" si="18"/>
        <v>1264</v>
      </c>
    </row>
    <row r="779" spans="1:8" hidden="1" x14ac:dyDescent="0.25">
      <c r="A779" s="17">
        <v>42919</v>
      </c>
      <c r="B779" s="10" t="s">
        <v>33</v>
      </c>
      <c r="C779" s="11" t="s">
        <v>1816</v>
      </c>
      <c r="E779" s="8">
        <v>1500</v>
      </c>
      <c r="G779" s="6">
        <f t="shared" si="18"/>
        <v>1500</v>
      </c>
    </row>
    <row r="780" spans="1:8" hidden="1" x14ac:dyDescent="0.25">
      <c r="A780" s="17">
        <v>42908</v>
      </c>
      <c r="B780" s="10" t="s">
        <v>1407</v>
      </c>
      <c r="C780" s="11" t="s">
        <v>1816</v>
      </c>
      <c r="E780" s="8">
        <v>6565</v>
      </c>
      <c r="G780" s="6">
        <f t="shared" si="18"/>
        <v>6565</v>
      </c>
    </row>
    <row r="781" spans="1:8" hidden="1" x14ac:dyDescent="0.25">
      <c r="A781" s="17">
        <v>42878</v>
      </c>
      <c r="B781" s="10" t="s">
        <v>1407</v>
      </c>
      <c r="C781" s="11" t="s">
        <v>1816</v>
      </c>
      <c r="E781" s="8">
        <v>4005</v>
      </c>
      <c r="G781" s="6">
        <f t="shared" si="18"/>
        <v>4005</v>
      </c>
    </row>
    <row r="782" spans="1:8" hidden="1" x14ac:dyDescent="0.25">
      <c r="A782" s="17">
        <v>42898</v>
      </c>
      <c r="B782" s="10" t="s">
        <v>1407</v>
      </c>
      <c r="C782" s="11" t="s">
        <v>1816</v>
      </c>
      <c r="E782" s="8">
        <v>1832</v>
      </c>
      <c r="G782" s="6">
        <f t="shared" si="18"/>
        <v>1832</v>
      </c>
    </row>
    <row r="783" spans="1:8" hidden="1" x14ac:dyDescent="0.25">
      <c r="A783" s="17">
        <v>42889</v>
      </c>
      <c r="B783" s="10" t="s">
        <v>1407</v>
      </c>
      <c r="C783" s="11" t="s">
        <v>1816</v>
      </c>
      <c r="E783" s="8">
        <v>31167</v>
      </c>
      <c r="G783" s="6">
        <f t="shared" si="18"/>
        <v>31167</v>
      </c>
    </row>
    <row r="784" spans="1:8" hidden="1" x14ac:dyDescent="0.25">
      <c r="A784" s="17">
        <v>42878</v>
      </c>
      <c r="B784" s="10" t="s">
        <v>2288</v>
      </c>
      <c r="C784" s="11" t="s">
        <v>1816</v>
      </c>
      <c r="E784" s="8">
        <v>818</v>
      </c>
      <c r="G784" s="6">
        <f t="shared" si="18"/>
        <v>818</v>
      </c>
    </row>
    <row r="785" spans="1:7" hidden="1" x14ac:dyDescent="0.25">
      <c r="A785" s="17">
        <v>42923</v>
      </c>
      <c r="B785" s="10" t="s">
        <v>1407</v>
      </c>
      <c r="C785" s="11" t="s">
        <v>1828</v>
      </c>
      <c r="D785" s="784">
        <v>487</v>
      </c>
      <c r="E785" s="8">
        <v>7780</v>
      </c>
      <c r="G785" s="6">
        <f t="shared" si="18"/>
        <v>7780</v>
      </c>
    </row>
    <row r="786" spans="1:7" hidden="1"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hidden="1" x14ac:dyDescent="0.25">
      <c r="A788" s="17">
        <v>42929</v>
      </c>
      <c r="B788" s="10" t="s">
        <v>2288</v>
      </c>
      <c r="C788" s="11" t="s">
        <v>164</v>
      </c>
      <c r="D788" s="784">
        <v>163</v>
      </c>
      <c r="E788" s="8">
        <v>151</v>
      </c>
      <c r="G788" s="6">
        <f t="shared" si="18"/>
        <v>151</v>
      </c>
    </row>
    <row r="789" spans="1:7" hidden="1" x14ac:dyDescent="0.25">
      <c r="A789" s="17">
        <v>42927</v>
      </c>
      <c r="B789" s="10" t="s">
        <v>2288</v>
      </c>
      <c r="C789" s="11" t="s">
        <v>164</v>
      </c>
      <c r="D789" s="784">
        <v>119</v>
      </c>
      <c r="E789" s="8">
        <v>538</v>
      </c>
      <c r="G789" s="6">
        <f t="shared" si="18"/>
        <v>538</v>
      </c>
    </row>
    <row r="790" spans="1:7" hidden="1"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hidden="1" x14ac:dyDescent="0.25">
      <c r="A792" s="17">
        <v>42931</v>
      </c>
      <c r="B792" s="10" t="s">
        <v>1404</v>
      </c>
      <c r="C792" s="11" t="s">
        <v>164</v>
      </c>
      <c r="E792" s="8">
        <v>9369</v>
      </c>
      <c r="G792" s="6">
        <f t="shared" si="18"/>
        <v>9369</v>
      </c>
    </row>
    <row r="793" spans="1:7" hidden="1" x14ac:dyDescent="0.25">
      <c r="A793" s="17">
        <v>42929</v>
      </c>
      <c r="B793" s="10" t="s">
        <v>1404</v>
      </c>
      <c r="C793" s="11" t="s">
        <v>1816</v>
      </c>
      <c r="E793" s="8">
        <v>21446</v>
      </c>
      <c r="G793" s="6">
        <f t="shared" si="18"/>
        <v>21446</v>
      </c>
    </row>
    <row r="794" spans="1:7" hidden="1" x14ac:dyDescent="0.25">
      <c r="A794" s="17">
        <v>42926</v>
      </c>
      <c r="B794" s="10" t="s">
        <v>33</v>
      </c>
      <c r="C794" s="11" t="s">
        <v>1816</v>
      </c>
      <c r="E794" s="8">
        <v>1248</v>
      </c>
      <c r="G794" s="6">
        <f t="shared" si="18"/>
        <v>1248</v>
      </c>
    </row>
    <row r="795" spans="1:7" hidden="1" x14ac:dyDescent="0.25">
      <c r="A795" s="17">
        <v>42923</v>
      </c>
      <c r="B795" s="10" t="s">
        <v>2288</v>
      </c>
      <c r="C795" s="11" t="s">
        <v>1816</v>
      </c>
      <c r="E795" s="8">
        <v>633</v>
      </c>
      <c r="G795" s="6">
        <f t="shared" si="18"/>
        <v>633</v>
      </c>
    </row>
    <row r="796" spans="1:7" hidden="1" x14ac:dyDescent="0.25">
      <c r="A796" s="17">
        <v>42931</v>
      </c>
      <c r="B796" s="10" t="s">
        <v>1407</v>
      </c>
      <c r="C796" s="11" t="s">
        <v>1816</v>
      </c>
      <c r="E796" s="8">
        <v>2268</v>
      </c>
      <c r="G796" s="6">
        <f t="shared" si="18"/>
        <v>2268</v>
      </c>
    </row>
    <row r="797" spans="1:7" hidden="1" x14ac:dyDescent="0.25">
      <c r="A797" s="17">
        <v>42930</v>
      </c>
      <c r="B797" s="10" t="s">
        <v>2288</v>
      </c>
      <c r="C797" s="11" t="s">
        <v>166</v>
      </c>
      <c r="E797" s="8">
        <v>1800</v>
      </c>
      <c r="G797" s="6">
        <f t="shared" si="18"/>
        <v>1800</v>
      </c>
    </row>
    <row r="798" spans="1:7" hidden="1" x14ac:dyDescent="0.25">
      <c r="A798" s="17">
        <v>42932</v>
      </c>
      <c r="B798" s="10" t="s">
        <v>1404</v>
      </c>
      <c r="C798" s="11" t="s">
        <v>166</v>
      </c>
      <c r="E798" s="8">
        <v>22800</v>
      </c>
      <c r="G798" s="6">
        <f t="shared" si="18"/>
        <v>22800</v>
      </c>
    </row>
    <row r="799" spans="1:7" hidden="1" x14ac:dyDescent="0.25">
      <c r="A799" s="17">
        <v>42933</v>
      </c>
      <c r="B799" s="10" t="s">
        <v>1404</v>
      </c>
      <c r="C799" s="11" t="s">
        <v>166</v>
      </c>
      <c r="E799" s="8">
        <v>6000</v>
      </c>
      <c r="G799" s="6">
        <f t="shared" si="18"/>
        <v>6000</v>
      </c>
    </row>
    <row r="800" spans="1:7" hidden="1" x14ac:dyDescent="0.25">
      <c r="A800" s="17">
        <v>42935</v>
      </c>
      <c r="B800" s="10" t="s">
        <v>1404</v>
      </c>
      <c r="C800" s="11" t="s">
        <v>166</v>
      </c>
      <c r="E800" s="8">
        <v>12000</v>
      </c>
      <c r="G800" s="6">
        <f t="shared" si="18"/>
        <v>12000</v>
      </c>
    </row>
    <row r="801" spans="1:8" hidden="1" x14ac:dyDescent="0.25">
      <c r="A801" s="17">
        <v>42935</v>
      </c>
      <c r="B801" s="10" t="s">
        <v>1404</v>
      </c>
      <c r="C801" s="11" t="s">
        <v>166</v>
      </c>
      <c r="E801" s="8">
        <v>19500</v>
      </c>
      <c r="G801" s="6">
        <f t="shared" si="18"/>
        <v>19500</v>
      </c>
    </row>
    <row r="802" spans="1:8" hidden="1" x14ac:dyDescent="0.25">
      <c r="A802" s="17">
        <v>42935</v>
      </c>
      <c r="B802" s="10" t="s">
        <v>1404</v>
      </c>
      <c r="C802" s="11" t="s">
        <v>164</v>
      </c>
      <c r="F802" s="9">
        <v>133589</v>
      </c>
      <c r="G802" s="6">
        <f t="shared" si="18"/>
        <v>-133589</v>
      </c>
      <c r="H802" s="757"/>
    </row>
    <row r="803" spans="1:8" hidden="1" x14ac:dyDescent="0.25">
      <c r="A803" s="17">
        <v>42935</v>
      </c>
      <c r="B803" s="10" t="s">
        <v>2288</v>
      </c>
      <c r="C803" s="11" t="s">
        <v>164</v>
      </c>
      <c r="F803" s="9">
        <v>16411</v>
      </c>
      <c r="G803" s="6">
        <f t="shared" si="18"/>
        <v>-16411</v>
      </c>
      <c r="H803" s="127"/>
    </row>
    <row r="804" spans="1:8" hidden="1" x14ac:dyDescent="0.25">
      <c r="A804" s="17">
        <v>42947</v>
      </c>
      <c r="B804" s="10" t="s">
        <v>1407</v>
      </c>
      <c r="C804" s="11" t="s">
        <v>1828</v>
      </c>
      <c r="E804" s="8">
        <v>800</v>
      </c>
      <c r="G804" s="6">
        <f t="shared" si="18"/>
        <v>800</v>
      </c>
    </row>
    <row r="805" spans="1:8" hidden="1" x14ac:dyDescent="0.25">
      <c r="A805" s="17">
        <v>42948</v>
      </c>
      <c r="B805" s="10" t="s">
        <v>40</v>
      </c>
      <c r="C805" s="11" t="s">
        <v>180</v>
      </c>
      <c r="F805" s="9">
        <v>64276</v>
      </c>
      <c r="G805" s="6">
        <f t="shared" si="18"/>
        <v>-64276</v>
      </c>
      <c r="H805" s="127"/>
    </row>
    <row r="806" spans="1:8" hidden="1" x14ac:dyDescent="0.25">
      <c r="A806" s="17">
        <v>42948</v>
      </c>
      <c r="B806" s="10" t="s">
        <v>2109</v>
      </c>
      <c r="C806" s="11" t="s">
        <v>180</v>
      </c>
      <c r="F806" s="9">
        <v>54420</v>
      </c>
      <c r="G806" s="6">
        <f t="shared" si="18"/>
        <v>-54420</v>
      </c>
      <c r="H806" s="757"/>
    </row>
    <row r="807" spans="1:8" hidden="1" x14ac:dyDescent="0.25">
      <c r="A807" s="17">
        <v>42948</v>
      </c>
      <c r="B807" s="10" t="s">
        <v>1688</v>
      </c>
      <c r="C807" s="11" t="s">
        <v>180</v>
      </c>
      <c r="F807" s="9">
        <v>20020</v>
      </c>
      <c r="G807" s="6">
        <f t="shared" si="18"/>
        <v>-20020</v>
      </c>
      <c r="H807" s="127"/>
    </row>
    <row r="808" spans="1:8" hidden="1" x14ac:dyDescent="0.25">
      <c r="A808" s="17">
        <v>42948</v>
      </c>
      <c r="B808" s="10" t="s">
        <v>1404</v>
      </c>
      <c r="C808" s="11" t="s">
        <v>180</v>
      </c>
      <c r="F808" s="9">
        <v>361284</v>
      </c>
      <c r="G808" s="6">
        <f t="shared" si="18"/>
        <v>-361284</v>
      </c>
      <c r="H808" s="127"/>
    </row>
    <row r="809" spans="1:8" hidden="1" x14ac:dyDescent="0.25">
      <c r="A809" s="17">
        <v>42922</v>
      </c>
      <c r="B809" s="10" t="s">
        <v>1404</v>
      </c>
      <c r="C809" s="11" t="s">
        <v>161</v>
      </c>
      <c r="E809" s="8">
        <v>19094</v>
      </c>
      <c r="G809" s="6">
        <f t="shared" si="18"/>
        <v>19094</v>
      </c>
    </row>
    <row r="810" spans="1:8" hidden="1" x14ac:dyDescent="0.25">
      <c r="A810" s="17">
        <v>42923</v>
      </c>
      <c r="B810" s="10" t="s">
        <v>2058</v>
      </c>
      <c r="C810" s="11" t="s">
        <v>161</v>
      </c>
      <c r="E810" s="8">
        <v>3708</v>
      </c>
      <c r="G810" s="6">
        <f t="shared" si="18"/>
        <v>3708</v>
      </c>
    </row>
    <row r="811" spans="1:8" hidden="1" x14ac:dyDescent="0.25">
      <c r="A811" s="17">
        <v>42934</v>
      </c>
      <c r="B811" s="10" t="s">
        <v>2280</v>
      </c>
      <c r="C811" s="11" t="s">
        <v>161</v>
      </c>
      <c r="E811" s="8">
        <v>1299</v>
      </c>
      <c r="G811" s="6">
        <f t="shared" si="18"/>
        <v>1299</v>
      </c>
    </row>
    <row r="812" spans="1:8" hidden="1"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hidden="1" x14ac:dyDescent="0.25">
      <c r="A814" s="17">
        <v>42949</v>
      </c>
      <c r="B814" s="10" t="s">
        <v>1407</v>
      </c>
      <c r="C814" s="11" t="s">
        <v>1828</v>
      </c>
      <c r="E814" s="8">
        <v>7560</v>
      </c>
      <c r="G814" s="6">
        <f t="shared" si="18"/>
        <v>7560</v>
      </c>
    </row>
    <row r="815" spans="1:8" hidden="1" x14ac:dyDescent="0.25">
      <c r="A815" s="17">
        <v>42954</v>
      </c>
      <c r="B815" s="10" t="s">
        <v>2288</v>
      </c>
      <c r="C815" s="11" t="s">
        <v>166</v>
      </c>
      <c r="E815" s="8">
        <v>4600</v>
      </c>
      <c r="G815" s="6">
        <f t="shared" si="18"/>
        <v>4600</v>
      </c>
    </row>
    <row r="816" spans="1:8" hidden="1" x14ac:dyDescent="0.25">
      <c r="A816" s="17">
        <v>42956</v>
      </c>
      <c r="B816" s="10" t="s">
        <v>2288</v>
      </c>
      <c r="C816" s="11" t="s">
        <v>166</v>
      </c>
      <c r="E816" s="8">
        <v>4600</v>
      </c>
      <c r="G816" s="6">
        <f t="shared" si="18"/>
        <v>4600</v>
      </c>
    </row>
    <row r="817" spans="1:8" hidden="1" x14ac:dyDescent="0.25">
      <c r="A817" s="17">
        <v>42956</v>
      </c>
      <c r="B817" s="10" t="s">
        <v>2288</v>
      </c>
      <c r="C817" s="11" t="s">
        <v>164</v>
      </c>
      <c r="E817" s="8">
        <v>6493</v>
      </c>
      <c r="G817" s="6">
        <f t="shared" si="18"/>
        <v>6493</v>
      </c>
    </row>
    <row r="818" spans="1:8" hidden="1"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hidden="1" x14ac:dyDescent="0.25">
      <c r="A820" s="17">
        <v>42936</v>
      </c>
      <c r="B820" s="10" t="s">
        <v>2243</v>
      </c>
      <c r="C820" s="11" t="s">
        <v>1828</v>
      </c>
      <c r="E820" s="8">
        <v>92500</v>
      </c>
      <c r="G820" s="6">
        <f t="shared" si="18"/>
        <v>92500</v>
      </c>
    </row>
    <row r="821" spans="1:8" hidden="1" x14ac:dyDescent="0.25">
      <c r="A821" s="17">
        <v>42937</v>
      </c>
      <c r="B821" s="10" t="s">
        <v>2288</v>
      </c>
      <c r="C821" s="11" t="s">
        <v>169</v>
      </c>
      <c r="E821" s="8">
        <v>5740</v>
      </c>
      <c r="G821" s="6">
        <f t="shared" si="18"/>
        <v>5740</v>
      </c>
    </row>
    <row r="822" spans="1:8" hidden="1" x14ac:dyDescent="0.25">
      <c r="A822" s="17">
        <v>42823</v>
      </c>
      <c r="B822" s="10" t="s">
        <v>2109</v>
      </c>
      <c r="C822" s="11" t="s">
        <v>2281</v>
      </c>
      <c r="E822" s="231">
        <v>101000</v>
      </c>
      <c r="G822" s="6">
        <f t="shared" si="18"/>
        <v>101000</v>
      </c>
    </row>
    <row r="823" spans="1:8" hidden="1" x14ac:dyDescent="0.25">
      <c r="A823" s="17">
        <v>42849</v>
      </c>
      <c r="B823" s="10" t="s">
        <v>2109</v>
      </c>
      <c r="C823" s="11" t="s">
        <v>2281</v>
      </c>
      <c r="E823" s="231">
        <v>27500</v>
      </c>
      <c r="G823" s="6">
        <f t="shared" si="18"/>
        <v>27500</v>
      </c>
    </row>
    <row r="824" spans="1:8" hidden="1" x14ac:dyDescent="0.25">
      <c r="A824" s="17">
        <v>42849</v>
      </c>
      <c r="B824" s="10" t="s">
        <v>2109</v>
      </c>
      <c r="C824" s="11" t="s">
        <v>2281</v>
      </c>
      <c r="E824" s="231">
        <v>32000</v>
      </c>
      <c r="G824" s="6">
        <f t="shared" si="18"/>
        <v>32000</v>
      </c>
    </row>
    <row r="825" spans="1:8" hidden="1" x14ac:dyDescent="0.25">
      <c r="A825" s="17">
        <v>42849</v>
      </c>
      <c r="B825" s="10" t="s">
        <v>1404</v>
      </c>
      <c r="C825" s="11" t="s">
        <v>2281</v>
      </c>
      <c r="E825" s="231">
        <v>23000</v>
      </c>
      <c r="G825" s="6">
        <f>E825-F825</f>
        <v>23000</v>
      </c>
    </row>
    <row r="826" spans="1:8" hidden="1" x14ac:dyDescent="0.25">
      <c r="A826" s="17">
        <v>42849</v>
      </c>
      <c r="B826" s="10" t="s">
        <v>1407</v>
      </c>
      <c r="C826" s="11" t="s">
        <v>2281</v>
      </c>
      <c r="E826" s="231">
        <v>106551</v>
      </c>
      <c r="G826" s="6">
        <f t="shared" si="18"/>
        <v>106551</v>
      </c>
    </row>
    <row r="827" spans="1:8" hidden="1" x14ac:dyDescent="0.25">
      <c r="A827" s="17">
        <v>42870</v>
      </c>
      <c r="B827" s="10" t="s">
        <v>1404</v>
      </c>
      <c r="C827" s="11" t="s">
        <v>2281</v>
      </c>
      <c r="E827" s="231">
        <v>101000</v>
      </c>
      <c r="G827" s="6">
        <f t="shared" si="18"/>
        <v>101000</v>
      </c>
    </row>
    <row r="828" spans="1:8" hidden="1" x14ac:dyDescent="0.25">
      <c r="A828" s="17">
        <v>42969</v>
      </c>
      <c r="B828" s="10" t="s">
        <v>1407</v>
      </c>
      <c r="C828" s="11" t="s">
        <v>1816</v>
      </c>
      <c r="E828" s="8">
        <v>3500</v>
      </c>
      <c r="G828" s="6">
        <f t="shared" si="18"/>
        <v>3500</v>
      </c>
    </row>
    <row r="829" spans="1:8" hidden="1" x14ac:dyDescent="0.25">
      <c r="A829" s="17">
        <v>42969</v>
      </c>
      <c r="B829" s="10" t="s">
        <v>33</v>
      </c>
      <c r="C829" s="11" t="s">
        <v>1816</v>
      </c>
      <c r="E829" s="8">
        <v>3667</v>
      </c>
      <c r="G829" s="6">
        <f t="shared" si="18"/>
        <v>3667</v>
      </c>
    </row>
    <row r="830" spans="1:8" hidden="1" x14ac:dyDescent="0.25">
      <c r="A830" s="17">
        <v>42969</v>
      </c>
      <c r="B830" s="10" t="s">
        <v>2288</v>
      </c>
      <c r="C830" s="11" t="s">
        <v>1816</v>
      </c>
      <c r="F830" s="9">
        <v>1451</v>
      </c>
      <c r="G830" s="6">
        <f t="shared" si="18"/>
        <v>-1451</v>
      </c>
      <c r="H830" s="81"/>
    </row>
    <row r="831" spans="1:8" hidden="1" x14ac:dyDescent="0.25">
      <c r="A831" s="17">
        <v>42969</v>
      </c>
      <c r="B831" s="10" t="s">
        <v>32</v>
      </c>
      <c r="C831" s="11" t="s">
        <v>1816</v>
      </c>
      <c r="F831" s="9">
        <v>46965</v>
      </c>
      <c r="G831" s="6">
        <f t="shared" si="18"/>
        <v>-46965</v>
      </c>
      <c r="H831" s="82"/>
    </row>
    <row r="832" spans="1:8" hidden="1" x14ac:dyDescent="0.25">
      <c r="A832" s="17">
        <v>42969</v>
      </c>
      <c r="B832" s="10" t="s">
        <v>33</v>
      </c>
      <c r="C832" s="11" t="s">
        <v>1816</v>
      </c>
      <c r="F832" s="9">
        <v>84129</v>
      </c>
      <c r="G832" s="6">
        <f t="shared" si="18"/>
        <v>-84129</v>
      </c>
      <c r="H832" s="82" t="s">
        <v>2667</v>
      </c>
    </row>
    <row r="833" spans="1:8" hidden="1" x14ac:dyDescent="0.25">
      <c r="A833" s="17">
        <v>42969</v>
      </c>
      <c r="B833" s="10" t="s">
        <v>1404</v>
      </c>
      <c r="C833" s="11" t="s">
        <v>1816</v>
      </c>
      <c r="F833" s="9">
        <v>86273</v>
      </c>
      <c r="G833" s="6">
        <f t="shared" si="18"/>
        <v>-86273</v>
      </c>
      <c r="H833" s="82"/>
    </row>
    <row r="834" spans="1:8" hidden="1" x14ac:dyDescent="0.25">
      <c r="A834" s="17">
        <v>42969</v>
      </c>
      <c r="B834" s="10" t="s">
        <v>1407</v>
      </c>
      <c r="C834" s="11" t="s">
        <v>1816</v>
      </c>
      <c r="F834" s="9">
        <v>31182</v>
      </c>
      <c r="G834" s="6">
        <f t="shared" si="18"/>
        <v>-31182</v>
      </c>
      <c r="H834" s="83"/>
    </row>
    <row r="835" spans="1:8" hidden="1" x14ac:dyDescent="0.25">
      <c r="A835" s="17">
        <v>42948</v>
      </c>
      <c r="B835" s="10" t="s">
        <v>2243</v>
      </c>
      <c r="C835" s="11" t="s">
        <v>161</v>
      </c>
      <c r="E835" s="8">
        <v>26880</v>
      </c>
      <c r="G835" s="6">
        <f t="shared" si="18"/>
        <v>26880</v>
      </c>
    </row>
    <row r="836" spans="1:8" hidden="1" x14ac:dyDescent="0.25">
      <c r="A836" s="17">
        <v>42952</v>
      </c>
      <c r="B836" s="10" t="s">
        <v>2288</v>
      </c>
      <c r="C836" s="11" t="s">
        <v>161</v>
      </c>
      <c r="E836" s="8">
        <v>5468</v>
      </c>
      <c r="G836" s="6">
        <f t="shared" si="18"/>
        <v>5468</v>
      </c>
    </row>
    <row r="837" spans="1:8" hidden="1" x14ac:dyDescent="0.25">
      <c r="A837" s="17">
        <v>42971</v>
      </c>
      <c r="B837" s="10" t="s">
        <v>2038</v>
      </c>
      <c r="C837" s="11" t="s">
        <v>166</v>
      </c>
      <c r="F837" s="9">
        <v>58764</v>
      </c>
      <c r="G837" s="6">
        <f t="shared" si="18"/>
        <v>-58764</v>
      </c>
      <c r="H837" s="81"/>
    </row>
    <row r="838" spans="1:8" hidden="1" x14ac:dyDescent="0.25">
      <c r="A838" s="17">
        <v>42971</v>
      </c>
      <c r="B838" s="10" t="s">
        <v>2243</v>
      </c>
      <c r="C838" s="11" t="s">
        <v>166</v>
      </c>
      <c r="F838" s="9">
        <v>189836</v>
      </c>
      <c r="G838" s="6">
        <f t="shared" si="18"/>
        <v>-189836</v>
      </c>
      <c r="H838" s="82" t="s">
        <v>2671</v>
      </c>
    </row>
    <row r="839" spans="1:8" hidden="1" x14ac:dyDescent="0.25">
      <c r="A839" s="17">
        <v>42971</v>
      </c>
      <c r="B839" s="10" t="s">
        <v>1688</v>
      </c>
      <c r="C839" s="11" t="s">
        <v>166</v>
      </c>
      <c r="F839" s="9">
        <v>1400</v>
      </c>
      <c r="G839" s="6">
        <f t="shared" si="18"/>
        <v>-1400</v>
      </c>
      <c r="H839" s="221"/>
    </row>
    <row r="840" spans="1:8" hidden="1" x14ac:dyDescent="0.25">
      <c r="A840" s="17">
        <v>42976</v>
      </c>
      <c r="B840" s="10" t="s">
        <v>2672</v>
      </c>
      <c r="C840" s="11" t="s">
        <v>164</v>
      </c>
      <c r="E840" s="8">
        <v>76962</v>
      </c>
      <c r="G840" s="6">
        <f t="shared" si="18"/>
        <v>76962</v>
      </c>
    </row>
    <row r="841" spans="1:8" hidden="1" x14ac:dyDescent="0.25">
      <c r="A841" s="17">
        <v>42977</v>
      </c>
      <c r="B841" s="10" t="s">
        <v>1404</v>
      </c>
      <c r="C841" s="11" t="s">
        <v>161</v>
      </c>
      <c r="E841" s="8">
        <v>15900</v>
      </c>
      <c r="G841" s="6">
        <f t="shared" si="18"/>
        <v>15900</v>
      </c>
    </row>
    <row r="842" spans="1:8" hidden="1" x14ac:dyDescent="0.25">
      <c r="A842" s="17">
        <v>42977</v>
      </c>
      <c r="B842" s="10" t="s">
        <v>1407</v>
      </c>
      <c r="C842" s="11" t="s">
        <v>1828</v>
      </c>
      <c r="E842" s="8">
        <v>228899</v>
      </c>
      <c r="G842" s="6">
        <f t="shared" si="18"/>
        <v>228899</v>
      </c>
    </row>
    <row r="843" spans="1:8" hidden="1" x14ac:dyDescent="0.25">
      <c r="A843" s="17">
        <v>42977</v>
      </c>
      <c r="B843" s="10" t="s">
        <v>1407</v>
      </c>
      <c r="C843" s="11" t="s">
        <v>1828</v>
      </c>
      <c r="E843" s="8">
        <v>93900</v>
      </c>
      <c r="G843" s="6">
        <f t="shared" si="18"/>
        <v>93900</v>
      </c>
    </row>
    <row r="844" spans="1:8" hidden="1" x14ac:dyDescent="0.25">
      <c r="A844" s="17">
        <v>42977</v>
      </c>
      <c r="B844" s="10" t="s">
        <v>1407</v>
      </c>
      <c r="C844" s="11" t="s">
        <v>1828</v>
      </c>
      <c r="E844" s="8">
        <v>102712</v>
      </c>
      <c r="G844" s="6">
        <f t="shared" si="18"/>
        <v>102712</v>
      </c>
    </row>
    <row r="845" spans="1:8" hidden="1" x14ac:dyDescent="0.25">
      <c r="A845" s="17">
        <v>42977</v>
      </c>
      <c r="B845" s="10" t="s">
        <v>1407</v>
      </c>
      <c r="C845" s="11" t="s">
        <v>1828</v>
      </c>
      <c r="E845" s="8">
        <v>139328</v>
      </c>
      <c r="G845" s="6">
        <f t="shared" si="18"/>
        <v>139328</v>
      </c>
    </row>
    <row r="846" spans="1:8" hidden="1" x14ac:dyDescent="0.25">
      <c r="A846" s="17">
        <v>42977</v>
      </c>
      <c r="B846" s="10" t="s">
        <v>1407</v>
      </c>
      <c r="C846" s="11" t="s">
        <v>1828</v>
      </c>
      <c r="E846" s="8">
        <v>166330</v>
      </c>
      <c r="G846" s="6">
        <f t="shared" si="18"/>
        <v>166330</v>
      </c>
    </row>
    <row r="847" spans="1:8" hidden="1" x14ac:dyDescent="0.25">
      <c r="A847" s="17">
        <v>42991</v>
      </c>
      <c r="B847" s="10" t="s">
        <v>2672</v>
      </c>
      <c r="C847" s="11" t="s">
        <v>164</v>
      </c>
      <c r="E847" s="8">
        <v>1585</v>
      </c>
      <c r="G847" s="6">
        <f t="shared" si="18"/>
        <v>1585</v>
      </c>
    </row>
    <row r="848" spans="1:8" hidden="1" x14ac:dyDescent="0.25">
      <c r="A848" s="17">
        <v>42992</v>
      </c>
      <c r="B848" s="10" t="s">
        <v>2672</v>
      </c>
      <c r="C848" s="11" t="s">
        <v>164</v>
      </c>
      <c r="E848" s="8">
        <v>16532</v>
      </c>
      <c r="G848" s="6">
        <f t="shared" si="18"/>
        <v>16532</v>
      </c>
    </row>
    <row r="849" spans="1:8" hidden="1" x14ac:dyDescent="0.25">
      <c r="A849" s="17">
        <v>42991</v>
      </c>
      <c r="B849" s="10" t="s">
        <v>2672</v>
      </c>
      <c r="C849" s="11" t="s">
        <v>164</v>
      </c>
      <c r="E849" s="8">
        <v>1716</v>
      </c>
      <c r="G849" s="6">
        <f t="shared" si="18"/>
        <v>1716</v>
      </c>
    </row>
    <row r="850" spans="1:8" hidden="1" x14ac:dyDescent="0.25">
      <c r="A850" s="17">
        <v>42990</v>
      </c>
      <c r="B850" s="10" t="s">
        <v>2672</v>
      </c>
      <c r="C850" s="11" t="s">
        <v>164</v>
      </c>
      <c r="E850" s="8">
        <v>1027</v>
      </c>
      <c r="G850" s="6">
        <f t="shared" si="18"/>
        <v>1027</v>
      </c>
    </row>
    <row r="851" spans="1:8" hidden="1" x14ac:dyDescent="0.25">
      <c r="A851" s="17">
        <v>42987</v>
      </c>
      <c r="B851" s="10" t="s">
        <v>2672</v>
      </c>
      <c r="C851" s="11" t="s">
        <v>164</v>
      </c>
      <c r="E851" s="8">
        <v>2045</v>
      </c>
      <c r="G851" s="6">
        <f t="shared" si="18"/>
        <v>2045</v>
      </c>
    </row>
    <row r="852" spans="1:8" hidden="1" x14ac:dyDescent="0.25">
      <c r="A852" s="17">
        <v>42985</v>
      </c>
      <c r="B852" s="10" t="s">
        <v>2672</v>
      </c>
      <c r="C852" s="11" t="s">
        <v>164</v>
      </c>
      <c r="E852" s="8">
        <v>2162</v>
      </c>
      <c r="G852" s="6">
        <f t="shared" si="18"/>
        <v>2162</v>
      </c>
    </row>
    <row r="853" spans="1:8" hidden="1" x14ac:dyDescent="0.25">
      <c r="A853" s="17">
        <v>42984</v>
      </c>
      <c r="B853" s="10" t="s">
        <v>2672</v>
      </c>
      <c r="C853" s="11" t="s">
        <v>164</v>
      </c>
      <c r="E853" s="8">
        <v>16883</v>
      </c>
      <c r="G853" s="6">
        <f t="shared" si="18"/>
        <v>16883</v>
      </c>
    </row>
    <row r="854" spans="1:8" hidden="1"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hidden="1" x14ac:dyDescent="0.25">
      <c r="A856" s="17">
        <v>42993</v>
      </c>
      <c r="B856" s="10" t="s">
        <v>1404</v>
      </c>
      <c r="C856" s="11" t="s">
        <v>164</v>
      </c>
      <c r="F856" s="9">
        <v>150000</v>
      </c>
      <c r="G856" s="6">
        <f t="shared" si="18"/>
        <v>-150000</v>
      </c>
      <c r="H856" s="32" t="s">
        <v>2683</v>
      </c>
    </row>
    <row r="857" spans="1:8" hidden="1" x14ac:dyDescent="0.25">
      <c r="A857" s="17">
        <v>42991</v>
      </c>
      <c r="B857" s="10" t="s">
        <v>2672</v>
      </c>
      <c r="C857" s="11" t="s">
        <v>1816</v>
      </c>
      <c r="E857" s="8">
        <v>11328</v>
      </c>
      <c r="G857" s="6">
        <f t="shared" si="18"/>
        <v>11328</v>
      </c>
    </row>
    <row r="858" spans="1:8" hidden="1" x14ac:dyDescent="0.25">
      <c r="A858" s="17">
        <v>42991</v>
      </c>
      <c r="B858" s="10" t="s">
        <v>33</v>
      </c>
      <c r="C858" s="11" t="s">
        <v>1816</v>
      </c>
      <c r="E858" s="8">
        <v>941</v>
      </c>
      <c r="G858" s="6">
        <f t="shared" si="18"/>
        <v>941</v>
      </c>
    </row>
    <row r="859" spans="1:8" hidden="1" x14ac:dyDescent="0.25">
      <c r="A859" s="17">
        <v>42989</v>
      </c>
      <c r="B859" s="10" t="s">
        <v>33</v>
      </c>
      <c r="C859" s="11" t="s">
        <v>1816</v>
      </c>
      <c r="E859" s="8">
        <v>21812</v>
      </c>
      <c r="G859" s="6">
        <f t="shared" si="18"/>
        <v>21812</v>
      </c>
    </row>
    <row r="860" spans="1:8" hidden="1" x14ac:dyDescent="0.25">
      <c r="A860" s="17">
        <v>42987</v>
      </c>
      <c r="B860" s="10" t="s">
        <v>33</v>
      </c>
      <c r="C860" s="11" t="s">
        <v>1816</v>
      </c>
      <c r="E860" s="8">
        <v>9202</v>
      </c>
      <c r="G860" s="6">
        <f t="shared" si="18"/>
        <v>9202</v>
      </c>
    </row>
    <row r="861" spans="1:8" hidden="1" x14ac:dyDescent="0.25">
      <c r="A861" s="17">
        <v>42987</v>
      </c>
      <c r="B861" s="10" t="s">
        <v>33</v>
      </c>
      <c r="C861" s="11" t="s">
        <v>1816</v>
      </c>
      <c r="E861" s="8">
        <v>94299</v>
      </c>
      <c r="G861" s="6">
        <f t="shared" si="18"/>
        <v>94299</v>
      </c>
    </row>
    <row r="862" spans="1:8" hidden="1" x14ac:dyDescent="0.25">
      <c r="A862" s="17">
        <v>42994</v>
      </c>
      <c r="B862" s="10" t="s">
        <v>14</v>
      </c>
      <c r="C862" s="11" t="s">
        <v>164</v>
      </c>
      <c r="D862" s="784" t="s">
        <v>2708</v>
      </c>
      <c r="E862" s="8">
        <v>3009</v>
      </c>
      <c r="G862" s="6">
        <f t="shared" si="18"/>
        <v>3009</v>
      </c>
    </row>
    <row r="863" spans="1:8" hidden="1" x14ac:dyDescent="0.25">
      <c r="A863" s="17">
        <v>42985</v>
      </c>
      <c r="B863" s="10" t="s">
        <v>1407</v>
      </c>
      <c r="C863" s="11" t="s">
        <v>1828</v>
      </c>
      <c r="E863" s="8">
        <v>155864</v>
      </c>
      <c r="G863" s="6">
        <f t="shared" si="18"/>
        <v>155864</v>
      </c>
    </row>
    <row r="864" spans="1:8" hidden="1" x14ac:dyDescent="0.25">
      <c r="A864" s="17">
        <v>42987</v>
      </c>
      <c r="B864" s="10" t="s">
        <v>40</v>
      </c>
      <c r="C864" s="11" t="s">
        <v>166</v>
      </c>
      <c r="E864" s="8">
        <v>35900</v>
      </c>
      <c r="G864" s="6">
        <f t="shared" si="18"/>
        <v>35900</v>
      </c>
    </row>
    <row r="865" spans="1:8" hidden="1" x14ac:dyDescent="0.25">
      <c r="A865" s="17">
        <v>43000</v>
      </c>
      <c r="B865" s="10" t="s">
        <v>38</v>
      </c>
      <c r="C865" s="11" t="s">
        <v>161</v>
      </c>
      <c r="E865" s="8">
        <v>13318</v>
      </c>
      <c r="G865" s="6">
        <f t="shared" si="18"/>
        <v>13318</v>
      </c>
    </row>
    <row r="866" spans="1:8" hidden="1" x14ac:dyDescent="0.25">
      <c r="A866" s="17">
        <v>43018</v>
      </c>
      <c r="B866" s="10" t="s">
        <v>40</v>
      </c>
      <c r="C866" s="11" t="s">
        <v>166</v>
      </c>
      <c r="E866" s="8">
        <v>20000</v>
      </c>
      <c r="G866" s="6">
        <f t="shared" si="18"/>
        <v>20000</v>
      </c>
    </row>
    <row r="867" spans="1:8" hidden="1" x14ac:dyDescent="0.25">
      <c r="A867" s="17">
        <v>43011</v>
      </c>
      <c r="B867" s="10" t="s">
        <v>1407</v>
      </c>
      <c r="C867" s="11" t="s">
        <v>164</v>
      </c>
      <c r="E867" s="8">
        <v>23830</v>
      </c>
      <c r="G867" s="6">
        <f t="shared" ref="G867" si="20">E867-F867</f>
        <v>23830</v>
      </c>
    </row>
    <row r="868" spans="1:8" hidden="1" x14ac:dyDescent="0.25">
      <c r="A868" s="17">
        <v>43012</v>
      </c>
      <c r="B868" s="10" t="s">
        <v>1407</v>
      </c>
      <c r="C868" s="11" t="s">
        <v>1828</v>
      </c>
      <c r="D868" s="784">
        <v>610</v>
      </c>
      <c r="E868" s="8">
        <v>115400</v>
      </c>
      <c r="G868" s="6">
        <f t="shared" si="18"/>
        <v>115400</v>
      </c>
    </row>
    <row r="869" spans="1:8" hidden="1" x14ac:dyDescent="0.25">
      <c r="A869" s="17">
        <v>43014</v>
      </c>
      <c r="B869" s="10" t="s">
        <v>1407</v>
      </c>
      <c r="C869" s="11" t="s">
        <v>1828</v>
      </c>
      <c r="D869" s="784">
        <v>614</v>
      </c>
      <c r="E869" s="8">
        <v>290940</v>
      </c>
      <c r="G869" s="6">
        <f t="shared" ref="G869:G903" si="21">E869-F869</f>
        <v>290940</v>
      </c>
    </row>
    <row r="870" spans="1:8" hidden="1" x14ac:dyDescent="0.25">
      <c r="A870" s="17">
        <v>43024</v>
      </c>
      <c r="B870" s="10" t="s">
        <v>1703</v>
      </c>
      <c r="C870" s="11" t="s">
        <v>164</v>
      </c>
      <c r="D870" s="784">
        <v>1663</v>
      </c>
      <c r="E870" s="8">
        <v>3492</v>
      </c>
      <c r="G870" s="6">
        <f t="shared" si="21"/>
        <v>3492</v>
      </c>
    </row>
    <row r="871" spans="1:8" hidden="1" x14ac:dyDescent="0.25">
      <c r="A871" s="17">
        <v>43019</v>
      </c>
      <c r="B871" s="10" t="s">
        <v>1407</v>
      </c>
      <c r="C871" s="11" t="s">
        <v>1828</v>
      </c>
      <c r="F871" s="9">
        <v>818500</v>
      </c>
      <c r="G871" s="6">
        <f t="shared" si="21"/>
        <v>-818500</v>
      </c>
      <c r="H871" s="81"/>
    </row>
    <row r="872" spans="1:8" hidden="1" x14ac:dyDescent="0.25">
      <c r="A872" s="17">
        <v>43019</v>
      </c>
      <c r="B872" s="10" t="s">
        <v>1818</v>
      </c>
      <c r="C872" s="11" t="s">
        <v>1828</v>
      </c>
      <c r="F872" s="9">
        <v>69000</v>
      </c>
      <c r="G872" s="6">
        <f t="shared" si="21"/>
        <v>-69000</v>
      </c>
      <c r="H872" s="82" t="s">
        <v>2780</v>
      </c>
    </row>
    <row r="873" spans="1:8" hidden="1" x14ac:dyDescent="0.25">
      <c r="A873" s="17">
        <v>43019</v>
      </c>
      <c r="B873" s="10" t="s">
        <v>2243</v>
      </c>
      <c r="C873" s="11" t="s">
        <v>1828</v>
      </c>
      <c r="F873" s="9">
        <v>92500</v>
      </c>
      <c r="G873" s="6">
        <f t="shared" si="21"/>
        <v>-92500</v>
      </c>
      <c r="H873" s="83"/>
    </row>
    <row r="874" spans="1:8" hidden="1" x14ac:dyDescent="0.25">
      <c r="A874" s="17">
        <v>43026</v>
      </c>
      <c r="B874" s="10" t="s">
        <v>2243</v>
      </c>
      <c r="C874" s="11" t="s">
        <v>161</v>
      </c>
      <c r="F874" s="9">
        <v>26880</v>
      </c>
      <c r="G874" s="6">
        <f t="shared" si="21"/>
        <v>-26880</v>
      </c>
      <c r="H874" s="81"/>
    </row>
    <row r="875" spans="1:8" hidden="1" x14ac:dyDescent="0.25">
      <c r="A875" s="17">
        <v>43026</v>
      </c>
      <c r="B875" s="10" t="s">
        <v>38</v>
      </c>
      <c r="C875" s="11" t="s">
        <v>161</v>
      </c>
      <c r="F875" s="9">
        <v>15636</v>
      </c>
      <c r="G875" s="6">
        <f t="shared" si="21"/>
        <v>-15636</v>
      </c>
      <c r="H875" s="82"/>
    </row>
    <row r="876" spans="1:8" hidden="1" x14ac:dyDescent="0.25">
      <c r="A876" s="17">
        <v>43026</v>
      </c>
      <c r="B876" s="10" t="s">
        <v>2058</v>
      </c>
      <c r="C876" s="11" t="s">
        <v>161</v>
      </c>
      <c r="F876" s="9">
        <v>90104</v>
      </c>
      <c r="G876" s="6">
        <f t="shared" si="21"/>
        <v>-90104</v>
      </c>
      <c r="H876" s="82" t="s">
        <v>2802</v>
      </c>
    </row>
    <row r="877" spans="1:8" hidden="1" x14ac:dyDescent="0.25">
      <c r="A877" s="17">
        <v>43026</v>
      </c>
      <c r="B877" s="10" t="s">
        <v>2280</v>
      </c>
      <c r="C877" s="11" t="s">
        <v>161</v>
      </c>
      <c r="F877" s="9">
        <v>1299</v>
      </c>
      <c r="G877" s="6">
        <f t="shared" si="21"/>
        <v>-1299</v>
      </c>
      <c r="H877" s="82"/>
    </row>
    <row r="878" spans="1:8" hidden="1" x14ac:dyDescent="0.25">
      <c r="A878" s="17">
        <v>43026</v>
      </c>
      <c r="B878" s="10" t="s">
        <v>2288</v>
      </c>
      <c r="C878" s="11" t="s">
        <v>161</v>
      </c>
      <c r="F878" s="9">
        <v>5468</v>
      </c>
      <c r="G878" s="6">
        <f t="shared" si="21"/>
        <v>-5468</v>
      </c>
      <c r="H878" s="82"/>
    </row>
    <row r="879" spans="1:8" hidden="1" x14ac:dyDescent="0.25">
      <c r="A879" s="17">
        <v>43026</v>
      </c>
      <c r="B879" s="10" t="s">
        <v>1404</v>
      </c>
      <c r="C879" s="11" t="s">
        <v>161</v>
      </c>
      <c r="F879" s="9">
        <v>60613</v>
      </c>
      <c r="G879" s="6">
        <f t="shared" si="21"/>
        <v>-60613</v>
      </c>
      <c r="H879" s="83"/>
    </row>
    <row r="880" spans="1:8" hidden="1" x14ac:dyDescent="0.25">
      <c r="A880" s="17">
        <v>43028</v>
      </c>
      <c r="B880" s="10" t="s">
        <v>40</v>
      </c>
      <c r="C880" s="11" t="s">
        <v>166</v>
      </c>
      <c r="E880" s="8">
        <v>8900</v>
      </c>
      <c r="G880" s="6">
        <f t="shared" si="21"/>
        <v>8900</v>
      </c>
    </row>
    <row r="881" spans="1:8" hidden="1" x14ac:dyDescent="0.25">
      <c r="A881" s="17">
        <v>43025</v>
      </c>
      <c r="B881" s="10" t="s">
        <v>40</v>
      </c>
      <c r="C881" s="11" t="s">
        <v>166</v>
      </c>
      <c r="E881" s="8">
        <v>5100</v>
      </c>
      <c r="G881" s="6">
        <f t="shared" si="21"/>
        <v>5100</v>
      </c>
    </row>
    <row r="882" spans="1:8" hidden="1" x14ac:dyDescent="0.25">
      <c r="A882" s="17">
        <v>43027</v>
      </c>
      <c r="B882" s="10" t="s">
        <v>1407</v>
      </c>
      <c r="C882" s="11" t="s">
        <v>166</v>
      </c>
      <c r="E882" s="8">
        <v>42000</v>
      </c>
      <c r="G882" s="6">
        <f t="shared" si="21"/>
        <v>42000</v>
      </c>
      <c r="H882" s="134"/>
    </row>
    <row r="883" spans="1:8" hidden="1" x14ac:dyDescent="0.25">
      <c r="A883" s="17">
        <v>43027</v>
      </c>
      <c r="B883" s="10" t="s">
        <v>1407</v>
      </c>
      <c r="C883" s="11" t="s">
        <v>1828</v>
      </c>
      <c r="D883" s="784">
        <v>647</v>
      </c>
      <c r="E883" s="8">
        <v>33100</v>
      </c>
      <c r="G883" s="6">
        <f t="shared" si="21"/>
        <v>33100</v>
      </c>
    </row>
    <row r="884" spans="1:8" hidden="1" x14ac:dyDescent="0.25">
      <c r="A884" s="17">
        <v>43032</v>
      </c>
      <c r="B884" s="10" t="s">
        <v>1407</v>
      </c>
      <c r="C884" s="11" t="s">
        <v>1828</v>
      </c>
      <c r="D884" s="784">
        <v>661</v>
      </c>
      <c r="E884" s="8">
        <v>26300</v>
      </c>
      <c r="G884" s="6">
        <f t="shared" si="21"/>
        <v>26300</v>
      </c>
    </row>
    <row r="885" spans="1:8" hidden="1" x14ac:dyDescent="0.25">
      <c r="A885" s="17">
        <v>43038</v>
      </c>
      <c r="B885" s="10" t="s">
        <v>1407</v>
      </c>
      <c r="C885" s="11" t="s">
        <v>1828</v>
      </c>
      <c r="D885" s="784">
        <v>674</v>
      </c>
      <c r="E885" s="8">
        <v>336272</v>
      </c>
      <c r="G885" s="6">
        <f t="shared" si="21"/>
        <v>336272</v>
      </c>
    </row>
    <row r="886" spans="1:8" hidden="1" x14ac:dyDescent="0.25">
      <c r="A886" s="17">
        <v>43039</v>
      </c>
      <c r="B886" s="10" t="s">
        <v>1407</v>
      </c>
      <c r="C886" s="11" t="s">
        <v>166</v>
      </c>
      <c r="D886" s="784">
        <v>10271</v>
      </c>
      <c r="E886" s="8">
        <v>42000</v>
      </c>
      <c r="G886" s="6">
        <f t="shared" si="21"/>
        <v>42000</v>
      </c>
    </row>
    <row r="887" spans="1:8" hidden="1" x14ac:dyDescent="0.25">
      <c r="A887" s="17">
        <v>43038</v>
      </c>
      <c r="B887" s="10" t="s">
        <v>2288</v>
      </c>
      <c r="C887" s="11" t="s">
        <v>161</v>
      </c>
      <c r="D887" s="784">
        <v>323</v>
      </c>
      <c r="E887" s="8">
        <v>6270</v>
      </c>
      <c r="G887" s="6">
        <f t="shared" si="21"/>
        <v>6270</v>
      </c>
    </row>
    <row r="888" spans="1:8" hidden="1" x14ac:dyDescent="0.25">
      <c r="A888" s="17">
        <v>43056</v>
      </c>
      <c r="B888" s="10" t="s">
        <v>1407</v>
      </c>
      <c r="C888" s="11" t="s">
        <v>1828</v>
      </c>
      <c r="D888" s="784">
        <v>719</v>
      </c>
      <c r="E888" s="8">
        <v>52515</v>
      </c>
      <c r="G888" s="6">
        <f t="shared" si="21"/>
        <v>52515</v>
      </c>
    </row>
    <row r="889" spans="1:8" hidden="1" x14ac:dyDescent="0.25">
      <c r="A889" s="17">
        <v>43015</v>
      </c>
      <c r="B889" s="10" t="s">
        <v>40</v>
      </c>
      <c r="C889" s="11" t="s">
        <v>161</v>
      </c>
      <c r="E889" s="8">
        <v>12236</v>
      </c>
      <c r="G889" s="6">
        <f t="shared" si="21"/>
        <v>12236</v>
      </c>
    </row>
    <row r="890" spans="1:8" hidden="1" x14ac:dyDescent="0.25">
      <c r="A890" s="17">
        <v>43022</v>
      </c>
      <c r="B890" s="10" t="s">
        <v>38</v>
      </c>
      <c r="C890" s="11" t="s">
        <v>161</v>
      </c>
      <c r="E890" s="8">
        <v>13642</v>
      </c>
      <c r="G890" s="6">
        <f t="shared" si="21"/>
        <v>13642</v>
      </c>
      <c r="H890" s="134"/>
    </row>
    <row r="891" spans="1:8" hidden="1" x14ac:dyDescent="0.25">
      <c r="A891" s="17">
        <v>43052</v>
      </c>
      <c r="B891" s="10" t="s">
        <v>1407</v>
      </c>
      <c r="C891" s="11" t="s">
        <v>164</v>
      </c>
      <c r="D891" s="784">
        <v>2159</v>
      </c>
      <c r="E891" s="8">
        <v>407306</v>
      </c>
      <c r="G891" s="6">
        <f t="shared" si="21"/>
        <v>407306</v>
      </c>
    </row>
    <row r="892" spans="1:8" hidden="1" x14ac:dyDescent="0.25">
      <c r="A892" s="17">
        <v>43055</v>
      </c>
      <c r="B892" s="10" t="s">
        <v>1407</v>
      </c>
      <c r="C892" s="11" t="s">
        <v>164</v>
      </c>
      <c r="D892" s="784">
        <v>2233</v>
      </c>
      <c r="E892" s="8">
        <v>11932</v>
      </c>
      <c r="G892" s="6">
        <f t="shared" si="21"/>
        <v>11932</v>
      </c>
    </row>
    <row r="893" spans="1:8" hidden="1" x14ac:dyDescent="0.25">
      <c r="A893" s="17">
        <v>43062</v>
      </c>
      <c r="B893" s="10" t="s">
        <v>1407</v>
      </c>
      <c r="C893" s="11" t="s">
        <v>164</v>
      </c>
      <c r="F893" s="9">
        <v>300000</v>
      </c>
      <c r="G893" s="6">
        <f t="shared" si="21"/>
        <v>-300000</v>
      </c>
      <c r="H893" s="32" t="s">
        <v>2882</v>
      </c>
    </row>
    <row r="894" spans="1:8" hidden="1" x14ac:dyDescent="0.25">
      <c r="A894" s="17">
        <v>43056</v>
      </c>
      <c r="B894" s="10" t="s">
        <v>2810</v>
      </c>
      <c r="C894" s="11" t="s">
        <v>166</v>
      </c>
      <c r="D894" s="784">
        <v>10379</v>
      </c>
      <c r="E894" s="8">
        <v>61200</v>
      </c>
      <c r="G894" s="6">
        <f t="shared" si="21"/>
        <v>61200</v>
      </c>
    </row>
    <row r="895" spans="1:8" hidden="1" x14ac:dyDescent="0.25">
      <c r="A895" s="17">
        <v>43059</v>
      </c>
      <c r="B895" s="10" t="s">
        <v>2810</v>
      </c>
      <c r="C895" s="11" t="s">
        <v>166</v>
      </c>
      <c r="D895" s="784">
        <v>10391</v>
      </c>
      <c r="E895" s="8">
        <v>61200</v>
      </c>
      <c r="G895" s="6">
        <f t="shared" si="21"/>
        <v>61200</v>
      </c>
    </row>
    <row r="896" spans="1:8" hidden="1" x14ac:dyDescent="0.25">
      <c r="A896" s="17">
        <v>43046</v>
      </c>
      <c r="B896" s="10" t="s">
        <v>1407</v>
      </c>
      <c r="C896" s="11" t="s">
        <v>1816</v>
      </c>
      <c r="E896" s="8">
        <v>5121</v>
      </c>
      <c r="G896" s="6">
        <f t="shared" si="21"/>
        <v>5121</v>
      </c>
    </row>
    <row r="897" spans="1:8" hidden="1" x14ac:dyDescent="0.25">
      <c r="A897" s="17">
        <v>43047</v>
      </c>
      <c r="B897" s="10" t="s">
        <v>171</v>
      </c>
      <c r="C897" s="11" t="s">
        <v>1816</v>
      </c>
      <c r="E897" s="8">
        <v>34567</v>
      </c>
      <c r="G897" s="6">
        <f t="shared" si="21"/>
        <v>34567</v>
      </c>
    </row>
    <row r="898" spans="1:8" hidden="1" x14ac:dyDescent="0.25">
      <c r="A898" s="17">
        <v>43053</v>
      </c>
      <c r="B898" s="10" t="s">
        <v>33</v>
      </c>
      <c r="C898" s="11" t="s">
        <v>1816</v>
      </c>
      <c r="E898" s="8">
        <v>380</v>
      </c>
      <c r="G898" s="6">
        <f t="shared" si="21"/>
        <v>380</v>
      </c>
    </row>
    <row r="899" spans="1:8" hidden="1" x14ac:dyDescent="0.25">
      <c r="A899" s="17">
        <v>43054</v>
      </c>
      <c r="B899" s="10" t="s">
        <v>171</v>
      </c>
      <c r="C899" s="11" t="s">
        <v>1816</v>
      </c>
      <c r="E899" s="8">
        <v>5374</v>
      </c>
      <c r="G899" s="6">
        <f t="shared" si="21"/>
        <v>5374</v>
      </c>
    </row>
    <row r="900" spans="1:8" hidden="1" x14ac:dyDescent="0.25">
      <c r="A900" s="17">
        <v>43057</v>
      </c>
      <c r="B900" s="10" t="s">
        <v>2336</v>
      </c>
      <c r="C900" s="11" t="s">
        <v>1816</v>
      </c>
      <c r="E900" s="8">
        <v>26797</v>
      </c>
      <c r="G900" s="6">
        <f t="shared" si="21"/>
        <v>26797</v>
      </c>
    </row>
    <row r="901" spans="1:8" hidden="1"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hidden="1" x14ac:dyDescent="0.25">
      <c r="A903" s="17">
        <v>43075</v>
      </c>
      <c r="B903" s="10" t="s">
        <v>1407</v>
      </c>
      <c r="C903" s="11" t="s">
        <v>1828</v>
      </c>
      <c r="F903" s="9">
        <v>700000</v>
      </c>
      <c r="G903" s="6">
        <f t="shared" si="21"/>
        <v>-700000</v>
      </c>
      <c r="H903" s="32" t="s">
        <v>2910</v>
      </c>
    </row>
    <row r="904" spans="1:8" hidden="1" x14ac:dyDescent="0.25">
      <c r="A904" s="17">
        <v>43075</v>
      </c>
      <c r="B904" s="10" t="s">
        <v>2810</v>
      </c>
      <c r="C904" s="11" t="s">
        <v>3039</v>
      </c>
      <c r="E904" s="8">
        <f>236815+41617-150000-90000</f>
        <v>38432</v>
      </c>
      <c r="G904" s="6">
        <f t="shared" ref="G904:G1060" si="22">E904-F904</f>
        <v>38432</v>
      </c>
    </row>
    <row r="905" spans="1:8" hidden="1" x14ac:dyDescent="0.25">
      <c r="A905" s="17">
        <v>43067</v>
      </c>
      <c r="B905" s="10" t="s">
        <v>14</v>
      </c>
      <c r="C905" s="11" t="s">
        <v>164</v>
      </c>
      <c r="E905" s="8">
        <v>845</v>
      </c>
      <c r="G905" s="6">
        <f t="shared" si="22"/>
        <v>845</v>
      </c>
    </row>
    <row r="906" spans="1:8" hidden="1" x14ac:dyDescent="0.25">
      <c r="A906" s="17">
        <v>43067</v>
      </c>
      <c r="B906" s="10" t="s">
        <v>14</v>
      </c>
      <c r="C906" s="11" t="s">
        <v>164</v>
      </c>
      <c r="E906" s="8">
        <v>586</v>
      </c>
      <c r="G906" s="6">
        <f t="shared" si="22"/>
        <v>586</v>
      </c>
    </row>
    <row r="907" spans="1:8" hidden="1" x14ac:dyDescent="0.25">
      <c r="A907" s="17">
        <v>43071</v>
      </c>
      <c r="B907" s="10" t="s">
        <v>1407</v>
      </c>
      <c r="C907" s="11" t="s">
        <v>1816</v>
      </c>
      <c r="F907" s="9">
        <v>82324</v>
      </c>
      <c r="G907" s="6">
        <f t="shared" si="22"/>
        <v>-82324</v>
      </c>
      <c r="H907" s="81"/>
    </row>
    <row r="908" spans="1:8" hidden="1" x14ac:dyDescent="0.25">
      <c r="A908" s="17">
        <v>43071</v>
      </c>
      <c r="B908" s="10" t="s">
        <v>33</v>
      </c>
      <c r="C908" s="11" t="s">
        <v>1816</v>
      </c>
      <c r="F908" s="9">
        <v>126634</v>
      </c>
      <c r="G908" s="6">
        <f t="shared" si="22"/>
        <v>-126634</v>
      </c>
      <c r="H908" s="82"/>
    </row>
    <row r="909" spans="1:8" hidden="1" x14ac:dyDescent="0.25">
      <c r="A909" s="17">
        <v>43071</v>
      </c>
      <c r="B909" s="10" t="s">
        <v>171</v>
      </c>
      <c r="C909" s="11" t="s">
        <v>1816</v>
      </c>
      <c r="F909" s="9">
        <v>39941</v>
      </c>
      <c r="G909" s="6">
        <f t="shared" si="22"/>
        <v>-39941</v>
      </c>
      <c r="H909" s="32" t="s">
        <v>2918</v>
      </c>
    </row>
    <row r="910" spans="1:8" hidden="1" x14ac:dyDescent="0.25">
      <c r="A910" s="17">
        <v>43071</v>
      </c>
      <c r="B910" s="10" t="s">
        <v>2672</v>
      </c>
      <c r="C910" s="11" t="s">
        <v>1816</v>
      </c>
      <c r="F910" s="9">
        <v>11328</v>
      </c>
      <c r="G910" s="6">
        <f t="shared" si="22"/>
        <v>-11328</v>
      </c>
      <c r="H910" s="82"/>
    </row>
    <row r="911" spans="1:8" hidden="1" x14ac:dyDescent="0.25">
      <c r="A911" s="17">
        <v>43071</v>
      </c>
      <c r="B911" s="10" t="s">
        <v>2336</v>
      </c>
      <c r="C911" s="11" t="s">
        <v>1816</v>
      </c>
      <c r="F911" s="9">
        <v>39773</v>
      </c>
      <c r="G911" s="6">
        <f t="shared" si="22"/>
        <v>-39773</v>
      </c>
      <c r="H911" s="83"/>
    </row>
    <row r="912" spans="1:8" hidden="1" x14ac:dyDescent="0.25">
      <c r="A912" s="17">
        <v>43069</v>
      </c>
      <c r="B912" s="10" t="s">
        <v>1407</v>
      </c>
      <c r="C912" s="11" t="s">
        <v>164</v>
      </c>
      <c r="E912" s="8">
        <v>28217</v>
      </c>
      <c r="G912" s="6">
        <f t="shared" si="22"/>
        <v>28217</v>
      </c>
    </row>
    <row r="913" spans="1:7" hidden="1" x14ac:dyDescent="0.25">
      <c r="A913" s="17">
        <v>43069</v>
      </c>
      <c r="B913" s="10" t="s">
        <v>11</v>
      </c>
      <c r="C913" s="11" t="s">
        <v>164</v>
      </c>
      <c r="E913" s="8">
        <v>81293</v>
      </c>
      <c r="G913" s="6">
        <f t="shared" si="22"/>
        <v>81293</v>
      </c>
    </row>
    <row r="914" spans="1:7" hidden="1" x14ac:dyDescent="0.25">
      <c r="A914" s="17">
        <v>43071</v>
      </c>
      <c r="B914" s="10" t="s">
        <v>11</v>
      </c>
      <c r="C914" s="11" t="s">
        <v>164</v>
      </c>
      <c r="E914" s="8">
        <v>6318</v>
      </c>
      <c r="G914" s="6">
        <f t="shared" si="22"/>
        <v>6318</v>
      </c>
    </row>
    <row r="915" spans="1:7" hidden="1" x14ac:dyDescent="0.25">
      <c r="A915" s="17">
        <v>43074</v>
      </c>
      <c r="B915" s="10" t="s">
        <v>11</v>
      </c>
      <c r="C915" s="11" t="s">
        <v>164</v>
      </c>
      <c r="E915" s="8">
        <v>3749</v>
      </c>
      <c r="G915" s="6">
        <f t="shared" si="22"/>
        <v>3749</v>
      </c>
    </row>
    <row r="916" spans="1:7" hidden="1" x14ac:dyDescent="0.25">
      <c r="A916" s="17">
        <v>43074</v>
      </c>
      <c r="B916" s="10" t="s">
        <v>14</v>
      </c>
      <c r="C916" s="11" t="s">
        <v>164</v>
      </c>
      <c r="E916" s="8">
        <f>1574+7320+1840+914+1085</f>
        <v>12733</v>
      </c>
      <c r="G916" s="6">
        <f t="shared" si="22"/>
        <v>12733</v>
      </c>
    </row>
    <row r="917" spans="1:7" hidden="1" x14ac:dyDescent="0.25">
      <c r="A917" s="17">
        <v>43075</v>
      </c>
      <c r="B917" s="10" t="s">
        <v>11</v>
      </c>
      <c r="C917" s="11" t="s">
        <v>164</v>
      </c>
      <c r="E917" s="8">
        <v>6783</v>
      </c>
      <c r="G917" s="6">
        <f t="shared" si="22"/>
        <v>6783</v>
      </c>
    </row>
    <row r="918" spans="1:7" hidden="1" x14ac:dyDescent="0.25">
      <c r="A918" s="17">
        <v>43083</v>
      </c>
      <c r="B918" s="10" t="s">
        <v>2571</v>
      </c>
      <c r="C918" s="11" t="s">
        <v>164</v>
      </c>
      <c r="E918" s="8">
        <v>15415</v>
      </c>
      <c r="G918" s="6">
        <f t="shared" si="22"/>
        <v>15415</v>
      </c>
    </row>
    <row r="919" spans="1:7" hidden="1" x14ac:dyDescent="0.25">
      <c r="A919" s="17">
        <v>43082</v>
      </c>
      <c r="B919" s="10" t="s">
        <v>1407</v>
      </c>
      <c r="C919" s="11" t="s">
        <v>164</v>
      </c>
      <c r="E919" s="8">
        <v>6160</v>
      </c>
      <c r="G919" s="6">
        <f t="shared" si="22"/>
        <v>6160</v>
      </c>
    </row>
    <row r="920" spans="1:7" hidden="1" x14ac:dyDescent="0.25">
      <c r="A920" s="17">
        <v>43089</v>
      </c>
      <c r="B920" s="10" t="s">
        <v>1407</v>
      </c>
      <c r="C920" s="11" t="s">
        <v>164</v>
      </c>
      <c r="E920" s="8">
        <v>12457</v>
      </c>
      <c r="G920" s="6">
        <f t="shared" si="22"/>
        <v>12457</v>
      </c>
    </row>
    <row r="921" spans="1:7" hidden="1" x14ac:dyDescent="0.25">
      <c r="A921" s="17">
        <v>43073</v>
      </c>
      <c r="B921" s="10" t="s">
        <v>1407</v>
      </c>
      <c r="C921" s="11" t="s">
        <v>1828</v>
      </c>
      <c r="E921" s="8">
        <v>7505</v>
      </c>
      <c r="G921" s="6">
        <f t="shared" si="22"/>
        <v>7505</v>
      </c>
    </row>
    <row r="922" spans="1:7" hidden="1" x14ac:dyDescent="0.25">
      <c r="A922" s="17">
        <v>43091</v>
      </c>
      <c r="B922" s="10" t="s">
        <v>1407</v>
      </c>
      <c r="C922" s="11" t="s">
        <v>1828</v>
      </c>
      <c r="E922" s="8">
        <v>444837</v>
      </c>
      <c r="G922" s="6">
        <f t="shared" si="22"/>
        <v>444837</v>
      </c>
    </row>
    <row r="923" spans="1:7" hidden="1" x14ac:dyDescent="0.25">
      <c r="A923" s="17">
        <v>43071</v>
      </c>
      <c r="B923" s="10" t="s">
        <v>1407</v>
      </c>
      <c r="C923" s="11" t="s">
        <v>169</v>
      </c>
      <c r="E923" s="8">
        <v>115900</v>
      </c>
      <c r="G923" s="6">
        <f t="shared" si="22"/>
        <v>115900</v>
      </c>
    </row>
    <row r="924" spans="1:7" hidden="1" x14ac:dyDescent="0.25">
      <c r="A924" s="17">
        <v>43081</v>
      </c>
      <c r="B924" s="10" t="s">
        <v>1407</v>
      </c>
      <c r="C924" s="11" t="s">
        <v>169</v>
      </c>
      <c r="E924" s="8">
        <v>16427</v>
      </c>
      <c r="G924" s="6">
        <f t="shared" si="22"/>
        <v>16427</v>
      </c>
    </row>
    <row r="925" spans="1:7" hidden="1" x14ac:dyDescent="0.25">
      <c r="A925" s="17">
        <v>43081</v>
      </c>
      <c r="B925" s="10" t="s">
        <v>14</v>
      </c>
      <c r="C925" s="11" t="s">
        <v>169</v>
      </c>
      <c r="E925" s="8">
        <v>3080</v>
      </c>
      <c r="G925" s="6">
        <f t="shared" si="22"/>
        <v>3080</v>
      </c>
    </row>
    <row r="926" spans="1:7" hidden="1" x14ac:dyDescent="0.25">
      <c r="A926" s="17">
        <v>43081</v>
      </c>
      <c r="B926" s="10" t="s">
        <v>14</v>
      </c>
      <c r="C926" s="11" t="s">
        <v>169</v>
      </c>
      <c r="E926" s="8">
        <v>2328</v>
      </c>
      <c r="G926" s="6">
        <f t="shared" si="22"/>
        <v>2328</v>
      </c>
    </row>
    <row r="927" spans="1:7" hidden="1" x14ac:dyDescent="0.25">
      <c r="A927" s="17">
        <v>43090</v>
      </c>
      <c r="B927" s="10" t="s">
        <v>1407</v>
      </c>
      <c r="C927" s="11" t="s">
        <v>169</v>
      </c>
      <c r="E927" s="8">
        <v>337127</v>
      </c>
      <c r="G927" s="6">
        <f t="shared" si="22"/>
        <v>337127</v>
      </c>
    </row>
    <row r="928" spans="1:7" hidden="1" x14ac:dyDescent="0.25">
      <c r="A928" s="17">
        <v>42829</v>
      </c>
      <c r="B928" s="10" t="s">
        <v>2288</v>
      </c>
      <c r="C928" s="11" t="s">
        <v>2281</v>
      </c>
      <c r="E928" s="231">
        <v>16600</v>
      </c>
      <c r="G928" s="6">
        <f t="shared" si="22"/>
        <v>16600</v>
      </c>
    </row>
    <row r="929" spans="1:8" hidden="1" x14ac:dyDescent="0.25">
      <c r="A929" s="17">
        <v>42859</v>
      </c>
      <c r="B929" s="10" t="s">
        <v>2243</v>
      </c>
      <c r="C929" s="11" t="s">
        <v>2281</v>
      </c>
      <c r="E929" s="231">
        <v>50000</v>
      </c>
      <c r="G929" s="6">
        <f t="shared" si="22"/>
        <v>50000</v>
      </c>
    </row>
    <row r="930" spans="1:8" hidden="1" x14ac:dyDescent="0.25">
      <c r="A930" s="17">
        <v>42923</v>
      </c>
      <c r="B930" s="10" t="s">
        <v>2288</v>
      </c>
      <c r="C930" s="11" t="s">
        <v>2281</v>
      </c>
      <c r="E930" s="231">
        <v>129000</v>
      </c>
      <c r="G930" s="6">
        <f t="shared" si="22"/>
        <v>129000</v>
      </c>
    </row>
    <row r="931" spans="1:8" hidden="1" x14ac:dyDescent="0.25">
      <c r="A931" s="17">
        <v>42929</v>
      </c>
      <c r="B931" s="43" t="s">
        <v>2396</v>
      </c>
      <c r="C931" s="11" t="s">
        <v>2281</v>
      </c>
      <c r="E931" s="231">
        <v>27120</v>
      </c>
      <c r="G931" s="6">
        <f t="shared" si="22"/>
        <v>27120</v>
      </c>
    </row>
    <row r="932" spans="1:8" hidden="1" x14ac:dyDescent="0.25">
      <c r="A932" s="17">
        <v>43085</v>
      </c>
      <c r="B932" s="10" t="s">
        <v>2571</v>
      </c>
      <c r="C932" s="11" t="s">
        <v>164</v>
      </c>
      <c r="E932" s="8">
        <v>1841</v>
      </c>
      <c r="G932" s="6">
        <f t="shared" si="22"/>
        <v>1841</v>
      </c>
    </row>
    <row r="933" spans="1:8" hidden="1" x14ac:dyDescent="0.25">
      <c r="A933" s="17">
        <v>43088</v>
      </c>
      <c r="B933" s="10" t="s">
        <v>11</v>
      </c>
      <c r="C933" s="11" t="s">
        <v>164</v>
      </c>
      <c r="E933" s="8">
        <v>7321</v>
      </c>
      <c r="G933" s="6">
        <f t="shared" si="22"/>
        <v>7321</v>
      </c>
    </row>
    <row r="934" spans="1:8" hidden="1" x14ac:dyDescent="0.25">
      <c r="A934" s="17">
        <v>43089</v>
      </c>
      <c r="B934" s="10" t="s">
        <v>11</v>
      </c>
      <c r="C934" s="11" t="s">
        <v>164</v>
      </c>
      <c r="E934" s="8">
        <v>1575</v>
      </c>
      <c r="G934" s="6">
        <f t="shared" si="22"/>
        <v>1575</v>
      </c>
    </row>
    <row r="935" spans="1:8" hidden="1" x14ac:dyDescent="0.25">
      <c r="A935" s="17">
        <v>43092</v>
      </c>
      <c r="B935" s="10" t="s">
        <v>11</v>
      </c>
      <c r="C935" s="11" t="s">
        <v>164</v>
      </c>
      <c r="E935" s="8">
        <v>5411</v>
      </c>
      <c r="G935" s="6">
        <f t="shared" si="22"/>
        <v>5411</v>
      </c>
    </row>
    <row r="936" spans="1:8" hidden="1" x14ac:dyDescent="0.25">
      <c r="A936" s="17">
        <v>43073</v>
      </c>
      <c r="B936" s="10" t="s">
        <v>33</v>
      </c>
      <c r="C936" s="11" t="s">
        <v>1816</v>
      </c>
      <c r="E936" s="8">
        <v>1208</v>
      </c>
      <c r="G936" s="6">
        <f t="shared" si="22"/>
        <v>1208</v>
      </c>
    </row>
    <row r="937" spans="1:8" hidden="1" x14ac:dyDescent="0.25">
      <c r="A937" s="17">
        <v>43075</v>
      </c>
      <c r="B937" s="10" t="s">
        <v>33</v>
      </c>
      <c r="C937" s="11" t="s">
        <v>1816</v>
      </c>
      <c r="E937" s="8">
        <v>423</v>
      </c>
      <c r="G937" s="6">
        <f t="shared" si="22"/>
        <v>423</v>
      </c>
    </row>
    <row r="938" spans="1:8" hidden="1" x14ac:dyDescent="0.25">
      <c r="A938" s="17">
        <v>43080</v>
      </c>
      <c r="B938" s="10" t="s">
        <v>1407</v>
      </c>
      <c r="C938" s="11" t="s">
        <v>1816</v>
      </c>
      <c r="E938" s="8">
        <v>1064</v>
      </c>
      <c r="G938" s="6">
        <f t="shared" si="22"/>
        <v>1064</v>
      </c>
    </row>
    <row r="939" spans="1:8" hidden="1" x14ac:dyDescent="0.25">
      <c r="A939" s="17">
        <v>43081</v>
      </c>
      <c r="B939" s="10" t="s">
        <v>33</v>
      </c>
      <c r="C939" s="11" t="s">
        <v>1816</v>
      </c>
      <c r="E939" s="8">
        <v>1689</v>
      </c>
      <c r="G939" s="6">
        <f t="shared" si="22"/>
        <v>1689</v>
      </c>
    </row>
    <row r="940" spans="1:8" hidden="1" x14ac:dyDescent="0.25">
      <c r="A940" s="17">
        <v>43083</v>
      </c>
      <c r="B940" s="10" t="s">
        <v>1407</v>
      </c>
      <c r="C940" s="11" t="s">
        <v>1816</v>
      </c>
      <c r="E940" s="8">
        <v>4800</v>
      </c>
      <c r="G940" s="6">
        <f t="shared" si="22"/>
        <v>4800</v>
      </c>
    </row>
    <row r="941" spans="1:8" hidden="1" x14ac:dyDescent="0.25">
      <c r="A941" s="17">
        <v>43103</v>
      </c>
      <c r="B941" s="10" t="s">
        <v>40</v>
      </c>
      <c r="C941" s="11" t="s">
        <v>164</v>
      </c>
      <c r="F941" s="9">
        <v>3797</v>
      </c>
      <c r="G941" s="6">
        <f t="shared" si="22"/>
        <v>-3797</v>
      </c>
      <c r="H941" s="81"/>
    </row>
    <row r="942" spans="1:8" hidden="1" x14ac:dyDescent="0.25">
      <c r="A942" s="17">
        <v>43103</v>
      </c>
      <c r="B942" s="10" t="s">
        <v>14</v>
      </c>
      <c r="C942" s="11" t="s">
        <v>164</v>
      </c>
      <c r="F942" s="9">
        <v>17173</v>
      </c>
      <c r="G942" s="6">
        <f t="shared" si="22"/>
        <v>-17173</v>
      </c>
      <c r="H942" s="82"/>
    </row>
    <row r="943" spans="1:8" hidden="1" x14ac:dyDescent="0.25">
      <c r="A943" s="17">
        <v>43103</v>
      </c>
      <c r="B943" s="10" t="s">
        <v>1703</v>
      </c>
      <c r="C943" s="11" t="s">
        <v>164</v>
      </c>
      <c r="F943" s="9">
        <v>3492</v>
      </c>
      <c r="G943" s="6">
        <f t="shared" si="22"/>
        <v>-3492</v>
      </c>
      <c r="H943" s="82"/>
    </row>
    <row r="944" spans="1:8" hidden="1" x14ac:dyDescent="0.25">
      <c r="A944" s="17">
        <v>43103</v>
      </c>
      <c r="B944" s="10" t="s">
        <v>2571</v>
      </c>
      <c r="C944" s="11" t="s">
        <v>164</v>
      </c>
      <c r="F944" s="9">
        <v>17256</v>
      </c>
      <c r="G944" s="6">
        <f t="shared" si="22"/>
        <v>-17256</v>
      </c>
      <c r="H944" s="82" t="s">
        <v>2993</v>
      </c>
    </row>
    <row r="945" spans="1:8" hidden="1" x14ac:dyDescent="0.25">
      <c r="A945" s="17">
        <v>43103</v>
      </c>
      <c r="B945" s="10" t="s">
        <v>1404</v>
      </c>
      <c r="C945" s="11" t="s">
        <v>164</v>
      </c>
      <c r="F945" s="9">
        <v>37302</v>
      </c>
      <c r="G945" s="6">
        <f t="shared" si="22"/>
        <v>-37302</v>
      </c>
      <c r="H945" s="82"/>
    </row>
    <row r="946" spans="1:8" hidden="1" x14ac:dyDescent="0.25">
      <c r="A946" s="17">
        <v>43103</v>
      </c>
      <c r="B946" s="10" t="s">
        <v>11</v>
      </c>
      <c r="C946" s="11" t="s">
        <v>164</v>
      </c>
      <c r="F946" s="9">
        <v>112450</v>
      </c>
      <c r="G946" s="6">
        <f t="shared" si="22"/>
        <v>-112450</v>
      </c>
      <c r="H946" s="82"/>
    </row>
    <row r="947" spans="1:8" hidden="1" x14ac:dyDescent="0.25">
      <c r="A947" s="17">
        <v>43103</v>
      </c>
      <c r="B947" s="10" t="s">
        <v>2672</v>
      </c>
      <c r="C947" s="11" t="s">
        <v>164</v>
      </c>
      <c r="F947" s="9">
        <v>8530</v>
      </c>
      <c r="G947" s="6">
        <f t="shared" si="22"/>
        <v>-8530</v>
      </c>
      <c r="H947" s="83"/>
    </row>
    <row r="948" spans="1:8" hidden="1" x14ac:dyDescent="0.25">
      <c r="A948" s="17">
        <v>43104</v>
      </c>
      <c r="B948" s="10" t="s">
        <v>2810</v>
      </c>
      <c r="C948" s="11" t="s">
        <v>166</v>
      </c>
      <c r="E948" s="8">
        <v>61200</v>
      </c>
      <c r="G948" s="6">
        <f t="shared" si="22"/>
        <v>61200</v>
      </c>
    </row>
    <row r="949" spans="1:8" hidden="1" x14ac:dyDescent="0.25">
      <c r="A949" s="17">
        <v>43074</v>
      </c>
      <c r="B949" s="10" t="s">
        <v>40</v>
      </c>
      <c r="C949" s="11" t="s">
        <v>2281</v>
      </c>
      <c r="E949" s="8">
        <v>27600</v>
      </c>
      <c r="G949" s="6">
        <f t="shared" si="22"/>
        <v>27600</v>
      </c>
    </row>
    <row r="950" spans="1:8" hidden="1" x14ac:dyDescent="0.25">
      <c r="A950" s="17">
        <v>43074</v>
      </c>
      <c r="B950" s="10" t="s">
        <v>2288</v>
      </c>
      <c r="C950" s="11" t="s">
        <v>2281</v>
      </c>
      <c r="E950" s="8">
        <v>30520</v>
      </c>
      <c r="G950" s="6">
        <f t="shared" si="22"/>
        <v>30520</v>
      </c>
    </row>
    <row r="951" spans="1:8" hidden="1" x14ac:dyDescent="0.25">
      <c r="A951" s="17">
        <v>43074</v>
      </c>
      <c r="B951" s="10" t="s">
        <v>2288</v>
      </c>
      <c r="C951" s="11" t="s">
        <v>2281</v>
      </c>
      <c r="E951" s="8">
        <v>19370</v>
      </c>
      <c r="G951" s="6">
        <f t="shared" si="22"/>
        <v>19370</v>
      </c>
    </row>
    <row r="952" spans="1:8" hidden="1" x14ac:dyDescent="0.25">
      <c r="A952" s="17">
        <v>43074</v>
      </c>
      <c r="B952" s="10" t="s">
        <v>1404</v>
      </c>
      <c r="C952" s="11" t="s">
        <v>2281</v>
      </c>
      <c r="E952" s="8">
        <v>70000</v>
      </c>
      <c r="G952" s="6">
        <f t="shared" si="22"/>
        <v>70000</v>
      </c>
    </row>
    <row r="953" spans="1:8" hidden="1" x14ac:dyDescent="0.25">
      <c r="A953" s="17">
        <v>43074</v>
      </c>
      <c r="B953" s="10" t="s">
        <v>40</v>
      </c>
      <c r="C953" s="11" t="s">
        <v>2281</v>
      </c>
      <c r="E953" s="8">
        <v>38530</v>
      </c>
      <c r="G953" s="6">
        <f t="shared" si="22"/>
        <v>38530</v>
      </c>
    </row>
    <row r="954" spans="1:8" hidden="1" x14ac:dyDescent="0.25">
      <c r="A954" s="17">
        <v>43074</v>
      </c>
      <c r="B954" s="10" t="s">
        <v>1407</v>
      </c>
      <c r="C954" s="11" t="s">
        <v>2281</v>
      </c>
      <c r="E954" s="8">
        <v>168820</v>
      </c>
      <c r="G954" s="6">
        <f t="shared" si="22"/>
        <v>168820</v>
      </c>
    </row>
    <row r="955" spans="1:8" hidden="1" x14ac:dyDescent="0.25">
      <c r="A955" s="17">
        <v>43074</v>
      </c>
      <c r="B955" s="10" t="s">
        <v>1404</v>
      </c>
      <c r="C955" s="11" t="s">
        <v>2281</v>
      </c>
      <c r="E955" s="8">
        <v>20500</v>
      </c>
      <c r="G955" s="6">
        <f t="shared" si="22"/>
        <v>20500</v>
      </c>
    </row>
    <row r="956" spans="1:8" hidden="1" x14ac:dyDescent="0.25">
      <c r="A956" s="17">
        <v>43074</v>
      </c>
      <c r="B956" s="10" t="s">
        <v>2571</v>
      </c>
      <c r="C956" s="11" t="s">
        <v>2281</v>
      </c>
      <c r="E956" s="8">
        <v>26240</v>
      </c>
      <c r="G956" s="6">
        <f t="shared" si="22"/>
        <v>26240</v>
      </c>
    </row>
    <row r="957" spans="1:8" hidden="1" x14ac:dyDescent="0.25">
      <c r="A957" s="17">
        <v>43074</v>
      </c>
      <c r="B957" s="10" t="s">
        <v>1407</v>
      </c>
      <c r="C957" s="11" t="s">
        <v>2281</v>
      </c>
      <c r="E957" s="8">
        <v>34100</v>
      </c>
      <c r="G957" s="6">
        <f t="shared" si="22"/>
        <v>34100</v>
      </c>
    </row>
    <row r="958" spans="1:8" hidden="1" x14ac:dyDescent="0.25">
      <c r="A958" s="17">
        <v>43074</v>
      </c>
      <c r="B958" s="10" t="s">
        <v>1407</v>
      </c>
      <c r="C958" s="11" t="s">
        <v>2281</v>
      </c>
      <c r="E958" s="8">
        <v>42500</v>
      </c>
      <c r="G958" s="6">
        <f t="shared" si="22"/>
        <v>42500</v>
      </c>
    </row>
    <row r="959" spans="1:8" hidden="1" x14ac:dyDescent="0.25">
      <c r="A959" s="17">
        <v>43108</v>
      </c>
      <c r="B959" s="10" t="s">
        <v>1404</v>
      </c>
      <c r="C959" s="11" t="s">
        <v>180</v>
      </c>
      <c r="F959" s="9">
        <v>200000</v>
      </c>
      <c r="G959" s="6">
        <f t="shared" si="22"/>
        <v>-200000</v>
      </c>
      <c r="H959" s="32" t="s">
        <v>3002</v>
      </c>
    </row>
    <row r="960" spans="1:8" hidden="1" x14ac:dyDescent="0.25">
      <c r="A960" s="17">
        <v>43101</v>
      </c>
      <c r="B960" s="10" t="s">
        <v>1407</v>
      </c>
      <c r="C960" s="11" t="s">
        <v>164</v>
      </c>
      <c r="E960" s="8">
        <v>2902</v>
      </c>
      <c r="G960" s="6">
        <f t="shared" si="22"/>
        <v>2902</v>
      </c>
    </row>
    <row r="961" spans="1:8" hidden="1" x14ac:dyDescent="0.25">
      <c r="A961" s="17">
        <v>43104</v>
      </c>
      <c r="B961" s="10" t="s">
        <v>1407</v>
      </c>
      <c r="C961" s="11" t="s">
        <v>164</v>
      </c>
      <c r="E961" s="8">
        <v>977</v>
      </c>
      <c r="G961" s="6">
        <f t="shared" si="22"/>
        <v>977</v>
      </c>
    </row>
    <row r="962" spans="1:8" ht="31.5" hidden="1" x14ac:dyDescent="0.25">
      <c r="A962" s="17">
        <v>43081</v>
      </c>
      <c r="B962" s="10" t="s">
        <v>1407</v>
      </c>
      <c r="C962" s="11" t="s">
        <v>1828</v>
      </c>
      <c r="F962" s="9">
        <v>1000000</v>
      </c>
      <c r="G962" s="6">
        <f t="shared" si="22"/>
        <v>-1000000</v>
      </c>
      <c r="H962" s="254" t="s">
        <v>3008</v>
      </c>
    </row>
    <row r="963" spans="1:8" hidden="1" x14ac:dyDescent="0.25">
      <c r="A963" s="17">
        <v>43081</v>
      </c>
      <c r="B963" s="10" t="s">
        <v>2288</v>
      </c>
      <c r="C963" s="11" t="s">
        <v>166</v>
      </c>
      <c r="F963" s="9">
        <v>122968</v>
      </c>
      <c r="G963" s="6">
        <f t="shared" si="22"/>
        <v>-122968</v>
      </c>
      <c r="H963" s="1207" t="s">
        <v>3009</v>
      </c>
    </row>
    <row r="964" spans="1:8" hidden="1" x14ac:dyDescent="0.25">
      <c r="A964" s="17">
        <v>43081</v>
      </c>
      <c r="B964" s="10" t="s">
        <v>2810</v>
      </c>
      <c r="C964" s="11" t="s">
        <v>166</v>
      </c>
      <c r="F964" s="9">
        <v>183600</v>
      </c>
      <c r="G964" s="6">
        <f t="shared" si="22"/>
        <v>-183600</v>
      </c>
      <c r="H964" s="1208"/>
    </row>
    <row r="965" spans="1:8" hidden="1" x14ac:dyDescent="0.25">
      <c r="A965" s="17">
        <v>43081</v>
      </c>
      <c r="B965" s="10" t="s">
        <v>40</v>
      </c>
      <c r="C965" s="11" t="s">
        <v>166</v>
      </c>
      <c r="F965" s="9">
        <v>69900</v>
      </c>
      <c r="G965" s="6">
        <f t="shared" si="22"/>
        <v>-69900</v>
      </c>
      <c r="H965" s="1208"/>
    </row>
    <row r="966" spans="1:8" hidden="1" x14ac:dyDescent="0.25">
      <c r="A966" s="17">
        <v>43081</v>
      </c>
      <c r="B966" s="10" t="s">
        <v>1407</v>
      </c>
      <c r="C966" s="11" t="s">
        <v>166</v>
      </c>
      <c r="F966" s="9">
        <v>84000</v>
      </c>
      <c r="G966" s="6">
        <f t="shared" si="22"/>
        <v>-84000</v>
      </c>
      <c r="H966" s="1208"/>
    </row>
    <row r="967" spans="1:8" hidden="1" x14ac:dyDescent="0.25">
      <c r="A967" s="17">
        <v>43081</v>
      </c>
      <c r="B967" s="10" t="s">
        <v>2243</v>
      </c>
      <c r="C967" s="11" t="s">
        <v>166</v>
      </c>
      <c r="F967" s="9">
        <v>35709</v>
      </c>
      <c r="G967" s="6">
        <f t="shared" si="22"/>
        <v>-35709</v>
      </c>
      <c r="H967" s="1208"/>
    </row>
    <row r="968" spans="1:8" hidden="1" x14ac:dyDescent="0.25">
      <c r="A968" s="17">
        <v>43081</v>
      </c>
      <c r="B968" s="10" t="s">
        <v>1404</v>
      </c>
      <c r="C968" s="11" t="s">
        <v>166</v>
      </c>
      <c r="F968" s="9">
        <v>3823</v>
      </c>
      <c r="G968" s="6">
        <f t="shared" si="22"/>
        <v>-3823</v>
      </c>
      <c r="H968" s="1209"/>
    </row>
    <row r="969" spans="1:8" ht="26.25" hidden="1" x14ac:dyDescent="0.25">
      <c r="A969" s="17">
        <v>43084</v>
      </c>
      <c r="B969" s="10" t="s">
        <v>40</v>
      </c>
      <c r="C969" s="11" t="s">
        <v>161</v>
      </c>
      <c r="F969" s="9">
        <v>100000</v>
      </c>
      <c r="G969" s="6">
        <f t="shared" si="22"/>
        <v>-100000</v>
      </c>
      <c r="H969" s="141" t="s">
        <v>3010</v>
      </c>
    </row>
    <row r="970" spans="1:8" hidden="1" x14ac:dyDescent="0.25">
      <c r="A970" s="17">
        <v>43084</v>
      </c>
      <c r="B970" s="10" t="s">
        <v>1407</v>
      </c>
      <c r="C970" s="11" t="s">
        <v>1828</v>
      </c>
      <c r="E970" s="8">
        <v>250690</v>
      </c>
      <c r="G970" s="6">
        <f t="shared" si="22"/>
        <v>250690</v>
      </c>
    </row>
    <row r="971" spans="1:8" hidden="1" x14ac:dyDescent="0.25">
      <c r="A971" s="17">
        <v>43087</v>
      </c>
      <c r="B971" s="10" t="s">
        <v>1407</v>
      </c>
      <c r="C971" s="11" t="s">
        <v>164</v>
      </c>
      <c r="E971" s="8">
        <v>6207</v>
      </c>
      <c r="G971" s="6">
        <f t="shared" si="22"/>
        <v>6207</v>
      </c>
    </row>
    <row r="972" spans="1:8" hidden="1" x14ac:dyDescent="0.25">
      <c r="A972" s="17">
        <v>43117</v>
      </c>
      <c r="B972" s="10" t="s">
        <v>1407</v>
      </c>
      <c r="C972" s="11" t="s">
        <v>1828</v>
      </c>
      <c r="E972" s="8">
        <v>141187</v>
      </c>
      <c r="G972" s="6">
        <f t="shared" si="22"/>
        <v>141187</v>
      </c>
    </row>
    <row r="973" spans="1:8" hidden="1" x14ac:dyDescent="0.25">
      <c r="A973" s="17">
        <v>43117</v>
      </c>
      <c r="B973" s="10" t="s">
        <v>2288</v>
      </c>
      <c r="C973" s="11" t="s">
        <v>161</v>
      </c>
      <c r="F973" s="9">
        <v>6270</v>
      </c>
      <c r="G973" s="6">
        <f t="shared" si="22"/>
        <v>-6270</v>
      </c>
      <c r="H973" s="81"/>
    </row>
    <row r="974" spans="1:8" hidden="1" x14ac:dyDescent="0.25">
      <c r="A974" s="17">
        <v>43117</v>
      </c>
      <c r="B974" s="10" t="s">
        <v>1404</v>
      </c>
      <c r="C974" s="11" t="s">
        <v>161</v>
      </c>
      <c r="F974" s="9">
        <v>58308</v>
      </c>
      <c r="G974" s="6">
        <f t="shared" si="22"/>
        <v>-58308</v>
      </c>
      <c r="H974" s="82"/>
    </row>
    <row r="975" spans="1:8" hidden="1" x14ac:dyDescent="0.25">
      <c r="A975" s="17">
        <v>43117</v>
      </c>
      <c r="B975" s="10" t="s">
        <v>38</v>
      </c>
      <c r="C975" s="11" t="s">
        <v>161</v>
      </c>
      <c r="F975" s="9">
        <v>13642</v>
      </c>
      <c r="G975" s="6">
        <f t="shared" si="22"/>
        <v>-13642</v>
      </c>
      <c r="H975" s="82" t="s">
        <v>3042</v>
      </c>
    </row>
    <row r="976" spans="1:8" hidden="1" x14ac:dyDescent="0.25">
      <c r="A976" s="17">
        <v>43117</v>
      </c>
      <c r="B976" s="10" t="s">
        <v>40</v>
      </c>
      <c r="C976" s="11" t="s">
        <v>161</v>
      </c>
      <c r="F976" s="9">
        <v>14780</v>
      </c>
      <c r="G976" s="6">
        <f t="shared" si="22"/>
        <v>-14780</v>
      </c>
      <c r="H976" s="83"/>
    </row>
    <row r="977" spans="1:8" hidden="1" x14ac:dyDescent="0.25">
      <c r="A977" s="17">
        <v>43122</v>
      </c>
      <c r="B977" s="10" t="s">
        <v>1407</v>
      </c>
      <c r="C977" s="11" t="s">
        <v>169</v>
      </c>
      <c r="F977" s="9">
        <v>300000</v>
      </c>
      <c r="G977" s="6">
        <f t="shared" si="22"/>
        <v>-300000</v>
      </c>
      <c r="H977" s="32" t="s">
        <v>3074</v>
      </c>
    </row>
    <row r="978" spans="1:8" hidden="1" x14ac:dyDescent="0.25">
      <c r="A978" s="17">
        <v>43122</v>
      </c>
      <c r="B978" s="10" t="s">
        <v>1407</v>
      </c>
      <c r="C978" s="11" t="s">
        <v>164</v>
      </c>
      <c r="E978" s="8">
        <v>6084</v>
      </c>
      <c r="G978" s="6">
        <f t="shared" si="22"/>
        <v>6084</v>
      </c>
    </row>
    <row r="979" spans="1:8" hidden="1" x14ac:dyDescent="0.25">
      <c r="A979" s="17">
        <v>43122</v>
      </c>
      <c r="B979" s="10" t="s">
        <v>1407</v>
      </c>
      <c r="C979" s="11" t="s">
        <v>1828</v>
      </c>
      <c r="F979" s="9">
        <v>500000</v>
      </c>
      <c r="G979" s="6">
        <f t="shared" si="22"/>
        <v>-500000</v>
      </c>
      <c r="H979" s="47" t="s">
        <v>3075</v>
      </c>
    </row>
    <row r="980" spans="1:8" hidden="1" x14ac:dyDescent="0.25">
      <c r="A980" s="17">
        <v>43122</v>
      </c>
      <c r="B980" s="10" t="s">
        <v>1404</v>
      </c>
      <c r="C980" s="11" t="s">
        <v>166</v>
      </c>
      <c r="F980" s="9">
        <v>56477</v>
      </c>
      <c r="G980" s="6">
        <f t="shared" si="22"/>
        <v>-56477</v>
      </c>
      <c r="H980" s="1210" t="s">
        <v>3080</v>
      </c>
    </row>
    <row r="981" spans="1:8" hidden="1" x14ac:dyDescent="0.25">
      <c r="A981" s="17">
        <v>43122</v>
      </c>
      <c r="B981" s="10" t="s">
        <v>2810</v>
      </c>
      <c r="C981" s="11" t="s">
        <v>166</v>
      </c>
      <c r="F981" s="9">
        <f>500000-F980</f>
        <v>443523</v>
      </c>
      <c r="G981" s="6">
        <f t="shared" si="22"/>
        <v>-443523</v>
      </c>
      <c r="H981" s="1211"/>
    </row>
    <row r="982" spans="1:8" hidden="1" x14ac:dyDescent="0.25">
      <c r="A982" s="17">
        <v>43122</v>
      </c>
      <c r="B982" s="10" t="s">
        <v>1407</v>
      </c>
      <c r="C982" s="11" t="s">
        <v>1816</v>
      </c>
      <c r="F982" s="9">
        <v>460000</v>
      </c>
      <c r="G982" s="6">
        <f t="shared" si="22"/>
        <v>-460000</v>
      </c>
      <c r="H982" s="32" t="s">
        <v>3422</v>
      </c>
    </row>
    <row r="983" spans="1:8" hidden="1" x14ac:dyDescent="0.25">
      <c r="A983" s="17">
        <v>43124</v>
      </c>
      <c r="B983" s="10" t="s">
        <v>33</v>
      </c>
      <c r="C983" s="11" t="s">
        <v>164</v>
      </c>
      <c r="D983" s="784">
        <v>3544</v>
      </c>
      <c r="E983" s="8">
        <v>1013</v>
      </c>
      <c r="G983" s="6">
        <f t="shared" si="22"/>
        <v>1013</v>
      </c>
    </row>
    <row r="984" spans="1:8" hidden="1"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hidden="1" x14ac:dyDescent="0.25">
      <c r="A987" s="17">
        <v>43134</v>
      </c>
      <c r="B987" s="10" t="s">
        <v>2810</v>
      </c>
      <c r="C987" s="11" t="s">
        <v>180</v>
      </c>
      <c r="F987" s="9">
        <v>33000</v>
      </c>
      <c r="G987" s="6">
        <f t="shared" si="22"/>
        <v>-33000</v>
      </c>
      <c r="H987" s="7" t="s">
        <v>3118</v>
      </c>
    </row>
    <row r="988" spans="1:8" hidden="1" x14ac:dyDescent="0.25">
      <c r="A988" s="17">
        <v>43127</v>
      </c>
      <c r="B988" s="10" t="s">
        <v>1407</v>
      </c>
      <c r="C988" s="11" t="s">
        <v>1816</v>
      </c>
      <c r="E988" s="8">
        <v>255741</v>
      </c>
      <c r="G988" s="6">
        <f t="shared" si="22"/>
        <v>255741</v>
      </c>
    </row>
    <row r="989" spans="1:8" hidden="1" x14ac:dyDescent="0.25">
      <c r="A989" s="17">
        <v>43131</v>
      </c>
      <c r="B989" s="10" t="s">
        <v>1407</v>
      </c>
      <c r="C989" s="11" t="s">
        <v>1816</v>
      </c>
      <c r="E989" s="8">
        <v>28960</v>
      </c>
      <c r="G989" s="6">
        <f t="shared" si="22"/>
        <v>28960</v>
      </c>
    </row>
    <row r="990" spans="1:8" hidden="1"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hidden="1" x14ac:dyDescent="0.25">
      <c r="A993" s="17">
        <v>43125</v>
      </c>
      <c r="B993" s="10" t="s">
        <v>11</v>
      </c>
      <c r="C993" s="11" t="s">
        <v>164</v>
      </c>
      <c r="E993" s="8">
        <v>4558</v>
      </c>
      <c r="G993" s="6">
        <f t="shared" si="22"/>
        <v>4558</v>
      </c>
    </row>
    <row r="994" spans="1:8" hidden="1" x14ac:dyDescent="0.25">
      <c r="A994" s="17">
        <v>43134</v>
      </c>
      <c r="B994" s="10" t="s">
        <v>11</v>
      </c>
      <c r="C994" s="11" t="s">
        <v>164</v>
      </c>
      <c r="E994" s="8">
        <v>7827</v>
      </c>
      <c r="G994" s="6">
        <f t="shared" si="22"/>
        <v>7827</v>
      </c>
    </row>
    <row r="995" spans="1:8" hidden="1" x14ac:dyDescent="0.25">
      <c r="A995" s="17">
        <v>43138</v>
      </c>
      <c r="B995" s="10" t="s">
        <v>1407</v>
      </c>
      <c r="C995" s="11" t="s">
        <v>164</v>
      </c>
      <c r="E995" s="8">
        <v>417</v>
      </c>
      <c r="G995" s="6">
        <f t="shared" si="22"/>
        <v>417</v>
      </c>
    </row>
    <row r="996" spans="1:8" hidden="1" x14ac:dyDescent="0.25">
      <c r="A996" s="17">
        <v>43102</v>
      </c>
      <c r="B996" s="10" t="s">
        <v>33</v>
      </c>
      <c r="C996" s="11" t="s">
        <v>1816</v>
      </c>
      <c r="E996" s="8">
        <v>5931</v>
      </c>
      <c r="G996" s="6">
        <f t="shared" si="22"/>
        <v>5931</v>
      </c>
    </row>
    <row r="997" spans="1:8" hidden="1" x14ac:dyDescent="0.25">
      <c r="A997" s="17">
        <v>43108</v>
      </c>
      <c r="B997" s="10" t="s">
        <v>33</v>
      </c>
      <c r="C997" s="11" t="s">
        <v>1816</v>
      </c>
      <c r="E997" s="8">
        <v>4612</v>
      </c>
      <c r="G997" s="6">
        <f t="shared" si="22"/>
        <v>4612</v>
      </c>
    </row>
    <row r="998" spans="1:8" hidden="1" x14ac:dyDescent="0.25">
      <c r="A998" s="17">
        <v>43120</v>
      </c>
      <c r="B998" s="10" t="s">
        <v>1407</v>
      </c>
      <c r="C998" s="11" t="s">
        <v>1816</v>
      </c>
      <c r="E998" s="8">
        <v>5199</v>
      </c>
      <c r="G998" s="6">
        <f t="shared" si="22"/>
        <v>5199</v>
      </c>
    </row>
    <row r="999" spans="1:8" hidden="1" x14ac:dyDescent="0.25">
      <c r="A999" s="17">
        <v>43116</v>
      </c>
      <c r="B999" s="10" t="s">
        <v>1407</v>
      </c>
      <c r="C999" s="11" t="s">
        <v>1816</v>
      </c>
      <c r="E999" s="8">
        <v>60700</v>
      </c>
      <c r="G999" s="6">
        <f t="shared" si="22"/>
        <v>60700</v>
      </c>
    </row>
    <row r="1000" spans="1:8" hidden="1" x14ac:dyDescent="0.25">
      <c r="A1000" s="17">
        <v>43113</v>
      </c>
      <c r="B1000" s="10" t="s">
        <v>1407</v>
      </c>
      <c r="C1000" s="11" t="s">
        <v>1816</v>
      </c>
      <c r="E1000" s="8">
        <v>18807</v>
      </c>
      <c r="G1000" s="6">
        <f t="shared" si="22"/>
        <v>18807</v>
      </c>
    </row>
    <row r="1001" spans="1:8" hidden="1"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hidden="1" x14ac:dyDescent="0.25">
      <c r="A1004" s="17">
        <v>43134</v>
      </c>
      <c r="B1004" s="10" t="s">
        <v>1407</v>
      </c>
      <c r="C1004" s="11" t="s">
        <v>2281</v>
      </c>
      <c r="E1004" s="8">
        <v>1350</v>
      </c>
      <c r="G1004" s="6">
        <f t="shared" si="22"/>
        <v>1350</v>
      </c>
    </row>
    <row r="1005" spans="1:8" hidden="1" x14ac:dyDescent="0.25">
      <c r="A1005" s="17">
        <v>43148</v>
      </c>
      <c r="B1005" s="10" t="s">
        <v>2810</v>
      </c>
      <c r="C1005" s="11" t="s">
        <v>161</v>
      </c>
      <c r="F1005" s="9">
        <v>250000</v>
      </c>
      <c r="G1005" s="6">
        <f t="shared" si="22"/>
        <v>-250000</v>
      </c>
      <c r="H1005" s="32" t="s">
        <v>3168</v>
      </c>
    </row>
    <row r="1006" spans="1:8" hidden="1" x14ac:dyDescent="0.25">
      <c r="A1006" s="17">
        <v>43139</v>
      </c>
      <c r="B1006" s="10" t="s">
        <v>11</v>
      </c>
      <c r="C1006" s="11" t="s">
        <v>164</v>
      </c>
      <c r="E1006" s="8">
        <v>7442</v>
      </c>
      <c r="G1006" s="6">
        <f t="shared" si="22"/>
        <v>7442</v>
      </c>
      <c r="H1006" s="127"/>
    </row>
    <row r="1007" spans="1:8" hidden="1"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hidden="1" x14ac:dyDescent="0.25">
      <c r="A1012" s="17">
        <v>43143</v>
      </c>
      <c r="B1012" s="10" t="s">
        <v>1407</v>
      </c>
      <c r="C1012" s="11" t="s">
        <v>1828</v>
      </c>
      <c r="E1012" s="8">
        <v>98664</v>
      </c>
      <c r="G1012" s="6">
        <f t="shared" si="22"/>
        <v>98664</v>
      </c>
    </row>
    <row r="1013" spans="1:7" hidden="1" x14ac:dyDescent="0.25">
      <c r="A1013" s="17">
        <v>43146</v>
      </c>
      <c r="B1013" s="10" t="s">
        <v>11</v>
      </c>
      <c r="C1013" s="11" t="s">
        <v>164</v>
      </c>
      <c r="E1013" s="8">
        <v>1073</v>
      </c>
      <c r="G1013" s="6">
        <f t="shared" si="22"/>
        <v>1073</v>
      </c>
    </row>
    <row r="1014" spans="1:7" hidden="1" x14ac:dyDescent="0.25">
      <c r="A1014" s="17">
        <v>43104</v>
      </c>
      <c r="B1014" s="10" t="s">
        <v>2810</v>
      </c>
      <c r="C1014" s="11" t="s">
        <v>166</v>
      </c>
      <c r="E1014" s="8">
        <v>70800</v>
      </c>
      <c r="G1014" s="6">
        <f t="shared" si="22"/>
        <v>70800</v>
      </c>
    </row>
    <row r="1015" spans="1:7" hidden="1" x14ac:dyDescent="0.25">
      <c r="A1015" s="17">
        <v>43108</v>
      </c>
      <c r="B1015" s="10" t="s">
        <v>2810</v>
      </c>
      <c r="C1015" s="11" t="s">
        <v>166</v>
      </c>
      <c r="E1015" s="8">
        <v>61200</v>
      </c>
      <c r="G1015" s="6">
        <f t="shared" si="22"/>
        <v>61200</v>
      </c>
    </row>
    <row r="1016" spans="1:7" hidden="1" x14ac:dyDescent="0.25">
      <c r="A1016" s="17">
        <v>43110</v>
      </c>
      <c r="B1016" s="10" t="s">
        <v>2810</v>
      </c>
      <c r="C1016" s="11" t="s">
        <v>166</v>
      </c>
      <c r="E1016" s="8">
        <v>30600</v>
      </c>
      <c r="G1016" s="6">
        <f t="shared" si="22"/>
        <v>30600</v>
      </c>
    </row>
    <row r="1017" spans="1:7" hidden="1" x14ac:dyDescent="0.25">
      <c r="A1017" s="17">
        <v>43111</v>
      </c>
      <c r="B1017" s="10" t="s">
        <v>2810</v>
      </c>
      <c r="C1017" s="11" t="s">
        <v>166</v>
      </c>
      <c r="E1017" s="8">
        <v>19000</v>
      </c>
      <c r="G1017" s="6">
        <f t="shared" si="22"/>
        <v>19000</v>
      </c>
    </row>
    <row r="1018" spans="1:7" hidden="1" x14ac:dyDescent="0.25">
      <c r="A1018" s="17">
        <v>43117</v>
      </c>
      <c r="B1018" s="10" t="s">
        <v>2810</v>
      </c>
      <c r="C1018" s="11" t="s">
        <v>166</v>
      </c>
      <c r="E1018" s="8">
        <v>61200</v>
      </c>
      <c r="G1018" s="6">
        <f t="shared" si="22"/>
        <v>61200</v>
      </c>
    </row>
    <row r="1019" spans="1:7" hidden="1" x14ac:dyDescent="0.25">
      <c r="A1019" s="17">
        <v>43120</v>
      </c>
      <c r="B1019" s="10" t="s">
        <v>2810</v>
      </c>
      <c r="C1019" s="11" t="s">
        <v>166</v>
      </c>
      <c r="E1019" s="8">
        <v>61200</v>
      </c>
      <c r="G1019" s="6">
        <f t="shared" si="22"/>
        <v>61200</v>
      </c>
    </row>
    <row r="1020" spans="1:7" hidden="1" x14ac:dyDescent="0.25">
      <c r="A1020" s="17">
        <v>43122</v>
      </c>
      <c r="B1020" s="10" t="s">
        <v>2810</v>
      </c>
      <c r="C1020" s="11" t="s">
        <v>166</v>
      </c>
      <c r="E1020" s="8">
        <v>88860</v>
      </c>
      <c r="G1020" s="6">
        <f t="shared" si="22"/>
        <v>88860</v>
      </c>
    </row>
    <row r="1021" spans="1:7" hidden="1" x14ac:dyDescent="0.25">
      <c r="A1021" s="17">
        <v>43124</v>
      </c>
      <c r="B1021" s="10" t="s">
        <v>2810</v>
      </c>
      <c r="C1021" s="11" t="s">
        <v>166</v>
      </c>
      <c r="E1021" s="8">
        <v>61200</v>
      </c>
      <c r="G1021" s="6">
        <f t="shared" si="22"/>
        <v>61200</v>
      </c>
    </row>
    <row r="1022" spans="1:7" hidden="1" x14ac:dyDescent="0.25">
      <c r="A1022" s="17">
        <v>43127</v>
      </c>
      <c r="B1022" s="10" t="s">
        <v>2810</v>
      </c>
      <c r="C1022" s="11" t="s">
        <v>166</v>
      </c>
      <c r="E1022" s="8">
        <v>30000</v>
      </c>
      <c r="G1022" s="6">
        <f t="shared" si="22"/>
        <v>30000</v>
      </c>
    </row>
    <row r="1023" spans="1:7" hidden="1" x14ac:dyDescent="0.25">
      <c r="A1023" s="17">
        <v>43131</v>
      </c>
      <c r="B1023" s="10" t="s">
        <v>2810</v>
      </c>
      <c r="C1023" s="11" t="s">
        <v>166</v>
      </c>
      <c r="E1023" s="8">
        <v>30000</v>
      </c>
      <c r="G1023" s="6">
        <f t="shared" si="22"/>
        <v>30000</v>
      </c>
    </row>
    <row r="1024" spans="1:7" hidden="1" x14ac:dyDescent="0.25">
      <c r="A1024" s="17">
        <v>43132</v>
      </c>
      <c r="B1024" s="10" t="s">
        <v>2810</v>
      </c>
      <c r="C1024" s="11" t="s">
        <v>166</v>
      </c>
      <c r="E1024" s="8">
        <v>76500</v>
      </c>
      <c r="G1024" s="6">
        <f t="shared" si="22"/>
        <v>76500</v>
      </c>
    </row>
    <row r="1025" spans="1:7" hidden="1" x14ac:dyDescent="0.25">
      <c r="A1025" s="17">
        <v>43137</v>
      </c>
      <c r="B1025" s="10" t="s">
        <v>2810</v>
      </c>
      <c r="C1025" s="11" t="s">
        <v>166</v>
      </c>
      <c r="E1025" s="8">
        <v>91200</v>
      </c>
      <c r="G1025" s="6">
        <f t="shared" si="22"/>
        <v>91200</v>
      </c>
    </row>
    <row r="1026" spans="1:7" hidden="1" x14ac:dyDescent="0.25">
      <c r="A1026" s="17">
        <v>43137</v>
      </c>
      <c r="B1026" s="10" t="s">
        <v>2810</v>
      </c>
      <c r="C1026" s="11" t="s">
        <v>166</v>
      </c>
      <c r="E1026" s="8">
        <v>6000</v>
      </c>
      <c r="G1026" s="6">
        <f t="shared" si="22"/>
        <v>6000</v>
      </c>
    </row>
    <row r="1027" spans="1:7" hidden="1" x14ac:dyDescent="0.25">
      <c r="A1027" s="17">
        <v>43140</v>
      </c>
      <c r="B1027" s="10" t="s">
        <v>2810</v>
      </c>
      <c r="C1027" s="11" t="s">
        <v>166</v>
      </c>
      <c r="E1027" s="8">
        <v>24000</v>
      </c>
      <c r="G1027" s="6">
        <f t="shared" si="22"/>
        <v>24000</v>
      </c>
    </row>
    <row r="1028" spans="1:7" hidden="1" x14ac:dyDescent="0.25">
      <c r="A1028" s="17">
        <v>43143</v>
      </c>
      <c r="B1028" s="10" t="s">
        <v>2810</v>
      </c>
      <c r="C1028" s="11" t="s">
        <v>166</v>
      </c>
      <c r="E1028" s="8">
        <v>61200</v>
      </c>
      <c r="G1028" s="6">
        <f t="shared" si="22"/>
        <v>61200</v>
      </c>
    </row>
    <row r="1029" spans="1:7" hidden="1" x14ac:dyDescent="0.25">
      <c r="A1029" s="17">
        <v>43146</v>
      </c>
      <c r="B1029" s="10" t="s">
        <v>2810</v>
      </c>
      <c r="C1029" s="11" t="s">
        <v>166</v>
      </c>
      <c r="E1029" s="8">
        <v>94500</v>
      </c>
      <c r="G1029" s="6">
        <f t="shared" si="22"/>
        <v>94500</v>
      </c>
    </row>
    <row r="1030" spans="1:7" hidden="1" x14ac:dyDescent="0.25">
      <c r="A1030" s="17">
        <v>43147</v>
      </c>
      <c r="B1030" s="10" t="s">
        <v>2810</v>
      </c>
      <c r="C1030" s="11" t="s">
        <v>166</v>
      </c>
      <c r="E1030" s="8">
        <v>24000</v>
      </c>
      <c r="G1030" s="6">
        <f t="shared" si="22"/>
        <v>24000</v>
      </c>
    </row>
    <row r="1031" spans="1:7" hidden="1"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hidden="1" x14ac:dyDescent="0.25">
      <c r="A1034" s="17">
        <v>43150</v>
      </c>
      <c r="B1034" s="10" t="s">
        <v>2810</v>
      </c>
      <c r="C1034" s="11" t="s">
        <v>166</v>
      </c>
      <c r="E1034" s="8">
        <v>12000</v>
      </c>
      <c r="G1034" s="6">
        <f t="shared" si="22"/>
        <v>12000</v>
      </c>
    </row>
    <row r="1035" spans="1:7" hidden="1" x14ac:dyDescent="0.25">
      <c r="A1035" s="17">
        <v>43155</v>
      </c>
      <c r="B1035" s="10" t="s">
        <v>2810</v>
      </c>
      <c r="C1035" s="11" t="s">
        <v>166</v>
      </c>
      <c r="E1035" s="8">
        <v>18000</v>
      </c>
      <c r="G1035" s="6">
        <f t="shared" si="22"/>
        <v>18000</v>
      </c>
    </row>
    <row r="1036" spans="1:7" hidden="1" x14ac:dyDescent="0.25">
      <c r="A1036" s="17">
        <v>43159</v>
      </c>
      <c r="B1036" s="10" t="s">
        <v>1407</v>
      </c>
      <c r="C1036" s="11" t="s">
        <v>1828</v>
      </c>
      <c r="E1036" s="8">
        <v>446088</v>
      </c>
      <c r="G1036" s="6">
        <f t="shared" si="22"/>
        <v>446088</v>
      </c>
    </row>
    <row r="1037" spans="1:7" hidden="1" x14ac:dyDescent="0.25">
      <c r="A1037" s="17">
        <v>43158</v>
      </c>
      <c r="B1037" s="10" t="s">
        <v>2810</v>
      </c>
      <c r="C1037" s="11" t="s">
        <v>166</v>
      </c>
      <c r="E1037" s="8">
        <v>12000</v>
      </c>
      <c r="G1037" s="6">
        <f t="shared" si="22"/>
        <v>12000</v>
      </c>
    </row>
    <row r="1038" spans="1:7" hidden="1" x14ac:dyDescent="0.25">
      <c r="A1038" s="17">
        <v>43159</v>
      </c>
      <c r="B1038" s="10" t="s">
        <v>2810</v>
      </c>
      <c r="C1038" s="11" t="s">
        <v>166</v>
      </c>
      <c r="D1038" s="784">
        <v>15525</v>
      </c>
      <c r="E1038" s="8">
        <v>26000</v>
      </c>
      <c r="G1038" s="6">
        <f t="shared" si="22"/>
        <v>26000</v>
      </c>
    </row>
    <row r="1039" spans="1:7" hidden="1" x14ac:dyDescent="0.25">
      <c r="A1039" s="17">
        <v>43160</v>
      </c>
      <c r="B1039" s="10" t="s">
        <v>2810</v>
      </c>
      <c r="C1039" s="11" t="s">
        <v>166</v>
      </c>
      <c r="D1039" s="784">
        <v>15529</v>
      </c>
      <c r="E1039" s="8">
        <v>80700</v>
      </c>
      <c r="G1039" s="6">
        <f t="shared" si="22"/>
        <v>80700</v>
      </c>
    </row>
    <row r="1040" spans="1:7" hidden="1" x14ac:dyDescent="0.25">
      <c r="A1040" s="17">
        <v>43164</v>
      </c>
      <c r="B1040" s="10" t="s">
        <v>2810</v>
      </c>
      <c r="C1040" s="11" t="s">
        <v>166</v>
      </c>
      <c r="D1040" s="784">
        <v>15543</v>
      </c>
      <c r="E1040" s="8">
        <v>80700</v>
      </c>
      <c r="G1040" s="6">
        <f t="shared" si="22"/>
        <v>80700</v>
      </c>
    </row>
    <row r="1041" spans="1:8" hidden="1" x14ac:dyDescent="0.25">
      <c r="A1041" s="17">
        <v>43165</v>
      </c>
      <c r="B1041" s="10" t="s">
        <v>2810</v>
      </c>
      <c r="C1041" s="11" t="s">
        <v>166</v>
      </c>
      <c r="D1041" s="784">
        <v>11110</v>
      </c>
      <c r="E1041" s="8">
        <v>66300</v>
      </c>
      <c r="G1041" s="6">
        <f t="shared" si="22"/>
        <v>66300</v>
      </c>
    </row>
    <row r="1042" spans="1:8" hidden="1"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hidden="1" x14ac:dyDescent="0.25">
      <c r="A1047" s="17">
        <v>43155</v>
      </c>
      <c r="B1047" s="10" t="s">
        <v>2810</v>
      </c>
      <c r="C1047" s="11" t="s">
        <v>161</v>
      </c>
      <c r="E1047" s="8">
        <v>285024</v>
      </c>
      <c r="G1047" s="6">
        <f t="shared" si="22"/>
        <v>285024</v>
      </c>
    </row>
    <row r="1048" spans="1:8" hidden="1" x14ac:dyDescent="0.25">
      <c r="A1048" s="17">
        <v>43020</v>
      </c>
      <c r="B1048" s="10" t="s">
        <v>33</v>
      </c>
      <c r="C1048" s="11" t="s">
        <v>1816</v>
      </c>
      <c r="E1048" s="8">
        <v>3600</v>
      </c>
      <c r="G1048" s="6">
        <f t="shared" si="22"/>
        <v>3600</v>
      </c>
    </row>
    <row r="1049" spans="1:8" hidden="1" x14ac:dyDescent="0.25">
      <c r="A1049" s="17">
        <v>43020</v>
      </c>
      <c r="B1049" s="10" t="s">
        <v>2571</v>
      </c>
      <c r="C1049" s="11" t="s">
        <v>1816</v>
      </c>
      <c r="E1049" s="8">
        <v>25322</v>
      </c>
      <c r="G1049" s="6">
        <f t="shared" si="22"/>
        <v>25322</v>
      </c>
    </row>
    <row r="1050" spans="1:8" hidden="1" x14ac:dyDescent="0.25">
      <c r="A1050" s="17">
        <v>43022</v>
      </c>
      <c r="B1050" s="10" t="s">
        <v>171</v>
      </c>
      <c r="C1050" s="11" t="s">
        <v>1816</v>
      </c>
      <c r="E1050" s="8">
        <v>6600</v>
      </c>
      <c r="G1050" s="6">
        <f t="shared" si="22"/>
        <v>6600</v>
      </c>
    </row>
    <row r="1051" spans="1:8" hidden="1" x14ac:dyDescent="0.25">
      <c r="A1051" s="17">
        <v>43022</v>
      </c>
      <c r="B1051" s="10" t="s">
        <v>33</v>
      </c>
      <c r="C1051" s="11" t="s">
        <v>1816</v>
      </c>
      <c r="E1051" s="8">
        <v>1726</v>
      </c>
      <c r="G1051" s="6">
        <f t="shared" si="22"/>
        <v>1726</v>
      </c>
    </row>
    <row r="1052" spans="1:8" hidden="1" x14ac:dyDescent="0.25">
      <c r="A1052" s="17">
        <v>43025</v>
      </c>
      <c r="B1052" s="10" t="s">
        <v>1407</v>
      </c>
      <c r="C1052" s="11" t="s">
        <v>1816</v>
      </c>
      <c r="E1052" s="8">
        <v>4800</v>
      </c>
      <c r="G1052" s="6">
        <f t="shared" si="22"/>
        <v>4800</v>
      </c>
    </row>
    <row r="1053" spans="1:8" hidden="1" x14ac:dyDescent="0.25">
      <c r="A1053" s="17">
        <v>43138</v>
      </c>
      <c r="B1053" s="10" t="s">
        <v>33</v>
      </c>
      <c r="C1053" s="11" t="s">
        <v>1816</v>
      </c>
      <c r="E1053" s="8">
        <v>2070</v>
      </c>
      <c r="G1053" s="6">
        <f t="shared" si="22"/>
        <v>2070</v>
      </c>
    </row>
    <row r="1054" spans="1:8" hidden="1" x14ac:dyDescent="0.25">
      <c r="A1054" s="17">
        <v>43138</v>
      </c>
      <c r="B1054" s="10" t="s">
        <v>33</v>
      </c>
      <c r="C1054" s="11" t="s">
        <v>1816</v>
      </c>
      <c r="E1054" s="8">
        <v>4387</v>
      </c>
      <c r="G1054" s="6">
        <f t="shared" si="22"/>
        <v>4387</v>
      </c>
    </row>
    <row r="1055" spans="1:8" hidden="1" x14ac:dyDescent="0.25">
      <c r="A1055" s="17">
        <v>43141</v>
      </c>
      <c r="B1055" s="10" t="s">
        <v>33</v>
      </c>
      <c r="C1055" s="11" t="s">
        <v>1816</v>
      </c>
      <c r="E1055" s="8">
        <v>365</v>
      </c>
      <c r="G1055" s="6">
        <f t="shared" si="22"/>
        <v>365</v>
      </c>
    </row>
    <row r="1056" spans="1:8" hidden="1" x14ac:dyDescent="0.25">
      <c r="A1056" s="17">
        <v>43144</v>
      </c>
      <c r="B1056" s="10" t="s">
        <v>2672</v>
      </c>
      <c r="C1056" s="11" t="s">
        <v>1816</v>
      </c>
      <c r="E1056" s="8">
        <v>1538</v>
      </c>
      <c r="G1056" s="6">
        <f t="shared" si="22"/>
        <v>1538</v>
      </c>
    </row>
    <row r="1057" spans="1:7" hidden="1" x14ac:dyDescent="0.25">
      <c r="A1057" s="17">
        <v>43150</v>
      </c>
      <c r="B1057" s="10" t="s">
        <v>1407</v>
      </c>
      <c r="C1057" s="11" t="s">
        <v>1816</v>
      </c>
      <c r="E1057" s="8">
        <v>27507</v>
      </c>
      <c r="G1057" s="6">
        <f t="shared" si="22"/>
        <v>27507</v>
      </c>
    </row>
    <row r="1058" spans="1:7" hidden="1" x14ac:dyDescent="0.25">
      <c r="A1058" s="17">
        <v>43154</v>
      </c>
      <c r="B1058" s="10" t="s">
        <v>33</v>
      </c>
      <c r="C1058" s="11" t="s">
        <v>1816</v>
      </c>
      <c r="E1058" s="8">
        <v>2196</v>
      </c>
      <c r="G1058" s="6">
        <f t="shared" si="22"/>
        <v>2196</v>
      </c>
    </row>
    <row r="1059" spans="1:7" hidden="1" x14ac:dyDescent="0.25">
      <c r="A1059" s="17">
        <v>43154</v>
      </c>
      <c r="B1059" s="10" t="s">
        <v>1407</v>
      </c>
      <c r="C1059" s="11" t="s">
        <v>1816</v>
      </c>
      <c r="E1059" s="8">
        <v>64290</v>
      </c>
      <c r="G1059" s="6">
        <f t="shared" si="22"/>
        <v>64290</v>
      </c>
    </row>
    <row r="1060" spans="1:7" hidden="1" x14ac:dyDescent="0.25">
      <c r="B1060" s="10" t="s">
        <v>2810</v>
      </c>
      <c r="C1060" s="11" t="s">
        <v>166</v>
      </c>
      <c r="E1060" s="8">
        <v>61200</v>
      </c>
      <c r="G1060" s="6">
        <f t="shared" si="22"/>
        <v>61200</v>
      </c>
    </row>
    <row r="1061" spans="1:7" hidden="1" x14ac:dyDescent="0.25">
      <c r="B1061" s="10" t="s">
        <v>2810</v>
      </c>
      <c r="C1061" s="11" t="s">
        <v>166</v>
      </c>
      <c r="E1061" s="8">
        <v>66800</v>
      </c>
      <c r="G1061" s="6">
        <f t="shared" ref="G1061:G1134" si="23">E1061-F1061</f>
        <v>66800</v>
      </c>
    </row>
    <row r="1062" spans="1:7" hidden="1" x14ac:dyDescent="0.25">
      <c r="B1062" s="10" t="s">
        <v>2810</v>
      </c>
      <c r="C1062" s="11" t="s">
        <v>166</v>
      </c>
      <c r="E1062" s="8">
        <v>26000</v>
      </c>
      <c r="G1062" s="6">
        <f t="shared" si="23"/>
        <v>26000</v>
      </c>
    </row>
    <row r="1063" spans="1:7" hidden="1" x14ac:dyDescent="0.25">
      <c r="B1063" s="10" t="s">
        <v>2810</v>
      </c>
      <c r="C1063" s="11" t="s">
        <v>166</v>
      </c>
      <c r="E1063" s="8">
        <v>67700</v>
      </c>
      <c r="G1063" s="6">
        <f t="shared" si="23"/>
        <v>67700</v>
      </c>
    </row>
    <row r="1064" spans="1:7" hidden="1" x14ac:dyDescent="0.25">
      <c r="B1064" s="10" t="s">
        <v>2810</v>
      </c>
      <c r="C1064" s="11" t="s">
        <v>166</v>
      </c>
      <c r="E1064" s="8">
        <v>6500</v>
      </c>
      <c r="G1064" s="6">
        <f t="shared" si="23"/>
        <v>6500</v>
      </c>
    </row>
    <row r="1065" spans="1:7" hidden="1" x14ac:dyDescent="0.25">
      <c r="B1065" s="10" t="s">
        <v>2810</v>
      </c>
      <c r="C1065" s="11" t="s">
        <v>166</v>
      </c>
      <c r="E1065" s="8">
        <v>61200</v>
      </c>
      <c r="G1065" s="6">
        <f t="shared" si="23"/>
        <v>61200</v>
      </c>
    </row>
    <row r="1066" spans="1:7" hidden="1" x14ac:dyDescent="0.25">
      <c r="B1066" s="10" t="s">
        <v>1407</v>
      </c>
      <c r="C1066" s="11" t="s">
        <v>166</v>
      </c>
      <c r="E1066" s="8">
        <v>51000</v>
      </c>
      <c r="G1066" s="6">
        <f t="shared" si="23"/>
        <v>51000</v>
      </c>
    </row>
    <row r="1067" spans="1:7" hidden="1" x14ac:dyDescent="0.25">
      <c r="B1067" s="10" t="s">
        <v>1407</v>
      </c>
      <c r="C1067" s="11" t="s">
        <v>166</v>
      </c>
      <c r="E1067" s="231">
        <v>18000</v>
      </c>
      <c r="G1067" s="6">
        <f t="shared" si="23"/>
        <v>18000</v>
      </c>
    </row>
    <row r="1068" spans="1:7" hidden="1" x14ac:dyDescent="0.25">
      <c r="B1068" s="10" t="s">
        <v>2810</v>
      </c>
      <c r="C1068" s="11" t="s">
        <v>166</v>
      </c>
      <c r="E1068" s="8">
        <v>13000</v>
      </c>
      <c r="G1068" s="6">
        <f t="shared" si="23"/>
        <v>13000</v>
      </c>
    </row>
    <row r="1069" spans="1:7" hidden="1" x14ac:dyDescent="0.25">
      <c r="B1069" s="10" t="s">
        <v>2810</v>
      </c>
      <c r="C1069" s="11" t="s">
        <v>166</v>
      </c>
      <c r="E1069" s="8">
        <v>30400</v>
      </c>
      <c r="G1069" s="6">
        <f t="shared" si="23"/>
        <v>30400</v>
      </c>
    </row>
    <row r="1070" spans="1:7" hidden="1" x14ac:dyDescent="0.25">
      <c r="B1070" s="10" t="s">
        <v>2810</v>
      </c>
      <c r="C1070" s="11" t="s">
        <v>166</v>
      </c>
      <c r="E1070" s="8">
        <v>31400</v>
      </c>
      <c r="G1070" s="6">
        <f t="shared" si="23"/>
        <v>31400</v>
      </c>
    </row>
    <row r="1071" spans="1:7" hidden="1" x14ac:dyDescent="0.25">
      <c r="B1071" s="10" t="s">
        <v>2810</v>
      </c>
      <c r="C1071" s="11" t="s">
        <v>166</v>
      </c>
      <c r="E1071" s="8">
        <v>35800</v>
      </c>
      <c r="G1071" s="6">
        <f t="shared" si="23"/>
        <v>35800</v>
      </c>
    </row>
    <row r="1072" spans="1:7" hidden="1" x14ac:dyDescent="0.25">
      <c r="B1072" s="10" t="s">
        <v>2810</v>
      </c>
      <c r="C1072" s="11" t="s">
        <v>166</v>
      </c>
      <c r="E1072" s="8">
        <v>61200</v>
      </c>
      <c r="G1072" s="6">
        <f t="shared" si="23"/>
        <v>61200</v>
      </c>
    </row>
    <row r="1073" spans="1:8" hidden="1" x14ac:dyDescent="0.25">
      <c r="B1073" s="10" t="s">
        <v>1407</v>
      </c>
      <c r="C1073" s="11" t="s">
        <v>166</v>
      </c>
      <c r="E1073" s="8">
        <v>61200</v>
      </c>
      <c r="G1073" s="6">
        <f t="shared" si="23"/>
        <v>61200</v>
      </c>
    </row>
    <row r="1074" spans="1:8" hidden="1" x14ac:dyDescent="0.25">
      <c r="B1074" s="10" t="s">
        <v>2810</v>
      </c>
      <c r="C1074" s="11" t="s">
        <v>166</v>
      </c>
      <c r="E1074" s="8">
        <v>61200</v>
      </c>
      <c r="G1074" s="6">
        <f t="shared" si="23"/>
        <v>61200</v>
      </c>
    </row>
    <row r="1075" spans="1:8" hidden="1" x14ac:dyDescent="0.25">
      <c r="B1075" s="10" t="s">
        <v>2810</v>
      </c>
      <c r="C1075" s="11" t="s">
        <v>166</v>
      </c>
      <c r="E1075" s="8">
        <v>17690</v>
      </c>
      <c r="G1075" s="6">
        <f t="shared" si="23"/>
        <v>17690</v>
      </c>
    </row>
    <row r="1076" spans="1:8" hidden="1" x14ac:dyDescent="0.25">
      <c r="B1076" s="10" t="s">
        <v>2810</v>
      </c>
      <c r="C1076" s="11" t="s">
        <v>166</v>
      </c>
      <c r="F1076" s="9">
        <v>500000</v>
      </c>
      <c r="G1076" s="6">
        <f t="shared" si="23"/>
        <v>-500000</v>
      </c>
      <c r="H1076" s="141" t="s">
        <v>3329</v>
      </c>
    </row>
    <row r="1077" spans="1:8" hidden="1" x14ac:dyDescent="0.25">
      <c r="B1077" s="10" t="s">
        <v>2810</v>
      </c>
      <c r="C1077" s="11" t="s">
        <v>166</v>
      </c>
      <c r="F1077" s="9">
        <v>500000</v>
      </c>
      <c r="G1077" s="6">
        <f t="shared" si="23"/>
        <v>-500000</v>
      </c>
      <c r="H1077" s="141" t="s">
        <v>3330</v>
      </c>
    </row>
    <row r="1078" spans="1:8" hidden="1" x14ac:dyDescent="0.25">
      <c r="A1078" s="17">
        <v>43176</v>
      </c>
      <c r="B1078" s="10" t="s">
        <v>2810</v>
      </c>
      <c r="C1078" s="11" t="s">
        <v>161</v>
      </c>
      <c r="E1078" s="8">
        <v>79878</v>
      </c>
      <c r="G1078" s="6">
        <f t="shared" si="23"/>
        <v>79878</v>
      </c>
    </row>
    <row r="1079" spans="1:8" hidden="1"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hidden="1" x14ac:dyDescent="0.25">
      <c r="A1081" s="17">
        <v>43171</v>
      </c>
      <c r="B1081" s="10" t="s">
        <v>1407</v>
      </c>
      <c r="C1081" s="11" t="s">
        <v>164</v>
      </c>
      <c r="E1081" s="8">
        <v>8641</v>
      </c>
      <c r="G1081" s="6">
        <f t="shared" si="23"/>
        <v>8641</v>
      </c>
    </row>
    <row r="1082" spans="1:8" hidden="1" x14ac:dyDescent="0.25">
      <c r="A1082" s="17">
        <v>43190</v>
      </c>
      <c r="B1082" s="10" t="s">
        <v>2810</v>
      </c>
      <c r="C1082" s="11" t="s">
        <v>164</v>
      </c>
      <c r="E1082" s="8">
        <v>27172</v>
      </c>
      <c r="G1082" s="6">
        <f t="shared" si="23"/>
        <v>27172</v>
      </c>
    </row>
    <row r="1083" spans="1:8" hidden="1" x14ac:dyDescent="0.25">
      <c r="A1083" s="17">
        <v>43192</v>
      </c>
      <c r="B1083" s="10" t="s">
        <v>2672</v>
      </c>
      <c r="C1083" s="11" t="s">
        <v>164</v>
      </c>
      <c r="F1083" s="9">
        <v>173058</v>
      </c>
      <c r="G1083" s="6">
        <f t="shared" si="23"/>
        <v>-173058</v>
      </c>
      <c r="H1083" s="81"/>
    </row>
    <row r="1084" spans="1:8" hidden="1" x14ac:dyDescent="0.25">
      <c r="A1084" s="17">
        <v>43192</v>
      </c>
      <c r="B1084" s="10" t="s">
        <v>11</v>
      </c>
      <c r="C1084" s="11" t="s">
        <v>164</v>
      </c>
      <c r="F1084" s="9">
        <v>20900</v>
      </c>
      <c r="G1084" s="6">
        <f t="shared" si="23"/>
        <v>-20900</v>
      </c>
      <c r="H1084" s="82" t="s">
        <v>3339</v>
      </c>
    </row>
    <row r="1085" spans="1:8" hidden="1" x14ac:dyDescent="0.25">
      <c r="A1085" s="17">
        <v>43192</v>
      </c>
      <c r="B1085" s="10" t="s">
        <v>33</v>
      </c>
      <c r="C1085" s="11" t="s">
        <v>164</v>
      </c>
      <c r="F1085" s="9">
        <v>6042</v>
      </c>
      <c r="G1085" s="6">
        <f t="shared" si="23"/>
        <v>-6042</v>
      </c>
      <c r="H1085" s="83"/>
    </row>
    <row r="1086" spans="1:8" hidden="1"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hidden="1" x14ac:dyDescent="0.25">
      <c r="A1089" s="17">
        <v>43172</v>
      </c>
      <c r="B1089" s="10" t="s">
        <v>33</v>
      </c>
      <c r="C1089" s="11" t="s">
        <v>1816</v>
      </c>
      <c r="E1089" s="8">
        <v>193</v>
      </c>
      <c r="G1089" s="6">
        <f t="shared" si="23"/>
        <v>193</v>
      </c>
    </row>
    <row r="1090" spans="1:8" hidden="1" x14ac:dyDescent="0.25">
      <c r="A1090" s="17">
        <v>43174</v>
      </c>
      <c r="B1090" s="10" t="s">
        <v>33</v>
      </c>
      <c r="C1090" s="11" t="s">
        <v>1816</v>
      </c>
      <c r="E1090" s="8">
        <v>11425</v>
      </c>
      <c r="G1090" s="6">
        <f t="shared" si="23"/>
        <v>11425</v>
      </c>
    </row>
    <row r="1091" spans="1:8" hidden="1" x14ac:dyDescent="0.25">
      <c r="A1091" s="17">
        <v>43175</v>
      </c>
      <c r="B1091" s="10" t="s">
        <v>33</v>
      </c>
      <c r="C1091" s="11" t="s">
        <v>1816</v>
      </c>
      <c r="E1091" s="8">
        <v>2880</v>
      </c>
      <c r="G1091" s="6">
        <f t="shared" si="23"/>
        <v>2880</v>
      </c>
    </row>
    <row r="1092" spans="1:8" hidden="1" x14ac:dyDescent="0.25">
      <c r="A1092" s="17">
        <v>43176</v>
      </c>
      <c r="B1092" s="10" t="s">
        <v>33</v>
      </c>
      <c r="C1092" s="11" t="s">
        <v>1816</v>
      </c>
      <c r="E1092" s="8">
        <v>2221</v>
      </c>
      <c r="G1092" s="6">
        <f t="shared" si="23"/>
        <v>2221</v>
      </c>
    </row>
    <row r="1093" spans="1:8" hidden="1" x14ac:dyDescent="0.25">
      <c r="A1093" s="17">
        <v>43181</v>
      </c>
      <c r="B1093" s="10" t="s">
        <v>1688</v>
      </c>
      <c r="C1093" s="11" t="s">
        <v>1816</v>
      </c>
      <c r="E1093" s="8">
        <v>24159</v>
      </c>
      <c r="G1093" s="6">
        <f t="shared" si="23"/>
        <v>24159</v>
      </c>
    </row>
    <row r="1094" spans="1:8" hidden="1" x14ac:dyDescent="0.25">
      <c r="A1094" s="17">
        <v>43181</v>
      </c>
      <c r="B1094" s="10" t="s">
        <v>1407</v>
      </c>
      <c r="C1094" s="11" t="s">
        <v>1816</v>
      </c>
      <c r="E1094" s="8">
        <v>4800</v>
      </c>
      <c r="G1094" s="6">
        <f t="shared" si="23"/>
        <v>4800</v>
      </c>
    </row>
    <row r="1095" spans="1:8" hidden="1" x14ac:dyDescent="0.25">
      <c r="A1095" s="17">
        <v>43187</v>
      </c>
      <c r="B1095" s="10" t="s">
        <v>1407</v>
      </c>
      <c r="C1095" s="11" t="s">
        <v>1816</v>
      </c>
      <c r="E1095" s="8">
        <v>26730</v>
      </c>
      <c r="G1095" s="6">
        <f t="shared" si="23"/>
        <v>26730</v>
      </c>
    </row>
    <row r="1096" spans="1:8" hidden="1" x14ac:dyDescent="0.25">
      <c r="A1096" s="17">
        <v>43187</v>
      </c>
      <c r="B1096" s="10" t="s">
        <v>1407</v>
      </c>
      <c r="C1096" s="11" t="s">
        <v>1816</v>
      </c>
      <c r="E1096" s="8">
        <v>56820</v>
      </c>
      <c r="G1096" s="6">
        <f t="shared" si="23"/>
        <v>56820</v>
      </c>
    </row>
    <row r="1097" spans="1:8" hidden="1" x14ac:dyDescent="0.25">
      <c r="A1097" s="17">
        <v>43190</v>
      </c>
      <c r="B1097" s="10" t="s">
        <v>2810</v>
      </c>
      <c r="C1097" s="11" t="s">
        <v>166</v>
      </c>
      <c r="E1097" s="8">
        <v>61200</v>
      </c>
      <c r="G1097" s="6">
        <f t="shared" si="23"/>
        <v>61200</v>
      </c>
    </row>
    <row r="1098" spans="1:8" hidden="1" x14ac:dyDescent="0.25">
      <c r="A1098" s="17">
        <v>43176</v>
      </c>
      <c r="B1098" s="10" t="s">
        <v>1407</v>
      </c>
      <c r="C1098" s="11" t="s">
        <v>1828</v>
      </c>
      <c r="E1098" s="8">
        <v>118995</v>
      </c>
      <c r="G1098" s="6">
        <f t="shared" si="23"/>
        <v>118995</v>
      </c>
    </row>
    <row r="1099" spans="1:8" hidden="1" x14ac:dyDescent="0.25">
      <c r="A1099" s="17">
        <v>43190</v>
      </c>
      <c r="B1099" s="10" t="s">
        <v>2810</v>
      </c>
      <c r="C1099" s="11" t="s">
        <v>169</v>
      </c>
      <c r="E1099" s="8">
        <v>9950</v>
      </c>
      <c r="G1099" s="6">
        <f t="shared" si="23"/>
        <v>9950</v>
      </c>
    </row>
    <row r="1100" spans="1:8" hidden="1" x14ac:dyDescent="0.25">
      <c r="A1100" s="17">
        <v>43197</v>
      </c>
      <c r="B1100" s="10" t="s">
        <v>1407</v>
      </c>
      <c r="C1100" s="11" t="s">
        <v>169</v>
      </c>
      <c r="E1100" s="8">
        <v>2630</v>
      </c>
      <c r="G1100" s="6">
        <f t="shared" si="23"/>
        <v>2630</v>
      </c>
    </row>
    <row r="1101" spans="1:8" hidden="1" x14ac:dyDescent="0.25">
      <c r="A1101" s="17">
        <v>43199</v>
      </c>
      <c r="B1101" s="10" t="s">
        <v>1407</v>
      </c>
      <c r="C1101" s="11" t="s">
        <v>1828</v>
      </c>
      <c r="F1101" s="9">
        <v>949145</v>
      </c>
      <c r="G1101" s="6">
        <f t="shared" si="23"/>
        <v>-949145</v>
      </c>
      <c r="H1101" s="32" t="s">
        <v>3361</v>
      </c>
    </row>
    <row r="1102" spans="1:8" hidden="1" x14ac:dyDescent="0.25">
      <c r="A1102" s="17">
        <v>43201</v>
      </c>
      <c r="B1102" s="10" t="s">
        <v>1407</v>
      </c>
      <c r="C1102" s="11" t="s">
        <v>169</v>
      </c>
      <c r="E1102" s="8">
        <v>4595</v>
      </c>
      <c r="G1102" s="6">
        <f t="shared" si="23"/>
        <v>4595</v>
      </c>
    </row>
    <row r="1103" spans="1:8" hidden="1" x14ac:dyDescent="0.25">
      <c r="A1103" s="17">
        <v>43195</v>
      </c>
      <c r="B1103" s="10" t="s">
        <v>2810</v>
      </c>
      <c r="C1103" s="11" t="s">
        <v>166</v>
      </c>
      <c r="E1103" s="8">
        <v>18720</v>
      </c>
      <c r="G1103" s="6">
        <f t="shared" si="23"/>
        <v>18720</v>
      </c>
    </row>
    <row r="1104" spans="1:8" hidden="1" x14ac:dyDescent="0.25">
      <c r="A1104" s="17">
        <v>43197</v>
      </c>
      <c r="B1104" s="10" t="s">
        <v>2810</v>
      </c>
      <c r="C1104" s="11" t="s">
        <v>166</v>
      </c>
      <c r="E1104" s="8">
        <v>51000</v>
      </c>
      <c r="G1104" s="6">
        <f t="shared" si="23"/>
        <v>51000</v>
      </c>
    </row>
    <row r="1105" spans="1:8" hidden="1"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hidden="1"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hidden="1" x14ac:dyDescent="0.25">
      <c r="A1110" s="17">
        <v>43197</v>
      </c>
      <c r="B1110" s="10" t="s">
        <v>2810</v>
      </c>
      <c r="C1110" s="11" t="s">
        <v>161</v>
      </c>
      <c r="E1110" s="8">
        <v>25575</v>
      </c>
      <c r="G1110" s="6">
        <f t="shared" si="23"/>
        <v>25575</v>
      </c>
    </row>
    <row r="1111" spans="1:8" hidden="1" x14ac:dyDescent="0.25">
      <c r="A1111" s="17">
        <v>43202</v>
      </c>
      <c r="B1111" s="10" t="s">
        <v>2810</v>
      </c>
      <c r="C1111" s="11" t="s">
        <v>166</v>
      </c>
      <c r="E1111" s="8">
        <v>13630</v>
      </c>
      <c r="G1111" s="6">
        <f t="shared" si="23"/>
        <v>13630</v>
      </c>
    </row>
    <row r="1112" spans="1:8" hidden="1"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hidden="1" x14ac:dyDescent="0.25">
      <c r="A1116" s="17">
        <v>43215</v>
      </c>
      <c r="B1116" s="10" t="s">
        <v>2810</v>
      </c>
      <c r="C1116" s="11" t="s">
        <v>166</v>
      </c>
      <c r="E1116" s="8">
        <v>54700</v>
      </c>
      <c r="G1116" s="6">
        <f t="shared" si="23"/>
        <v>54700</v>
      </c>
    </row>
    <row r="1117" spans="1:8" hidden="1" x14ac:dyDescent="0.25">
      <c r="A1117" s="17">
        <v>43215</v>
      </c>
      <c r="B1117" s="10" t="s">
        <v>1407</v>
      </c>
      <c r="C1117" s="11" t="s">
        <v>166</v>
      </c>
      <c r="E1117" s="8">
        <v>61200</v>
      </c>
      <c r="G1117" s="6">
        <f t="shared" si="23"/>
        <v>61200</v>
      </c>
    </row>
    <row r="1118" spans="1:8" hidden="1" x14ac:dyDescent="0.25">
      <c r="A1118" s="17">
        <v>43215</v>
      </c>
      <c r="B1118" s="10" t="s">
        <v>1407</v>
      </c>
      <c r="C1118" s="11" t="s">
        <v>166</v>
      </c>
      <c r="E1118" s="8">
        <v>89682</v>
      </c>
      <c r="G1118" s="6">
        <f t="shared" si="23"/>
        <v>89682</v>
      </c>
    </row>
    <row r="1119" spans="1:8" hidden="1" x14ac:dyDescent="0.25">
      <c r="A1119" s="17">
        <v>43211</v>
      </c>
      <c r="B1119" s="10" t="s">
        <v>1407</v>
      </c>
      <c r="C1119" s="11" t="s">
        <v>164</v>
      </c>
      <c r="E1119" s="8">
        <v>5107</v>
      </c>
      <c r="G1119" s="6">
        <f t="shared" si="23"/>
        <v>5107</v>
      </c>
    </row>
    <row r="1120" spans="1:8" hidden="1" x14ac:dyDescent="0.25">
      <c r="A1120" s="17">
        <v>43222</v>
      </c>
      <c r="B1120" s="10" t="s">
        <v>1407</v>
      </c>
      <c r="C1120" s="11" t="s">
        <v>169</v>
      </c>
      <c r="E1120" s="8">
        <v>92266</v>
      </c>
      <c r="G1120" s="6">
        <f t="shared" si="23"/>
        <v>92266</v>
      </c>
    </row>
    <row r="1121" spans="1:8" hidden="1" x14ac:dyDescent="0.25">
      <c r="A1121" s="17">
        <v>43223</v>
      </c>
      <c r="B1121" s="10" t="s">
        <v>2810</v>
      </c>
      <c r="C1121" s="11" t="s">
        <v>169</v>
      </c>
      <c r="E1121" s="8">
        <v>9100</v>
      </c>
      <c r="G1121" s="6">
        <f t="shared" si="23"/>
        <v>9100</v>
      </c>
    </row>
    <row r="1122" spans="1:8" hidden="1" x14ac:dyDescent="0.25">
      <c r="A1122" s="17">
        <v>43218</v>
      </c>
      <c r="B1122" s="10" t="s">
        <v>1407</v>
      </c>
      <c r="C1122" s="11" t="s">
        <v>166</v>
      </c>
      <c r="E1122" s="8">
        <v>61200</v>
      </c>
      <c r="G1122" s="6">
        <f t="shared" si="23"/>
        <v>61200</v>
      </c>
    </row>
    <row r="1123" spans="1:8" hidden="1"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hidden="1" x14ac:dyDescent="0.25">
      <c r="A1125" s="17">
        <v>43224</v>
      </c>
      <c r="B1125" s="10" t="s">
        <v>1407</v>
      </c>
      <c r="C1125" s="11" t="s">
        <v>164</v>
      </c>
      <c r="E1125" s="8">
        <v>8995</v>
      </c>
      <c r="G1125" s="6">
        <f t="shared" si="23"/>
        <v>8995</v>
      </c>
    </row>
    <row r="1126" spans="1:8" hidden="1" x14ac:dyDescent="0.25">
      <c r="A1126" s="17">
        <v>43224</v>
      </c>
      <c r="B1126" s="10" t="s">
        <v>1688</v>
      </c>
      <c r="C1126" s="11" t="s">
        <v>1816</v>
      </c>
      <c r="E1126" s="8">
        <v>7950</v>
      </c>
      <c r="G1126" s="6">
        <f t="shared" si="23"/>
        <v>7950</v>
      </c>
    </row>
    <row r="1127" spans="1:8" hidden="1" x14ac:dyDescent="0.25">
      <c r="A1127" s="17">
        <v>43224</v>
      </c>
      <c r="B1127" s="10" t="s">
        <v>1407</v>
      </c>
      <c r="C1127" s="11" t="s">
        <v>1816</v>
      </c>
      <c r="E1127" s="8">
        <v>3575</v>
      </c>
      <c r="G1127" s="6">
        <f t="shared" si="23"/>
        <v>3575</v>
      </c>
    </row>
    <row r="1128" spans="1:8" hidden="1" x14ac:dyDescent="0.25">
      <c r="A1128" s="17">
        <v>43224</v>
      </c>
      <c r="B1128" s="10" t="s">
        <v>1407</v>
      </c>
      <c r="C1128" s="11" t="s">
        <v>1816</v>
      </c>
      <c r="E1128" s="8">
        <v>2464</v>
      </c>
      <c r="G1128" s="6">
        <f t="shared" si="23"/>
        <v>2464</v>
      </c>
    </row>
    <row r="1129" spans="1:8" hidden="1" x14ac:dyDescent="0.25">
      <c r="A1129" s="17">
        <v>43224</v>
      </c>
      <c r="B1129" s="10" t="s">
        <v>1407</v>
      </c>
      <c r="C1129" s="11" t="s">
        <v>1816</v>
      </c>
      <c r="E1129" s="8">
        <v>1800</v>
      </c>
      <c r="G1129" s="6">
        <f t="shared" si="23"/>
        <v>1800</v>
      </c>
    </row>
    <row r="1130" spans="1:8" hidden="1" x14ac:dyDescent="0.25">
      <c r="A1130" s="17">
        <v>43224</v>
      </c>
      <c r="B1130" s="10" t="s">
        <v>1407</v>
      </c>
      <c r="C1130" s="11" t="s">
        <v>1816</v>
      </c>
      <c r="E1130" s="8">
        <v>2156</v>
      </c>
      <c r="G1130" s="6">
        <f t="shared" si="23"/>
        <v>2156</v>
      </c>
    </row>
    <row r="1131" spans="1:8" hidden="1" x14ac:dyDescent="0.25">
      <c r="A1131" s="17">
        <v>43225</v>
      </c>
      <c r="B1131" s="10" t="s">
        <v>2672</v>
      </c>
      <c r="C1131" s="11" t="s">
        <v>1816</v>
      </c>
      <c r="F1131" s="9">
        <v>1538</v>
      </c>
      <c r="G1131" s="6">
        <f t="shared" si="23"/>
        <v>-1538</v>
      </c>
      <c r="H1131" s="81"/>
    </row>
    <row r="1132" spans="1:8" hidden="1" x14ac:dyDescent="0.25">
      <c r="A1132" s="17">
        <v>43225</v>
      </c>
      <c r="B1132" s="10" t="s">
        <v>1688</v>
      </c>
      <c r="C1132" s="11" t="s">
        <v>1816</v>
      </c>
      <c r="F1132" s="9">
        <v>32109</v>
      </c>
      <c r="G1132" s="6">
        <f t="shared" si="23"/>
        <v>-32109</v>
      </c>
      <c r="H1132" s="82"/>
    </row>
    <row r="1133" spans="1:8" hidden="1" x14ac:dyDescent="0.25">
      <c r="A1133" s="17">
        <v>43225</v>
      </c>
      <c r="B1133" s="10" t="s">
        <v>171</v>
      </c>
      <c r="C1133" s="11" t="s">
        <v>1816</v>
      </c>
      <c r="F1133" s="9">
        <v>6600</v>
      </c>
      <c r="G1133" s="6">
        <f t="shared" si="23"/>
        <v>-6600</v>
      </c>
      <c r="H1133" s="82" t="s">
        <v>3433</v>
      </c>
    </row>
    <row r="1134" spans="1:8" hidden="1" x14ac:dyDescent="0.25">
      <c r="A1134" s="17">
        <v>43225</v>
      </c>
      <c r="B1134" s="10" t="s">
        <v>33</v>
      </c>
      <c r="C1134" s="11" t="s">
        <v>1816</v>
      </c>
      <c r="F1134" s="9">
        <v>44926</v>
      </c>
      <c r="G1134" s="6">
        <f t="shared" si="23"/>
        <v>-44926</v>
      </c>
      <c r="H1134" s="82"/>
    </row>
    <row r="1135" spans="1:8" hidden="1" x14ac:dyDescent="0.25">
      <c r="A1135" s="17">
        <v>43225</v>
      </c>
      <c r="B1135" s="10" t="s">
        <v>2571</v>
      </c>
      <c r="C1135" s="11" t="s">
        <v>1816</v>
      </c>
      <c r="F1135" s="9">
        <v>25322</v>
      </c>
      <c r="G1135" s="6">
        <f t="shared" ref="G1135:G1217" si="24">E1135-F1135</f>
        <v>-25322</v>
      </c>
      <c r="H1135" s="82"/>
    </row>
    <row r="1136" spans="1:8" hidden="1" x14ac:dyDescent="0.25">
      <c r="A1136" s="17">
        <v>43225</v>
      </c>
      <c r="B1136" s="10" t="s">
        <v>1407</v>
      </c>
      <c r="C1136" s="11" t="s">
        <v>1816</v>
      </c>
      <c r="F1136" s="9">
        <f>150000-F1131-F1132-F1133-F1134-F1135</f>
        <v>39505</v>
      </c>
      <c r="G1136" s="6">
        <f t="shared" si="24"/>
        <v>-39505</v>
      </c>
      <c r="H1136" s="83"/>
    </row>
    <row r="1137" spans="1:8" hidden="1" x14ac:dyDescent="0.25">
      <c r="A1137" s="17">
        <v>43225</v>
      </c>
      <c r="B1137" s="10" t="s">
        <v>2288</v>
      </c>
      <c r="C1137" s="11" t="s">
        <v>169</v>
      </c>
      <c r="F1137" s="9">
        <v>5740</v>
      </c>
      <c r="G1137" s="6">
        <f t="shared" si="24"/>
        <v>-5740</v>
      </c>
      <c r="H1137" s="81"/>
    </row>
    <row r="1138" spans="1:8" hidden="1" x14ac:dyDescent="0.25">
      <c r="A1138" s="17">
        <v>43225</v>
      </c>
      <c r="B1138" s="10" t="s">
        <v>2810</v>
      </c>
      <c r="C1138" s="11" t="s">
        <v>169</v>
      </c>
      <c r="F1138" s="9">
        <v>19050</v>
      </c>
      <c r="G1138" s="6">
        <f t="shared" si="24"/>
        <v>-19050</v>
      </c>
      <c r="H1138" s="82"/>
    </row>
    <row r="1139" spans="1:8" hidden="1" x14ac:dyDescent="0.25">
      <c r="A1139" s="17">
        <v>43225</v>
      </c>
      <c r="B1139" s="10" t="s">
        <v>40</v>
      </c>
      <c r="C1139" s="11" t="s">
        <v>169</v>
      </c>
      <c r="F1139" s="9">
        <v>13321</v>
      </c>
      <c r="G1139" s="6">
        <f t="shared" si="24"/>
        <v>-13321</v>
      </c>
      <c r="H1139" s="82" t="s">
        <v>3434</v>
      </c>
    </row>
    <row r="1140" spans="1:8" hidden="1" x14ac:dyDescent="0.25">
      <c r="A1140" s="17">
        <v>43225</v>
      </c>
      <c r="B1140" s="10" t="s">
        <v>14</v>
      </c>
      <c r="C1140" s="11" t="s">
        <v>169</v>
      </c>
      <c r="F1140" s="9">
        <v>5408</v>
      </c>
      <c r="G1140" s="6">
        <f t="shared" si="24"/>
        <v>-5408</v>
      </c>
      <c r="H1140" s="82"/>
    </row>
    <row r="1141" spans="1:8" hidden="1" x14ac:dyDescent="0.25">
      <c r="A1141" s="17">
        <v>43225</v>
      </c>
      <c r="B1141" s="10" t="s">
        <v>2058</v>
      </c>
      <c r="C1141" s="11" t="s">
        <v>169</v>
      </c>
      <c r="F1141" s="9">
        <v>1155</v>
      </c>
      <c r="G1141" s="6">
        <f t="shared" si="24"/>
        <v>-1155</v>
      </c>
      <c r="H1141" s="82"/>
    </row>
    <row r="1142" spans="1:8" hidden="1" x14ac:dyDescent="0.25">
      <c r="A1142" s="17">
        <v>43225</v>
      </c>
      <c r="B1142" s="10" t="s">
        <v>1407</v>
      </c>
      <c r="C1142" s="11" t="s">
        <v>169</v>
      </c>
      <c r="F1142" s="9">
        <f>150000-F1137-F1138-F1139-F1140-F1141</f>
        <v>105326</v>
      </c>
      <c r="G1142" s="6">
        <f t="shared" si="24"/>
        <v>-105326</v>
      </c>
      <c r="H1142" s="83"/>
    </row>
    <row r="1143" spans="1:8" hidden="1" x14ac:dyDescent="0.25">
      <c r="A1143" s="17">
        <v>43225</v>
      </c>
      <c r="B1143" s="10" t="s">
        <v>33</v>
      </c>
      <c r="C1143" s="11" t="s">
        <v>164</v>
      </c>
      <c r="F1143" s="9">
        <v>12501</v>
      </c>
      <c r="G1143" s="6">
        <f t="shared" si="24"/>
        <v>-12501</v>
      </c>
      <c r="H1143" s="81"/>
    </row>
    <row r="1144" spans="1:8" hidden="1" x14ac:dyDescent="0.25">
      <c r="A1144" s="17">
        <v>43225</v>
      </c>
      <c r="B1144" s="10" t="s">
        <v>3413</v>
      </c>
      <c r="C1144" s="11" t="s">
        <v>164</v>
      </c>
      <c r="F1144" s="9">
        <v>3245</v>
      </c>
      <c r="G1144" s="6">
        <f t="shared" si="24"/>
        <v>-3245</v>
      </c>
      <c r="H1144" s="82" t="s">
        <v>3435</v>
      </c>
    </row>
    <row r="1145" spans="1:8" hidden="1" x14ac:dyDescent="0.25">
      <c r="A1145" s="17">
        <v>43225</v>
      </c>
      <c r="B1145" s="10" t="s">
        <v>2810</v>
      </c>
      <c r="C1145" s="11" t="s">
        <v>164</v>
      </c>
      <c r="F1145" s="9">
        <v>27172</v>
      </c>
      <c r="G1145" s="6">
        <f t="shared" si="24"/>
        <v>-27172</v>
      </c>
      <c r="H1145" s="82"/>
    </row>
    <row r="1146" spans="1:8" hidden="1" x14ac:dyDescent="0.25">
      <c r="A1146" s="17">
        <v>43225</v>
      </c>
      <c r="B1146" s="10" t="s">
        <v>1407</v>
      </c>
      <c r="C1146" s="11" t="s">
        <v>164</v>
      </c>
      <c r="F1146" s="9">
        <f>150000-F1143-F1144-F1145</f>
        <v>107082</v>
      </c>
      <c r="G1146" s="6">
        <f t="shared" si="24"/>
        <v>-107082</v>
      </c>
      <c r="H1146" s="83"/>
    </row>
    <row r="1147" spans="1:8" hidden="1" x14ac:dyDescent="0.25">
      <c r="A1147" s="17">
        <v>43225</v>
      </c>
      <c r="B1147" s="10" t="s">
        <v>1407</v>
      </c>
      <c r="C1147" s="11" t="s">
        <v>169</v>
      </c>
      <c r="E1147" s="8">
        <v>83384</v>
      </c>
      <c r="G1147" s="6">
        <f t="shared" si="24"/>
        <v>83384</v>
      </c>
    </row>
    <row r="1148" spans="1:8" hidden="1" x14ac:dyDescent="0.25">
      <c r="A1148" s="17">
        <v>43228</v>
      </c>
      <c r="B1148" s="10" t="s">
        <v>2810</v>
      </c>
      <c r="C1148" s="11" t="s">
        <v>169</v>
      </c>
      <c r="E1148" s="8">
        <v>51595</v>
      </c>
      <c r="G1148" s="6">
        <f t="shared" si="24"/>
        <v>51595</v>
      </c>
    </row>
    <row r="1149" spans="1:8" hidden="1" x14ac:dyDescent="0.25">
      <c r="A1149" s="17">
        <v>43228</v>
      </c>
      <c r="B1149" s="10" t="s">
        <v>3413</v>
      </c>
      <c r="C1149" s="11" t="s">
        <v>164</v>
      </c>
      <c r="E1149" s="8">
        <v>900</v>
      </c>
      <c r="G1149" s="6">
        <f t="shared" si="24"/>
        <v>900</v>
      </c>
    </row>
    <row r="1150" spans="1:8" hidden="1"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hidden="1" x14ac:dyDescent="0.25">
      <c r="A1152" s="17">
        <v>43241</v>
      </c>
      <c r="B1152" s="10" t="s">
        <v>2810</v>
      </c>
      <c r="C1152" s="11" t="s">
        <v>166</v>
      </c>
      <c r="E1152" s="8">
        <v>8900</v>
      </c>
      <c r="G1152" s="6">
        <f t="shared" si="24"/>
        <v>8900</v>
      </c>
    </row>
    <row r="1153" spans="1:8" hidden="1"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hidden="1" x14ac:dyDescent="0.25">
      <c r="A1155" s="17">
        <v>43237</v>
      </c>
      <c r="B1155" s="10" t="s">
        <v>2810</v>
      </c>
      <c r="C1155" s="11" t="s">
        <v>166</v>
      </c>
      <c r="E1155" s="8">
        <v>16200</v>
      </c>
      <c r="G1155" s="6">
        <f t="shared" si="24"/>
        <v>16200</v>
      </c>
    </row>
    <row r="1156" spans="1:8" hidden="1" x14ac:dyDescent="0.25">
      <c r="A1156" s="17">
        <v>43237</v>
      </c>
      <c r="B1156" s="10" t="s">
        <v>2810</v>
      </c>
      <c r="C1156" s="11" t="s">
        <v>166</v>
      </c>
      <c r="E1156" s="8">
        <v>43110</v>
      </c>
      <c r="G1156" s="6">
        <f t="shared" si="24"/>
        <v>43110</v>
      </c>
    </row>
    <row r="1157" spans="1:8" hidden="1" x14ac:dyDescent="0.25">
      <c r="A1157" s="17">
        <v>43237</v>
      </c>
      <c r="B1157" s="10" t="s">
        <v>2810</v>
      </c>
      <c r="C1157" s="11" t="s">
        <v>166</v>
      </c>
      <c r="E1157" s="8">
        <v>16146</v>
      </c>
      <c r="G1157" s="6">
        <f t="shared" si="24"/>
        <v>16146</v>
      </c>
    </row>
    <row r="1158" spans="1:8" hidden="1" x14ac:dyDescent="0.25">
      <c r="A1158" s="17">
        <v>43237</v>
      </c>
      <c r="B1158" s="10" t="s">
        <v>2810</v>
      </c>
      <c r="C1158" s="11" t="s">
        <v>166</v>
      </c>
      <c r="E1158" s="8">
        <v>107658</v>
      </c>
      <c r="G1158" s="6">
        <f t="shared" si="24"/>
        <v>107658</v>
      </c>
    </row>
    <row r="1159" spans="1:8" hidden="1" x14ac:dyDescent="0.25">
      <c r="A1159" s="17">
        <v>43248</v>
      </c>
      <c r="B1159" s="10" t="s">
        <v>2810</v>
      </c>
      <c r="C1159" s="11" t="s">
        <v>166</v>
      </c>
      <c r="F1159" s="9">
        <v>500000</v>
      </c>
      <c r="G1159" s="6">
        <f t="shared" si="24"/>
        <v>-500000</v>
      </c>
      <c r="H1159" s="32" t="s">
        <v>3537</v>
      </c>
    </row>
    <row r="1160" spans="1:8" hidden="1" x14ac:dyDescent="0.25">
      <c r="A1160" s="17">
        <v>43248</v>
      </c>
      <c r="B1160" s="10" t="s">
        <v>1407</v>
      </c>
      <c r="C1160" s="11" t="s">
        <v>1828</v>
      </c>
      <c r="F1160" s="9">
        <v>500000</v>
      </c>
      <c r="G1160" s="6">
        <f t="shared" si="24"/>
        <v>-500000</v>
      </c>
      <c r="H1160" s="32" t="s">
        <v>3538</v>
      </c>
    </row>
    <row r="1161" spans="1:8" hidden="1" x14ac:dyDescent="0.25">
      <c r="A1161" s="17">
        <v>43236</v>
      </c>
      <c r="B1161" s="10" t="s">
        <v>2810</v>
      </c>
      <c r="C1161" s="11" t="s">
        <v>161</v>
      </c>
      <c r="E1161" s="8">
        <v>48233</v>
      </c>
      <c r="G1161" s="6">
        <f t="shared" si="24"/>
        <v>48233</v>
      </c>
    </row>
    <row r="1162" spans="1:8" hidden="1" x14ac:dyDescent="0.25">
      <c r="A1162" s="17">
        <v>43242</v>
      </c>
      <c r="B1162" s="10" t="s">
        <v>2810</v>
      </c>
      <c r="C1162" s="11" t="s">
        <v>161</v>
      </c>
      <c r="E1162" s="8">
        <v>491814</v>
      </c>
      <c r="G1162" s="6">
        <f t="shared" si="24"/>
        <v>491814</v>
      </c>
    </row>
    <row r="1163" spans="1:8" hidden="1" x14ac:dyDescent="0.25">
      <c r="A1163" s="17">
        <v>43249</v>
      </c>
      <c r="B1163" s="10" t="s">
        <v>2810</v>
      </c>
      <c r="C1163" s="11" t="s">
        <v>166</v>
      </c>
      <c r="E1163" s="8">
        <v>69780</v>
      </c>
      <c r="G1163" s="6">
        <f t="shared" si="24"/>
        <v>69780</v>
      </c>
    </row>
    <row r="1164" spans="1:8" hidden="1" x14ac:dyDescent="0.25">
      <c r="A1164" s="17">
        <v>43244</v>
      </c>
      <c r="B1164" s="10" t="s">
        <v>2675</v>
      </c>
      <c r="C1164" s="11" t="s">
        <v>1816</v>
      </c>
      <c r="E1164" s="8">
        <v>4157</v>
      </c>
      <c r="G1164" s="6">
        <f t="shared" si="24"/>
        <v>4157</v>
      </c>
    </row>
    <row r="1165" spans="1:8" hidden="1" x14ac:dyDescent="0.25">
      <c r="A1165" s="17">
        <v>43244</v>
      </c>
      <c r="B1165" s="10" t="s">
        <v>2675</v>
      </c>
      <c r="C1165" s="11" t="s">
        <v>1816</v>
      </c>
      <c r="E1165" s="8">
        <v>121725</v>
      </c>
      <c r="G1165" s="6">
        <f t="shared" si="24"/>
        <v>121725</v>
      </c>
    </row>
    <row r="1166" spans="1:8" hidden="1" x14ac:dyDescent="0.25">
      <c r="A1166" s="17">
        <v>43244</v>
      </c>
      <c r="B1166" s="10" t="s">
        <v>1407</v>
      </c>
      <c r="C1166" s="11" t="s">
        <v>1816</v>
      </c>
      <c r="E1166" s="8">
        <v>2400</v>
      </c>
      <c r="G1166" s="6">
        <f t="shared" si="24"/>
        <v>2400</v>
      </c>
    </row>
    <row r="1167" spans="1:8" hidden="1" x14ac:dyDescent="0.25">
      <c r="A1167" s="17">
        <v>43244</v>
      </c>
      <c r="B1167" s="10" t="s">
        <v>1407</v>
      </c>
      <c r="C1167" s="11" t="s">
        <v>1816</v>
      </c>
      <c r="E1167" s="8">
        <v>604</v>
      </c>
      <c r="G1167" s="6">
        <f t="shared" si="24"/>
        <v>604</v>
      </c>
    </row>
    <row r="1168" spans="1:8" hidden="1" x14ac:dyDescent="0.25">
      <c r="A1168" s="17">
        <v>43244</v>
      </c>
      <c r="B1168" s="10" t="s">
        <v>2810</v>
      </c>
      <c r="C1168" s="11" t="s">
        <v>180</v>
      </c>
      <c r="E1168" s="8">
        <v>53120</v>
      </c>
      <c r="G1168" s="6">
        <f t="shared" si="24"/>
        <v>53120</v>
      </c>
    </row>
    <row r="1169" spans="1:8" hidden="1" x14ac:dyDescent="0.25">
      <c r="A1169" s="17">
        <v>43244</v>
      </c>
      <c r="B1169" s="10" t="s">
        <v>2810</v>
      </c>
      <c r="C1169" s="11" t="s">
        <v>180</v>
      </c>
      <c r="E1169" s="8">
        <v>4800</v>
      </c>
      <c r="G1169" s="6">
        <f t="shared" si="24"/>
        <v>4800</v>
      </c>
    </row>
    <row r="1170" spans="1:8" hidden="1"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hidden="1" x14ac:dyDescent="0.25">
      <c r="A1172" s="17">
        <v>43258</v>
      </c>
      <c r="B1172" s="10" t="s">
        <v>1407</v>
      </c>
      <c r="C1172" s="11" t="s">
        <v>164</v>
      </c>
      <c r="F1172" s="9">
        <v>100000</v>
      </c>
      <c r="G1172" s="6">
        <f t="shared" si="24"/>
        <v>-100000</v>
      </c>
      <c r="H1172" s="32" t="s">
        <v>3561</v>
      </c>
    </row>
    <row r="1173" spans="1:8" hidden="1" x14ac:dyDescent="0.25"/>
    <row r="1174" spans="1:8" hidden="1" x14ac:dyDescent="0.25">
      <c r="A1174" s="17">
        <v>43258</v>
      </c>
      <c r="B1174" s="10" t="s">
        <v>1407</v>
      </c>
      <c r="C1174" s="11" t="s">
        <v>169</v>
      </c>
      <c r="F1174" s="9">
        <v>150000</v>
      </c>
      <c r="G1174" s="6">
        <f t="shared" si="24"/>
        <v>-150000</v>
      </c>
      <c r="H1174" s="32" t="s">
        <v>3562</v>
      </c>
    </row>
    <row r="1175" spans="1:8" hidden="1" x14ac:dyDescent="0.25">
      <c r="A1175" s="17">
        <v>43258</v>
      </c>
      <c r="B1175" s="10" t="s">
        <v>1407</v>
      </c>
      <c r="C1175" s="11" t="s">
        <v>1816</v>
      </c>
      <c r="F1175" s="9">
        <v>200000</v>
      </c>
      <c r="G1175" s="6">
        <f t="shared" si="24"/>
        <v>-200000</v>
      </c>
      <c r="H1175" s="81" t="s">
        <v>3563</v>
      </c>
    </row>
    <row r="1176" spans="1:8" hidden="1" x14ac:dyDescent="0.25">
      <c r="A1176" s="17">
        <v>43258</v>
      </c>
      <c r="B1176" s="10" t="s">
        <v>2810</v>
      </c>
      <c r="C1176" s="11" t="s">
        <v>180</v>
      </c>
      <c r="E1176" s="8">
        <v>73420</v>
      </c>
      <c r="G1176" s="6">
        <f t="shared" si="24"/>
        <v>73420</v>
      </c>
    </row>
    <row r="1177" spans="1:8" hidden="1" x14ac:dyDescent="0.25">
      <c r="A1177" s="17">
        <v>43258</v>
      </c>
      <c r="B1177" s="10" t="s">
        <v>3431</v>
      </c>
      <c r="C1177" s="11" t="s">
        <v>180</v>
      </c>
      <c r="E1177" s="8">
        <v>25920</v>
      </c>
      <c r="G1177" s="6">
        <f t="shared" si="24"/>
        <v>25920</v>
      </c>
    </row>
    <row r="1178" spans="1:8" hidden="1" x14ac:dyDescent="0.25">
      <c r="A1178" s="17">
        <v>43258</v>
      </c>
      <c r="B1178" s="10" t="s">
        <v>2810</v>
      </c>
      <c r="C1178" s="11" t="s">
        <v>180</v>
      </c>
      <c r="E1178" s="8">
        <v>41660</v>
      </c>
      <c r="G1178" s="6">
        <f t="shared" si="24"/>
        <v>41660</v>
      </c>
    </row>
    <row r="1179" spans="1:8" hidden="1" x14ac:dyDescent="0.25">
      <c r="A1179" s="17">
        <v>43258</v>
      </c>
      <c r="B1179" s="10" t="s">
        <v>2810</v>
      </c>
      <c r="C1179" s="11" t="s">
        <v>180</v>
      </c>
      <c r="E1179" s="8">
        <v>43800</v>
      </c>
      <c r="G1179" s="6">
        <f t="shared" si="24"/>
        <v>43800</v>
      </c>
    </row>
    <row r="1180" spans="1:8" hidden="1"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hidden="1" x14ac:dyDescent="0.25">
      <c r="A1182" s="17">
        <v>43208</v>
      </c>
      <c r="B1182" s="10" t="s">
        <v>1407</v>
      </c>
      <c r="C1182" s="11" t="s">
        <v>1828</v>
      </c>
      <c r="E1182" s="8">
        <v>35380</v>
      </c>
      <c r="G1182" s="6">
        <f t="shared" si="24"/>
        <v>35380</v>
      </c>
    </row>
    <row r="1183" spans="1:8" hidden="1" x14ac:dyDescent="0.25">
      <c r="A1183" s="17">
        <v>43259</v>
      </c>
      <c r="B1183" s="10" t="s">
        <v>40</v>
      </c>
      <c r="C1183" s="11" t="s">
        <v>164</v>
      </c>
      <c r="E1183" s="8">
        <v>1064</v>
      </c>
      <c r="G1183" s="6">
        <f t="shared" si="24"/>
        <v>1064</v>
      </c>
    </row>
    <row r="1184" spans="1:8" hidden="1" x14ac:dyDescent="0.25">
      <c r="A1184" s="17">
        <v>43260</v>
      </c>
      <c r="B1184" s="10" t="s">
        <v>2810</v>
      </c>
      <c r="C1184" s="11" t="s">
        <v>180</v>
      </c>
      <c r="F1184" s="9">
        <v>250000</v>
      </c>
      <c r="G1184" s="6">
        <f t="shared" si="24"/>
        <v>-250000</v>
      </c>
      <c r="H1184" s="81" t="s">
        <v>3751</v>
      </c>
    </row>
    <row r="1185" spans="1:8" hidden="1" x14ac:dyDescent="0.25">
      <c r="A1185" s="17">
        <v>43272</v>
      </c>
      <c r="B1185" s="10" t="s">
        <v>2810</v>
      </c>
      <c r="C1185" s="11" t="s">
        <v>169</v>
      </c>
      <c r="E1185" s="8">
        <v>1770</v>
      </c>
      <c r="G1185" s="6">
        <f t="shared" si="24"/>
        <v>1770</v>
      </c>
    </row>
    <row r="1186" spans="1:8" hidden="1" x14ac:dyDescent="0.25">
      <c r="A1186" s="17">
        <v>43272</v>
      </c>
      <c r="B1186" s="10" t="s">
        <v>1407</v>
      </c>
      <c r="C1186" s="11" t="s">
        <v>1828</v>
      </c>
      <c r="E1186" s="8">
        <v>321208</v>
      </c>
      <c r="G1186" s="6">
        <f t="shared" si="24"/>
        <v>321208</v>
      </c>
    </row>
    <row r="1187" spans="1:8" hidden="1" x14ac:dyDescent="0.25">
      <c r="A1187" s="17">
        <v>43272</v>
      </c>
      <c r="B1187" s="10" t="s">
        <v>1407</v>
      </c>
      <c r="C1187" s="11" t="s">
        <v>1828</v>
      </c>
      <c r="E1187" s="8">
        <v>6808</v>
      </c>
      <c r="G1187" s="6">
        <f t="shared" si="24"/>
        <v>6808</v>
      </c>
    </row>
    <row r="1188" spans="1:8" hidden="1" x14ac:dyDescent="0.25">
      <c r="A1188" s="17">
        <v>43272</v>
      </c>
      <c r="B1188" s="10" t="s">
        <v>40</v>
      </c>
      <c r="C1188" s="11" t="s">
        <v>164</v>
      </c>
      <c r="E1188" s="8">
        <v>679</v>
      </c>
      <c r="G1188" s="6">
        <f t="shared" si="24"/>
        <v>679</v>
      </c>
    </row>
    <row r="1189" spans="1:8" hidden="1" x14ac:dyDescent="0.25">
      <c r="A1189" s="17">
        <v>43280</v>
      </c>
      <c r="B1189" s="10" t="s">
        <v>2810</v>
      </c>
      <c r="C1189" s="11" t="s">
        <v>161</v>
      </c>
      <c r="F1189" s="9">
        <v>300000</v>
      </c>
      <c r="G1189" s="6">
        <f t="shared" si="24"/>
        <v>-300000</v>
      </c>
      <c r="H1189" s="81" t="s">
        <v>3687</v>
      </c>
    </row>
    <row r="1190" spans="1:8" ht="31.5" hidden="1" x14ac:dyDescent="0.25">
      <c r="A1190" s="17">
        <v>43287</v>
      </c>
      <c r="B1190" s="10" t="s">
        <v>2810</v>
      </c>
      <c r="C1190" s="11" t="s">
        <v>166</v>
      </c>
      <c r="F1190" s="9">
        <v>350000</v>
      </c>
      <c r="G1190" s="6">
        <f t="shared" si="24"/>
        <v>-350000</v>
      </c>
      <c r="H1190" s="275" t="s">
        <v>3695</v>
      </c>
    </row>
    <row r="1191" spans="1:8" hidden="1" x14ac:dyDescent="0.25">
      <c r="A1191" s="17">
        <v>43287</v>
      </c>
      <c r="B1191" s="10" t="s">
        <v>1407</v>
      </c>
      <c r="C1191" s="11" t="s">
        <v>166</v>
      </c>
      <c r="F1191" s="9">
        <v>350000</v>
      </c>
      <c r="G1191" s="6">
        <f t="shared" si="24"/>
        <v>-350000</v>
      </c>
      <c r="H1191" s="276"/>
    </row>
    <row r="1192" spans="1:8" hidden="1" x14ac:dyDescent="0.25">
      <c r="A1192" s="17">
        <v>43287</v>
      </c>
      <c r="B1192" s="10" t="s">
        <v>2810</v>
      </c>
      <c r="C1192" s="11" t="s">
        <v>3696</v>
      </c>
      <c r="E1192" s="8">
        <v>759121</v>
      </c>
      <c r="G1192" s="6">
        <f t="shared" si="24"/>
        <v>759121</v>
      </c>
    </row>
    <row r="1193" spans="1:8" hidden="1" x14ac:dyDescent="0.25">
      <c r="A1193" s="17">
        <v>43300</v>
      </c>
      <c r="B1193" s="10" t="s">
        <v>1407</v>
      </c>
      <c r="C1193" s="11" t="s">
        <v>1828</v>
      </c>
      <c r="E1193" s="8">
        <v>395408</v>
      </c>
      <c r="G1193" s="6">
        <f t="shared" si="24"/>
        <v>395408</v>
      </c>
    </row>
    <row r="1194" spans="1:8" hidden="1" x14ac:dyDescent="0.25">
      <c r="A1194" s="17">
        <v>43300</v>
      </c>
      <c r="B1194" s="10" t="s">
        <v>2675</v>
      </c>
      <c r="C1194" s="11" t="s">
        <v>1816</v>
      </c>
      <c r="E1194" s="8">
        <v>71751</v>
      </c>
      <c r="G1194" s="6">
        <f t="shared" si="24"/>
        <v>71751</v>
      </c>
    </row>
    <row r="1195" spans="1:8" hidden="1" x14ac:dyDescent="0.25">
      <c r="A1195" s="17">
        <v>43300</v>
      </c>
      <c r="B1195" s="10" t="s">
        <v>2675</v>
      </c>
      <c r="C1195" s="11" t="s">
        <v>1816</v>
      </c>
      <c r="E1195" s="8">
        <v>33292</v>
      </c>
      <c r="G1195" s="6">
        <f t="shared" si="24"/>
        <v>33292</v>
      </c>
    </row>
    <row r="1196" spans="1:8" hidden="1" x14ac:dyDescent="0.25">
      <c r="A1196" s="17">
        <v>43300</v>
      </c>
      <c r="B1196" s="10" t="s">
        <v>2675</v>
      </c>
      <c r="C1196" s="11" t="s">
        <v>1816</v>
      </c>
      <c r="E1196" s="8">
        <v>592361</v>
      </c>
      <c r="G1196" s="6">
        <f t="shared" si="24"/>
        <v>592361</v>
      </c>
    </row>
    <row r="1197" spans="1:8" hidden="1" x14ac:dyDescent="0.25">
      <c r="A1197" s="17">
        <v>43300</v>
      </c>
      <c r="B1197" s="10" t="s">
        <v>1407</v>
      </c>
      <c r="C1197" s="11" t="s">
        <v>1816</v>
      </c>
      <c r="E1197" s="8">
        <v>8095</v>
      </c>
      <c r="G1197" s="6">
        <f t="shared" si="24"/>
        <v>8095</v>
      </c>
    </row>
    <row r="1198" spans="1:8" hidden="1" x14ac:dyDescent="0.25">
      <c r="A1198" s="17">
        <v>43300</v>
      </c>
      <c r="B1198" s="10" t="s">
        <v>1407</v>
      </c>
      <c r="C1198" s="11" t="s">
        <v>1816</v>
      </c>
      <c r="E1198" s="8">
        <v>3296</v>
      </c>
      <c r="G1198" s="6">
        <f t="shared" si="24"/>
        <v>3296</v>
      </c>
    </row>
    <row r="1199" spans="1:8" hidden="1" x14ac:dyDescent="0.25">
      <c r="A1199" s="17">
        <v>43300</v>
      </c>
      <c r="B1199" s="10" t="s">
        <v>2810</v>
      </c>
      <c r="C1199" s="11" t="s">
        <v>166</v>
      </c>
      <c r="E1199" s="8">
        <v>8000</v>
      </c>
      <c r="G1199" s="6">
        <f t="shared" si="24"/>
        <v>8000</v>
      </c>
    </row>
    <row r="1200" spans="1:8" hidden="1" x14ac:dyDescent="0.25">
      <c r="A1200" s="17">
        <v>43300</v>
      </c>
      <c r="B1200" s="10" t="s">
        <v>2810</v>
      </c>
      <c r="C1200" s="11" t="s">
        <v>166</v>
      </c>
      <c r="E1200" s="8">
        <v>9100</v>
      </c>
      <c r="G1200" s="6">
        <f t="shared" si="24"/>
        <v>9100</v>
      </c>
    </row>
    <row r="1201" spans="1:8" hidden="1" x14ac:dyDescent="0.25">
      <c r="A1201" s="17">
        <v>43300</v>
      </c>
      <c r="B1201" s="10" t="s">
        <v>2810</v>
      </c>
      <c r="C1201" s="11" t="s">
        <v>166</v>
      </c>
      <c r="E1201" s="8">
        <v>9000</v>
      </c>
      <c r="G1201" s="6">
        <f t="shared" si="24"/>
        <v>9000</v>
      </c>
    </row>
    <row r="1202" spans="1:8" hidden="1" x14ac:dyDescent="0.25">
      <c r="A1202" s="17">
        <v>43300</v>
      </c>
      <c r="B1202" s="10" t="s">
        <v>2810</v>
      </c>
      <c r="C1202" s="11" t="s">
        <v>166</v>
      </c>
      <c r="E1202" s="8">
        <v>4450</v>
      </c>
      <c r="G1202" s="6">
        <f t="shared" si="24"/>
        <v>4450</v>
      </c>
    </row>
    <row r="1203" spans="1:8" hidden="1" x14ac:dyDescent="0.25">
      <c r="A1203" s="17">
        <v>43300</v>
      </c>
      <c r="B1203" s="10" t="s">
        <v>1407</v>
      </c>
      <c r="C1203" s="11" t="s">
        <v>166</v>
      </c>
      <c r="E1203" s="8">
        <v>110000</v>
      </c>
      <c r="G1203" s="6">
        <f t="shared" si="24"/>
        <v>110000</v>
      </c>
    </row>
    <row r="1204" spans="1:8" hidden="1" x14ac:dyDescent="0.25">
      <c r="A1204" s="17">
        <v>43286</v>
      </c>
      <c r="B1204" s="10" t="s">
        <v>1404</v>
      </c>
      <c r="C1204" s="11" t="s">
        <v>2281</v>
      </c>
      <c r="F1204" s="9">
        <v>600000</v>
      </c>
      <c r="G1204" s="6">
        <f t="shared" si="24"/>
        <v>-600000</v>
      </c>
      <c r="H1204" s="81" t="s">
        <v>3709</v>
      </c>
    </row>
    <row r="1205" spans="1:8" hidden="1" x14ac:dyDescent="0.25">
      <c r="A1205" s="17">
        <v>43286</v>
      </c>
      <c r="B1205" s="10" t="s">
        <v>3414</v>
      </c>
      <c r="C1205" s="11" t="s">
        <v>2281</v>
      </c>
      <c r="E1205" s="8">
        <v>382000</v>
      </c>
      <c r="G1205" s="6">
        <f t="shared" si="24"/>
        <v>382000</v>
      </c>
    </row>
    <row r="1206" spans="1:8" hidden="1" x14ac:dyDescent="0.25">
      <c r="A1206" s="17">
        <v>43286</v>
      </c>
      <c r="B1206" s="10" t="s">
        <v>3414</v>
      </c>
      <c r="C1206" s="11" t="s">
        <v>2281</v>
      </c>
      <c r="F1206" s="9">
        <v>382000</v>
      </c>
      <c r="G1206" s="6">
        <f t="shared" si="24"/>
        <v>-382000</v>
      </c>
      <c r="H1206" s="81" t="s">
        <v>3710</v>
      </c>
    </row>
    <row r="1207" spans="1:8" hidden="1" x14ac:dyDescent="0.25">
      <c r="A1207" s="17">
        <v>43315</v>
      </c>
      <c r="B1207" s="10" t="s">
        <v>2675</v>
      </c>
      <c r="C1207" s="11" t="s">
        <v>1816</v>
      </c>
      <c r="F1207" s="9">
        <f>SUM((1500000-1500000*2%))</f>
        <v>1470000</v>
      </c>
      <c r="G1207" s="6">
        <f t="shared" si="24"/>
        <v>-1470000</v>
      </c>
      <c r="H1207" s="32" t="s">
        <v>3750</v>
      </c>
    </row>
    <row r="1208" spans="1:8" hidden="1" x14ac:dyDescent="0.25">
      <c r="A1208" s="17">
        <v>43304</v>
      </c>
      <c r="B1208" s="10" t="s">
        <v>2675</v>
      </c>
      <c r="C1208" s="11" t="s">
        <v>1816</v>
      </c>
      <c r="E1208" s="8">
        <v>1665915</v>
      </c>
      <c r="G1208" s="6">
        <f t="shared" si="24"/>
        <v>1665915</v>
      </c>
    </row>
    <row r="1209" spans="1:8" hidden="1" x14ac:dyDescent="0.25">
      <c r="A1209" s="17">
        <v>43313</v>
      </c>
      <c r="B1209" s="10" t="s">
        <v>1407</v>
      </c>
      <c r="C1209" s="11" t="s">
        <v>1828</v>
      </c>
      <c r="E1209" s="8">
        <v>705608</v>
      </c>
      <c r="G1209" s="6">
        <f t="shared" si="24"/>
        <v>705608</v>
      </c>
    </row>
    <row r="1210" spans="1:8" hidden="1" x14ac:dyDescent="0.25">
      <c r="A1210" s="17">
        <v>43313</v>
      </c>
      <c r="B1210" s="10" t="s">
        <v>2810</v>
      </c>
      <c r="C1210" s="11" t="s">
        <v>180</v>
      </c>
      <c r="E1210" s="8">
        <v>7400</v>
      </c>
      <c r="G1210" s="6">
        <f t="shared" si="24"/>
        <v>7400</v>
      </c>
    </row>
    <row r="1211" spans="1:8" hidden="1" x14ac:dyDescent="0.25">
      <c r="A1211" s="17">
        <v>43307</v>
      </c>
      <c r="B1211" s="10" t="s">
        <v>2810</v>
      </c>
      <c r="C1211" s="11" t="s">
        <v>180</v>
      </c>
      <c r="E1211" s="8">
        <v>6000</v>
      </c>
      <c r="G1211" s="6">
        <f t="shared" si="24"/>
        <v>6000</v>
      </c>
    </row>
    <row r="1212" spans="1:8" hidden="1" x14ac:dyDescent="0.25">
      <c r="A1212" s="17">
        <v>43320</v>
      </c>
      <c r="B1212" s="10" t="s">
        <v>40</v>
      </c>
      <c r="C1212" s="11" t="s">
        <v>2281</v>
      </c>
      <c r="F1212" s="9">
        <v>66130</v>
      </c>
      <c r="G1212" s="6">
        <f t="shared" si="24"/>
        <v>-66130</v>
      </c>
      <c r="H1212" s="81"/>
    </row>
    <row r="1213" spans="1:8" hidden="1" x14ac:dyDescent="0.25">
      <c r="A1213" s="17">
        <v>43320</v>
      </c>
      <c r="B1213" s="10" t="s">
        <v>2109</v>
      </c>
      <c r="C1213" s="11" t="s">
        <v>2281</v>
      </c>
      <c r="F1213" s="9">
        <v>180100</v>
      </c>
      <c r="G1213" s="6">
        <f t="shared" si="24"/>
        <v>-180100</v>
      </c>
      <c r="H1213" s="82"/>
    </row>
    <row r="1214" spans="1:8" hidden="1" x14ac:dyDescent="0.25">
      <c r="A1214" s="17">
        <v>43320</v>
      </c>
      <c r="B1214" s="10" t="s">
        <v>2571</v>
      </c>
      <c r="C1214" s="11" t="s">
        <v>2281</v>
      </c>
      <c r="F1214" s="9">
        <v>26240</v>
      </c>
      <c r="G1214" s="6">
        <f t="shared" si="24"/>
        <v>-26240</v>
      </c>
      <c r="H1214" s="82"/>
    </row>
    <row r="1215" spans="1:8" hidden="1" x14ac:dyDescent="0.25">
      <c r="A1215" s="17">
        <v>43320</v>
      </c>
      <c r="B1215" s="43" t="s">
        <v>2396</v>
      </c>
      <c r="C1215" s="11" t="s">
        <v>2281</v>
      </c>
      <c r="F1215" s="9">
        <v>27120</v>
      </c>
      <c r="G1215" s="6">
        <f t="shared" si="24"/>
        <v>-27120</v>
      </c>
      <c r="H1215" s="82" t="s">
        <v>3755</v>
      </c>
    </row>
    <row r="1216" spans="1:8" hidden="1" x14ac:dyDescent="0.25">
      <c r="A1216" s="17">
        <v>43320</v>
      </c>
      <c r="B1216" s="10" t="s">
        <v>969</v>
      </c>
      <c r="C1216" s="11" t="s">
        <v>2281</v>
      </c>
      <c r="F1216" s="9">
        <v>37380</v>
      </c>
      <c r="G1216" s="6">
        <f t="shared" si="24"/>
        <v>-37380</v>
      </c>
      <c r="H1216" s="82"/>
    </row>
    <row r="1217" spans="1:8" hidden="1" x14ac:dyDescent="0.25">
      <c r="A1217" s="17">
        <v>43320</v>
      </c>
      <c r="B1217" s="10" t="s">
        <v>1500</v>
      </c>
      <c r="C1217" s="11" t="s">
        <v>2281</v>
      </c>
      <c r="F1217" s="9">
        <f>350000-F1216-F1215-F1214-F1213-F1212</f>
        <v>13030</v>
      </c>
      <c r="G1217" s="6">
        <f t="shared" si="24"/>
        <v>-13030</v>
      </c>
      <c r="H1217" s="83"/>
    </row>
    <row r="1218" spans="1:8" hidden="1" x14ac:dyDescent="0.25">
      <c r="A1218" s="17">
        <v>43305</v>
      </c>
      <c r="B1218" s="10" t="s">
        <v>2288</v>
      </c>
      <c r="C1218" s="11" t="s">
        <v>166</v>
      </c>
      <c r="E1218" s="8">
        <v>8600</v>
      </c>
      <c r="G1218" s="6">
        <f t="shared" ref="G1218:G1265" si="25">E1218-F1218</f>
        <v>8600</v>
      </c>
    </row>
    <row r="1219" spans="1:8" hidden="1" x14ac:dyDescent="0.25">
      <c r="A1219" s="17">
        <v>43305</v>
      </c>
      <c r="B1219" s="10" t="s">
        <v>2810</v>
      </c>
      <c r="C1219" s="11" t="s">
        <v>166</v>
      </c>
      <c r="E1219" s="8">
        <v>8600</v>
      </c>
      <c r="G1219" s="6">
        <f t="shared" si="25"/>
        <v>8600</v>
      </c>
    </row>
    <row r="1220" spans="1:8" hidden="1" x14ac:dyDescent="0.25">
      <c r="A1220" s="17">
        <v>43315</v>
      </c>
      <c r="B1220" s="10" t="s">
        <v>1407</v>
      </c>
      <c r="C1220" s="11" t="s">
        <v>1828</v>
      </c>
      <c r="E1220" s="8">
        <v>25550</v>
      </c>
      <c r="G1220" s="6">
        <f t="shared" si="25"/>
        <v>25550</v>
      </c>
      <c r="H1220" s="134"/>
    </row>
    <row r="1221" spans="1:8" hidden="1" x14ac:dyDescent="0.25">
      <c r="A1221" s="17">
        <v>43290</v>
      </c>
      <c r="B1221" s="10" t="s">
        <v>1407</v>
      </c>
      <c r="C1221" s="11" t="s">
        <v>1816</v>
      </c>
      <c r="E1221" s="8">
        <v>1800</v>
      </c>
      <c r="G1221" s="6">
        <f t="shared" si="25"/>
        <v>1800</v>
      </c>
    </row>
    <row r="1222" spans="1:8" hidden="1" x14ac:dyDescent="0.25">
      <c r="A1222" s="17">
        <v>43290</v>
      </c>
      <c r="B1222" s="10" t="s">
        <v>2675</v>
      </c>
      <c r="C1222" s="11" t="s">
        <v>1816</v>
      </c>
      <c r="E1222" s="8">
        <v>245053</v>
      </c>
      <c r="G1222" s="6">
        <f t="shared" si="25"/>
        <v>245053</v>
      </c>
    </row>
    <row r="1223" spans="1:8" hidden="1" x14ac:dyDescent="0.25">
      <c r="A1223" s="17">
        <v>43290</v>
      </c>
      <c r="B1223" s="10" t="s">
        <v>2675</v>
      </c>
      <c r="C1223" s="11" t="s">
        <v>1816</v>
      </c>
      <c r="E1223" s="8">
        <v>59832</v>
      </c>
      <c r="G1223" s="6">
        <f t="shared" si="25"/>
        <v>59832</v>
      </c>
    </row>
    <row r="1224" spans="1:8" hidden="1" x14ac:dyDescent="0.25">
      <c r="A1224" s="17">
        <v>43290</v>
      </c>
      <c r="B1224" s="10" t="s">
        <v>1407</v>
      </c>
      <c r="C1224" s="11" t="s">
        <v>1816</v>
      </c>
      <c r="E1224" s="8">
        <v>15245</v>
      </c>
      <c r="G1224" s="6">
        <f t="shared" si="25"/>
        <v>15245</v>
      </c>
    </row>
    <row r="1225" spans="1:8" hidden="1" x14ac:dyDescent="0.25">
      <c r="A1225" s="17">
        <v>43290</v>
      </c>
      <c r="B1225" s="10" t="s">
        <v>1407</v>
      </c>
      <c r="C1225" s="11" t="s">
        <v>1816</v>
      </c>
      <c r="E1225" s="8">
        <v>7042</v>
      </c>
      <c r="G1225" s="6">
        <f t="shared" si="25"/>
        <v>7042</v>
      </c>
    </row>
    <row r="1226" spans="1:8" hidden="1" x14ac:dyDescent="0.25">
      <c r="A1226" s="17">
        <v>43290</v>
      </c>
      <c r="B1226" s="10" t="s">
        <v>1407</v>
      </c>
      <c r="C1226" s="11" t="s">
        <v>1816</v>
      </c>
      <c r="E1226" s="8">
        <v>82600</v>
      </c>
      <c r="G1226" s="6">
        <f t="shared" si="25"/>
        <v>82600</v>
      </c>
    </row>
    <row r="1227" spans="1:8" hidden="1" x14ac:dyDescent="0.25">
      <c r="A1227" s="17">
        <v>43290</v>
      </c>
      <c r="B1227" s="10" t="s">
        <v>2675</v>
      </c>
      <c r="C1227" s="11" t="s">
        <v>1816</v>
      </c>
      <c r="E1227" s="8">
        <v>17826</v>
      </c>
      <c r="G1227" s="6">
        <f t="shared" si="25"/>
        <v>17826</v>
      </c>
    </row>
    <row r="1228" spans="1:8" hidden="1" x14ac:dyDescent="0.25">
      <c r="A1228" s="17">
        <v>43290</v>
      </c>
      <c r="B1228" s="10" t="s">
        <v>1407</v>
      </c>
      <c r="C1228" s="11" t="s">
        <v>1816</v>
      </c>
      <c r="E1228" s="8">
        <v>6680</v>
      </c>
      <c r="G1228" s="6">
        <f t="shared" si="25"/>
        <v>6680</v>
      </c>
    </row>
    <row r="1229" spans="1:8" hidden="1" x14ac:dyDescent="0.25">
      <c r="A1229" s="17">
        <v>43290</v>
      </c>
      <c r="B1229" s="10" t="s">
        <v>1407</v>
      </c>
      <c r="C1229" s="11" t="s">
        <v>1816</v>
      </c>
      <c r="E1229" s="8">
        <v>1600</v>
      </c>
      <c r="G1229" s="6">
        <f t="shared" si="25"/>
        <v>1600</v>
      </c>
    </row>
    <row r="1230" spans="1:8" hidden="1" x14ac:dyDescent="0.25">
      <c r="A1230" s="17">
        <v>43307</v>
      </c>
      <c r="B1230" s="21" t="s">
        <v>11</v>
      </c>
      <c r="C1230" s="11" t="s">
        <v>164</v>
      </c>
      <c r="E1230" s="8">
        <v>5815</v>
      </c>
      <c r="G1230" s="6">
        <f t="shared" si="25"/>
        <v>5815</v>
      </c>
    </row>
    <row r="1231" spans="1:8" hidden="1" x14ac:dyDescent="0.25">
      <c r="A1231" s="17">
        <v>43307</v>
      </c>
      <c r="B1231" s="53" t="s">
        <v>3765</v>
      </c>
      <c r="C1231" s="11" t="s">
        <v>166</v>
      </c>
      <c r="E1231" s="8">
        <v>4300</v>
      </c>
      <c r="G1231" s="6">
        <f t="shared" si="25"/>
        <v>4300</v>
      </c>
    </row>
    <row r="1232" spans="1:8" hidden="1" x14ac:dyDescent="0.25">
      <c r="A1232" s="17">
        <v>43307</v>
      </c>
      <c r="B1232" s="53" t="s">
        <v>3765</v>
      </c>
      <c r="C1232" s="11" t="s">
        <v>166</v>
      </c>
      <c r="E1232" s="8">
        <v>121656</v>
      </c>
      <c r="G1232" s="6">
        <f t="shared" si="25"/>
        <v>121656</v>
      </c>
    </row>
    <row r="1233" spans="1:8" hidden="1" x14ac:dyDescent="0.25">
      <c r="A1233" s="17">
        <v>43307</v>
      </c>
      <c r="B1233" s="53" t="s">
        <v>3765</v>
      </c>
      <c r="C1233" s="11" t="s">
        <v>166</v>
      </c>
      <c r="E1233" s="8">
        <v>4300</v>
      </c>
      <c r="G1233" s="6">
        <f t="shared" si="25"/>
        <v>4300</v>
      </c>
    </row>
    <row r="1234" spans="1:8" hidden="1" x14ac:dyDescent="0.25">
      <c r="A1234" s="17">
        <v>43328</v>
      </c>
      <c r="B1234" s="53" t="s">
        <v>3765</v>
      </c>
      <c r="C1234" s="11" t="s">
        <v>166</v>
      </c>
      <c r="E1234" s="8">
        <v>7660</v>
      </c>
      <c r="G1234" s="6">
        <f t="shared" si="25"/>
        <v>7660</v>
      </c>
    </row>
    <row r="1235" spans="1:8" hidden="1" x14ac:dyDescent="0.25">
      <c r="A1235" s="17">
        <v>43328</v>
      </c>
      <c r="B1235" s="53" t="s">
        <v>1407</v>
      </c>
      <c r="C1235" s="11" t="s">
        <v>166</v>
      </c>
      <c r="E1235" s="8">
        <v>44000</v>
      </c>
      <c r="G1235" s="6">
        <f t="shared" si="25"/>
        <v>44000</v>
      </c>
    </row>
    <row r="1236" spans="1:8" hidden="1" x14ac:dyDescent="0.25">
      <c r="A1236" s="17">
        <v>43328</v>
      </c>
      <c r="B1236" s="43" t="s">
        <v>3652</v>
      </c>
      <c r="C1236" s="11" t="s">
        <v>166</v>
      </c>
      <c r="E1236" s="8">
        <v>59200</v>
      </c>
      <c r="G1236" s="6">
        <f t="shared" si="25"/>
        <v>59200</v>
      </c>
    </row>
    <row r="1237" spans="1:8" hidden="1" x14ac:dyDescent="0.25">
      <c r="A1237" s="17">
        <v>43328</v>
      </c>
      <c r="B1237" s="43" t="s">
        <v>3652</v>
      </c>
      <c r="C1237" s="11" t="s">
        <v>166</v>
      </c>
      <c r="E1237" s="8">
        <v>59200</v>
      </c>
      <c r="G1237" s="6">
        <f t="shared" si="25"/>
        <v>59200</v>
      </c>
    </row>
    <row r="1238" spans="1:8" hidden="1" x14ac:dyDescent="0.25">
      <c r="A1238" s="58">
        <v>43322</v>
      </c>
      <c r="B1238" s="10" t="s">
        <v>1407</v>
      </c>
      <c r="C1238" s="11" t="s">
        <v>166</v>
      </c>
      <c r="F1238" s="9">
        <v>212538</v>
      </c>
      <c r="G1238" s="6">
        <f t="shared" si="25"/>
        <v>-212538</v>
      </c>
      <c r="H1238" s="81"/>
    </row>
    <row r="1239" spans="1:8" hidden="1" x14ac:dyDescent="0.25">
      <c r="A1239" s="58">
        <v>43322</v>
      </c>
      <c r="B1239" s="10" t="s">
        <v>2288</v>
      </c>
      <c r="C1239" s="11" t="s">
        <v>166</v>
      </c>
      <c r="F1239" s="9">
        <v>8600</v>
      </c>
      <c r="G1239" s="6">
        <f t="shared" si="25"/>
        <v>-8600</v>
      </c>
      <c r="H1239" s="82" t="s">
        <v>3777</v>
      </c>
    </row>
    <row r="1240" spans="1:8" hidden="1" x14ac:dyDescent="0.25">
      <c r="A1240" s="58">
        <v>43322</v>
      </c>
      <c r="B1240" s="10" t="s">
        <v>2810</v>
      </c>
      <c r="C1240" s="11" t="s">
        <v>166</v>
      </c>
      <c r="F1240" s="9">
        <v>118971</v>
      </c>
      <c r="G1240" s="6">
        <f t="shared" si="25"/>
        <v>-118971</v>
      </c>
      <c r="H1240" s="83"/>
    </row>
    <row r="1241" spans="1:8" hidden="1" x14ac:dyDescent="0.25">
      <c r="A1241" s="58">
        <v>43320</v>
      </c>
      <c r="B1241" s="10" t="s">
        <v>1407</v>
      </c>
      <c r="C1241" s="11" t="s">
        <v>1828</v>
      </c>
      <c r="E1241" s="8">
        <v>282988</v>
      </c>
      <c r="G1241" s="6">
        <f t="shared" si="25"/>
        <v>282988</v>
      </c>
    </row>
    <row r="1242" spans="1:8" hidden="1" x14ac:dyDescent="0.25">
      <c r="A1242" s="272">
        <v>43325</v>
      </c>
      <c r="B1242" s="10" t="s">
        <v>2058</v>
      </c>
      <c r="C1242" s="11" t="s">
        <v>2281</v>
      </c>
      <c r="F1242" s="9">
        <v>279521</v>
      </c>
      <c r="G1242" s="6">
        <f t="shared" si="25"/>
        <v>-279521</v>
      </c>
      <c r="H1242" s="286"/>
    </row>
    <row r="1243" spans="1:8" hidden="1" x14ac:dyDescent="0.25">
      <c r="A1243" s="272">
        <v>43325</v>
      </c>
      <c r="B1243" s="10" t="s">
        <v>2288</v>
      </c>
      <c r="C1243" s="11" t="s">
        <v>2281</v>
      </c>
      <c r="F1243" s="9">
        <v>195490</v>
      </c>
      <c r="G1243" s="6">
        <f t="shared" si="25"/>
        <v>-195490</v>
      </c>
      <c r="H1243" s="82" t="s">
        <v>3784</v>
      </c>
    </row>
    <row r="1244" spans="1:8" hidden="1" x14ac:dyDescent="0.25">
      <c r="A1244" s="272">
        <v>43325</v>
      </c>
      <c r="B1244" s="10" t="s">
        <v>1500</v>
      </c>
      <c r="C1244" s="11" t="s">
        <v>2281</v>
      </c>
      <c r="F1244" s="9">
        <f>500000-F1243-F1242</f>
        <v>24989</v>
      </c>
      <c r="G1244" s="6">
        <f t="shared" si="25"/>
        <v>-24989</v>
      </c>
      <c r="H1244" s="83"/>
    </row>
    <row r="1245" spans="1:8" hidden="1" x14ac:dyDescent="0.25">
      <c r="A1245" s="272">
        <v>43339</v>
      </c>
      <c r="B1245" s="10" t="s">
        <v>1407</v>
      </c>
      <c r="C1245" s="11" t="s">
        <v>166</v>
      </c>
      <c r="E1245" s="8">
        <v>55000</v>
      </c>
      <c r="G1245" s="6">
        <f t="shared" si="25"/>
        <v>55000</v>
      </c>
    </row>
    <row r="1246" spans="1:8" hidden="1" x14ac:dyDescent="0.25">
      <c r="A1246" s="272">
        <v>43343</v>
      </c>
      <c r="B1246" s="43" t="s">
        <v>3652</v>
      </c>
      <c r="C1246" s="11" t="s">
        <v>166</v>
      </c>
      <c r="E1246" s="8">
        <v>37000</v>
      </c>
      <c r="G1246" s="6">
        <f t="shared" si="25"/>
        <v>37000</v>
      </c>
    </row>
    <row r="1247" spans="1:8" hidden="1" x14ac:dyDescent="0.25">
      <c r="A1247" s="272">
        <v>43343</v>
      </c>
      <c r="B1247" s="10" t="s">
        <v>3765</v>
      </c>
      <c r="C1247" s="11" t="s">
        <v>166</v>
      </c>
      <c r="E1247" s="8">
        <v>6900</v>
      </c>
      <c r="G1247" s="6">
        <f t="shared" si="25"/>
        <v>6900</v>
      </c>
    </row>
    <row r="1248" spans="1:8" hidden="1" x14ac:dyDescent="0.25">
      <c r="A1248" s="272">
        <v>43343</v>
      </c>
      <c r="B1248" s="10" t="s">
        <v>1407</v>
      </c>
      <c r="C1248" s="11" t="s">
        <v>166</v>
      </c>
      <c r="E1248" s="8">
        <v>55000</v>
      </c>
      <c r="G1248" s="6">
        <f t="shared" si="25"/>
        <v>55000</v>
      </c>
    </row>
    <row r="1249" spans="1:8" hidden="1" x14ac:dyDescent="0.25">
      <c r="A1249" s="272">
        <v>43343</v>
      </c>
      <c r="B1249" s="43" t="s">
        <v>3652</v>
      </c>
      <c r="C1249" s="11" t="s">
        <v>166</v>
      </c>
      <c r="E1249" s="8">
        <v>59200</v>
      </c>
      <c r="G1249" s="6">
        <f t="shared" si="25"/>
        <v>59200</v>
      </c>
    </row>
    <row r="1250" spans="1:8" hidden="1" x14ac:dyDescent="0.25">
      <c r="A1250" s="272">
        <v>43343</v>
      </c>
      <c r="B1250" s="10" t="s">
        <v>1407</v>
      </c>
      <c r="C1250" s="11" t="s">
        <v>1828</v>
      </c>
      <c r="E1250" s="8">
        <v>43293</v>
      </c>
      <c r="G1250" s="6">
        <f t="shared" si="25"/>
        <v>43293</v>
      </c>
    </row>
    <row r="1251" spans="1:8" hidden="1" x14ac:dyDescent="0.25">
      <c r="A1251" s="272">
        <v>43343</v>
      </c>
      <c r="B1251" s="10" t="s">
        <v>1407</v>
      </c>
      <c r="C1251" s="11" t="s">
        <v>1828</v>
      </c>
      <c r="E1251" s="8">
        <v>299085</v>
      </c>
      <c r="G1251" s="6">
        <f t="shared" si="25"/>
        <v>299085</v>
      </c>
    </row>
    <row r="1252" spans="1:8" hidden="1" x14ac:dyDescent="0.25">
      <c r="A1252" s="272">
        <v>43299</v>
      </c>
      <c r="B1252" s="10" t="s">
        <v>1407</v>
      </c>
      <c r="C1252" s="11" t="s">
        <v>1828</v>
      </c>
      <c r="F1252" s="9">
        <v>500000</v>
      </c>
      <c r="G1252" s="6">
        <f t="shared" si="25"/>
        <v>-500000</v>
      </c>
      <c r="H1252" s="32" t="s">
        <v>3727</v>
      </c>
    </row>
    <row r="1253" spans="1:8" hidden="1" x14ac:dyDescent="0.25">
      <c r="A1253" s="272">
        <v>43342</v>
      </c>
      <c r="B1253" s="10" t="s">
        <v>2675</v>
      </c>
      <c r="C1253" s="11" t="s">
        <v>1816</v>
      </c>
      <c r="E1253" s="8">
        <v>48818</v>
      </c>
      <c r="G1253" s="6">
        <f t="shared" si="25"/>
        <v>48818</v>
      </c>
    </row>
    <row r="1254" spans="1:8" hidden="1" x14ac:dyDescent="0.25">
      <c r="A1254" s="272">
        <v>43342</v>
      </c>
      <c r="B1254" s="10" t="s">
        <v>1407</v>
      </c>
      <c r="C1254" s="11" t="s">
        <v>1816</v>
      </c>
      <c r="E1254" s="8">
        <v>9880</v>
      </c>
      <c r="G1254" s="6">
        <f t="shared" si="25"/>
        <v>9880</v>
      </c>
    </row>
    <row r="1255" spans="1:8" hidden="1" x14ac:dyDescent="0.25">
      <c r="A1255" s="272">
        <v>43342</v>
      </c>
      <c r="B1255" s="10" t="s">
        <v>1407</v>
      </c>
      <c r="C1255" s="11" t="s">
        <v>1816</v>
      </c>
      <c r="E1255" s="8">
        <v>2472</v>
      </c>
      <c r="G1255" s="6">
        <f t="shared" si="25"/>
        <v>2472</v>
      </c>
    </row>
    <row r="1256" spans="1:8" hidden="1" x14ac:dyDescent="0.25">
      <c r="A1256" s="272">
        <v>43342</v>
      </c>
      <c r="B1256" s="10" t="s">
        <v>1407</v>
      </c>
      <c r="C1256" s="11" t="s">
        <v>1816</v>
      </c>
      <c r="E1256" s="8">
        <v>4320</v>
      </c>
      <c r="G1256" s="6">
        <f t="shared" si="25"/>
        <v>4320</v>
      </c>
    </row>
    <row r="1257" spans="1:8" hidden="1" x14ac:dyDescent="0.25">
      <c r="A1257" s="272">
        <v>43342</v>
      </c>
      <c r="B1257" s="10" t="s">
        <v>2675</v>
      </c>
      <c r="C1257" s="11" t="s">
        <v>1816</v>
      </c>
      <c r="E1257" s="8">
        <v>25000</v>
      </c>
      <c r="G1257" s="6">
        <f t="shared" si="25"/>
        <v>25000</v>
      </c>
    </row>
    <row r="1258" spans="1:8" hidden="1" x14ac:dyDescent="0.25">
      <c r="A1258" s="272">
        <v>43351</v>
      </c>
      <c r="B1258" s="43" t="s">
        <v>3652</v>
      </c>
      <c r="C1258" s="11" t="s">
        <v>180</v>
      </c>
      <c r="E1258" s="8">
        <v>578880</v>
      </c>
      <c r="G1258" s="6">
        <f t="shared" si="25"/>
        <v>578880</v>
      </c>
    </row>
    <row r="1259" spans="1:8" hidden="1" x14ac:dyDescent="0.25">
      <c r="A1259" s="272">
        <v>43354</v>
      </c>
      <c r="B1259" s="10" t="s">
        <v>2957</v>
      </c>
      <c r="C1259" s="11" t="s">
        <v>180</v>
      </c>
      <c r="E1259" s="8">
        <v>1331000</v>
      </c>
      <c r="G1259" s="6">
        <f t="shared" si="25"/>
        <v>1331000</v>
      </c>
    </row>
    <row r="1260" spans="1:8" hidden="1" x14ac:dyDescent="0.25">
      <c r="A1260" s="272">
        <v>43351</v>
      </c>
      <c r="B1260" s="43" t="s">
        <v>3652</v>
      </c>
      <c r="C1260" s="11" t="s">
        <v>166</v>
      </c>
      <c r="E1260" s="8">
        <v>59200</v>
      </c>
      <c r="G1260" s="6">
        <f t="shared" si="25"/>
        <v>59200</v>
      </c>
    </row>
    <row r="1261" spans="1:8" hidden="1"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hidden="1" x14ac:dyDescent="0.25">
      <c r="A1263" s="272">
        <v>43356</v>
      </c>
      <c r="B1263" s="10" t="s">
        <v>1407</v>
      </c>
      <c r="C1263" s="11" t="s">
        <v>180</v>
      </c>
      <c r="F1263" s="9">
        <v>20050</v>
      </c>
      <c r="G1263" s="6">
        <f t="shared" si="25"/>
        <v>-20050</v>
      </c>
      <c r="H1263" s="81"/>
    </row>
    <row r="1264" spans="1:8" hidden="1" x14ac:dyDescent="0.25">
      <c r="A1264" s="272">
        <v>43356</v>
      </c>
      <c r="B1264" s="10" t="s">
        <v>2243</v>
      </c>
      <c r="C1264" s="11" t="s">
        <v>180</v>
      </c>
      <c r="F1264" s="9">
        <v>22000</v>
      </c>
      <c r="G1264" s="6">
        <f t="shared" si="25"/>
        <v>-22000</v>
      </c>
      <c r="H1264" s="82"/>
    </row>
    <row r="1265" spans="1:8" hidden="1" x14ac:dyDescent="0.25">
      <c r="A1265" s="272">
        <v>43356</v>
      </c>
      <c r="B1265" s="10" t="s">
        <v>1404</v>
      </c>
      <c r="C1265" s="11" t="s">
        <v>180</v>
      </c>
      <c r="F1265" s="9">
        <v>104351</v>
      </c>
      <c r="G1265" s="6">
        <f t="shared" si="25"/>
        <v>-104351</v>
      </c>
      <c r="H1265" s="82"/>
    </row>
    <row r="1266" spans="1:8" hidden="1" x14ac:dyDescent="0.25">
      <c r="A1266" s="272">
        <v>43356</v>
      </c>
      <c r="B1266" s="10" t="s">
        <v>3431</v>
      </c>
      <c r="C1266" s="11" t="s">
        <v>180</v>
      </c>
      <c r="F1266" s="9">
        <v>25920</v>
      </c>
      <c r="G1266" s="6">
        <f t="shared" ref="G1266:G1362" si="26">E1266-F1266</f>
        <v>-25920</v>
      </c>
      <c r="H1266" s="82" t="s">
        <v>3926</v>
      </c>
    </row>
    <row r="1267" spans="1:8" hidden="1" x14ac:dyDescent="0.25">
      <c r="A1267" s="272">
        <v>43356</v>
      </c>
      <c r="B1267" s="10" t="s">
        <v>2810</v>
      </c>
      <c r="C1267" s="11" t="s">
        <v>180</v>
      </c>
      <c r="F1267" s="9">
        <v>107830</v>
      </c>
      <c r="G1267" s="6">
        <f t="shared" si="26"/>
        <v>-107830</v>
      </c>
      <c r="H1267" s="82"/>
    </row>
    <row r="1268" spans="1:8" hidden="1" x14ac:dyDescent="0.25">
      <c r="A1268" s="272">
        <v>43356</v>
      </c>
      <c r="B1268" s="43" t="s">
        <v>3652</v>
      </c>
      <c r="C1268" s="11" t="s">
        <v>180</v>
      </c>
      <c r="F1268" s="9">
        <f>599810-F1263-F1264-F1265-F1266-F1267</f>
        <v>319659</v>
      </c>
      <c r="G1268" s="6">
        <f t="shared" si="26"/>
        <v>-319659</v>
      </c>
      <c r="H1268" s="83"/>
    </row>
    <row r="1269" spans="1:8" hidden="1" x14ac:dyDescent="0.25">
      <c r="A1269" s="272">
        <v>43357</v>
      </c>
      <c r="B1269" s="10" t="s">
        <v>1407</v>
      </c>
      <c r="C1269" s="11" t="s">
        <v>1828</v>
      </c>
      <c r="F1269" s="9">
        <v>1000000</v>
      </c>
      <c r="G1269" s="6">
        <f t="shared" si="26"/>
        <v>-1000000</v>
      </c>
      <c r="H1269" s="81" t="s">
        <v>3928</v>
      </c>
    </row>
    <row r="1270" spans="1:8" hidden="1" x14ac:dyDescent="0.25">
      <c r="A1270" s="272">
        <v>43370</v>
      </c>
      <c r="B1270" s="43" t="s">
        <v>3652</v>
      </c>
      <c r="C1270" s="11" t="s">
        <v>166</v>
      </c>
      <c r="E1270" s="8">
        <v>59200</v>
      </c>
      <c r="G1270" s="6">
        <f t="shared" si="26"/>
        <v>59200</v>
      </c>
    </row>
    <row r="1271" spans="1:8" hidden="1" x14ac:dyDescent="0.25">
      <c r="A1271" s="272">
        <v>43370</v>
      </c>
      <c r="B1271" s="43" t="s">
        <v>3652</v>
      </c>
      <c r="C1271" s="11" t="s">
        <v>166</v>
      </c>
      <c r="E1271" s="8">
        <v>59200</v>
      </c>
      <c r="G1271" s="6">
        <f t="shared" si="26"/>
        <v>59200</v>
      </c>
    </row>
    <row r="1272" spans="1:8" hidden="1" x14ac:dyDescent="0.25">
      <c r="A1272" s="272">
        <v>43358</v>
      </c>
      <c r="B1272" s="10" t="s">
        <v>1407</v>
      </c>
      <c r="C1272" s="11" t="s">
        <v>166</v>
      </c>
      <c r="E1272" s="8">
        <v>1776981</v>
      </c>
      <c r="G1272" s="6">
        <f t="shared" si="26"/>
        <v>1776981</v>
      </c>
    </row>
    <row r="1273" spans="1:8" hidden="1" x14ac:dyDescent="0.25">
      <c r="A1273" s="272">
        <v>43358</v>
      </c>
      <c r="B1273" s="43" t="s">
        <v>3652</v>
      </c>
      <c r="C1273" s="11" t="s">
        <v>166</v>
      </c>
      <c r="E1273" s="8">
        <v>59200</v>
      </c>
      <c r="G1273" s="6">
        <f t="shared" si="26"/>
        <v>59200</v>
      </c>
    </row>
    <row r="1274" spans="1:8" hidden="1" x14ac:dyDescent="0.25">
      <c r="A1274" s="272">
        <v>43292</v>
      </c>
      <c r="B1274" s="10" t="s">
        <v>1407</v>
      </c>
      <c r="C1274" s="11" t="s">
        <v>166</v>
      </c>
      <c r="F1274" s="9">
        <v>1000000</v>
      </c>
      <c r="G1274" s="6">
        <f t="shared" si="26"/>
        <v>-1000000</v>
      </c>
      <c r="H1274" s="32" t="s">
        <v>3718</v>
      </c>
    </row>
    <row r="1275" spans="1:8" hidden="1" x14ac:dyDescent="0.25">
      <c r="A1275" s="272">
        <v>43370</v>
      </c>
      <c r="B1275" s="10" t="s">
        <v>3765</v>
      </c>
      <c r="C1275" s="11" t="s">
        <v>180</v>
      </c>
      <c r="E1275" s="8">
        <v>121875</v>
      </c>
      <c r="G1275" s="6">
        <f t="shared" si="26"/>
        <v>121875</v>
      </c>
    </row>
    <row r="1276" spans="1:8" hidden="1" x14ac:dyDescent="0.25">
      <c r="A1276" s="272">
        <v>43344</v>
      </c>
      <c r="B1276" s="10" t="s">
        <v>2675</v>
      </c>
      <c r="C1276" s="11" t="s">
        <v>1816</v>
      </c>
      <c r="E1276" s="8">
        <v>271266</v>
      </c>
      <c r="G1276" s="6">
        <f t="shared" si="26"/>
        <v>271266</v>
      </c>
    </row>
    <row r="1277" spans="1:8" hidden="1" x14ac:dyDescent="0.25">
      <c r="A1277" s="272">
        <v>43361</v>
      </c>
      <c r="B1277" s="10" t="s">
        <v>2675</v>
      </c>
      <c r="C1277" s="11" t="s">
        <v>1816</v>
      </c>
      <c r="E1277" s="8">
        <v>1881</v>
      </c>
      <c r="G1277" s="6">
        <f t="shared" si="26"/>
        <v>1881</v>
      </c>
    </row>
    <row r="1278" spans="1:8" hidden="1" x14ac:dyDescent="0.25">
      <c r="A1278" s="272">
        <v>43365</v>
      </c>
      <c r="B1278" s="10" t="s">
        <v>2675</v>
      </c>
      <c r="C1278" s="11" t="s">
        <v>1816</v>
      </c>
      <c r="E1278" s="8">
        <v>66105</v>
      </c>
      <c r="G1278" s="6">
        <f t="shared" si="26"/>
        <v>66105</v>
      </c>
    </row>
    <row r="1279" spans="1:8" hidden="1" x14ac:dyDescent="0.25">
      <c r="A1279" s="272">
        <v>43365</v>
      </c>
      <c r="B1279" s="10" t="s">
        <v>1407</v>
      </c>
      <c r="C1279" s="11" t="s">
        <v>1816</v>
      </c>
      <c r="E1279" s="8">
        <v>11974</v>
      </c>
      <c r="G1279" s="6">
        <f t="shared" si="26"/>
        <v>11974</v>
      </c>
    </row>
    <row r="1280" spans="1:8" hidden="1" x14ac:dyDescent="0.25">
      <c r="A1280" s="272">
        <v>43370</v>
      </c>
      <c r="B1280" s="10" t="s">
        <v>1407</v>
      </c>
      <c r="C1280" s="11" t="s">
        <v>1816</v>
      </c>
      <c r="E1280" s="8">
        <v>1798</v>
      </c>
      <c r="G1280" s="6">
        <f t="shared" si="26"/>
        <v>1798</v>
      </c>
    </row>
    <row r="1281" spans="1:8" hidden="1" x14ac:dyDescent="0.25">
      <c r="A1281" s="272">
        <v>43372</v>
      </c>
      <c r="B1281" s="10" t="s">
        <v>2810</v>
      </c>
      <c r="C1281" s="11" t="s">
        <v>3696</v>
      </c>
      <c r="E1281" s="112"/>
      <c r="F1281" s="19">
        <v>759000</v>
      </c>
      <c r="G1281" s="6">
        <f t="shared" si="26"/>
        <v>-759000</v>
      </c>
      <c r="H1281" s="32" t="s">
        <v>3950</v>
      </c>
    </row>
    <row r="1282" spans="1:8" hidden="1" x14ac:dyDescent="0.25">
      <c r="A1282" s="272">
        <v>43372</v>
      </c>
      <c r="B1282" s="10" t="s">
        <v>2810</v>
      </c>
      <c r="C1282" s="11" t="s">
        <v>3696</v>
      </c>
      <c r="E1282" s="112"/>
      <c r="F1282" s="19">
        <v>121</v>
      </c>
      <c r="G1282" s="6">
        <f t="shared" si="26"/>
        <v>-121</v>
      </c>
      <c r="H1282" s="13" t="s">
        <v>3951</v>
      </c>
    </row>
    <row r="1283" spans="1:8" hidden="1" x14ac:dyDescent="0.25">
      <c r="A1283" s="272">
        <v>43372</v>
      </c>
      <c r="B1283" s="10" t="s">
        <v>2810</v>
      </c>
      <c r="C1283" s="11" t="s">
        <v>169</v>
      </c>
      <c r="E1283" s="112"/>
      <c r="F1283" s="113">
        <v>53365</v>
      </c>
      <c r="G1283" s="6">
        <f t="shared" si="26"/>
        <v>-53365</v>
      </c>
      <c r="H1283" s="81"/>
    </row>
    <row r="1284" spans="1:8" hidden="1"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hidden="1" x14ac:dyDescent="0.25">
      <c r="A1292" s="272">
        <v>43374</v>
      </c>
      <c r="B1292" s="10" t="s">
        <v>2675</v>
      </c>
      <c r="C1292" s="11" t="s">
        <v>1816</v>
      </c>
      <c r="F1292" s="9">
        <v>784000</v>
      </c>
      <c r="G1292" s="6">
        <f t="shared" si="26"/>
        <v>-784000</v>
      </c>
      <c r="H1292" s="32" t="s">
        <v>3961</v>
      </c>
    </row>
    <row r="1293" spans="1:8" hidden="1" x14ac:dyDescent="0.25">
      <c r="A1293" s="272">
        <v>43374</v>
      </c>
      <c r="B1293" s="10" t="s">
        <v>2675</v>
      </c>
      <c r="C1293" s="11" t="s">
        <v>1816</v>
      </c>
      <c r="F1293" s="9">
        <v>500000</v>
      </c>
      <c r="G1293" s="6">
        <f t="shared" si="26"/>
        <v>-500000</v>
      </c>
      <c r="H1293" s="32" t="s">
        <v>3962</v>
      </c>
    </row>
    <row r="1294" spans="1:8" hidden="1" x14ac:dyDescent="0.25">
      <c r="A1294" s="272">
        <v>43374</v>
      </c>
      <c r="B1294" s="10" t="s">
        <v>1407</v>
      </c>
      <c r="C1294" s="11" t="s">
        <v>166</v>
      </c>
      <c r="F1294" s="9">
        <v>600000</v>
      </c>
      <c r="G1294" s="6">
        <f t="shared" si="26"/>
        <v>-600000</v>
      </c>
      <c r="H1294" s="13" t="s">
        <v>3968</v>
      </c>
    </row>
    <row r="1295" spans="1:8" hidden="1" x14ac:dyDescent="0.25">
      <c r="A1295" s="272">
        <v>43370</v>
      </c>
      <c r="B1295" s="43" t="s">
        <v>3652</v>
      </c>
      <c r="C1295" s="11" t="s">
        <v>166</v>
      </c>
      <c r="E1295" s="8">
        <v>21500</v>
      </c>
      <c r="G1295" s="6">
        <f t="shared" si="26"/>
        <v>21500</v>
      </c>
    </row>
    <row r="1296" spans="1:8" hidden="1" x14ac:dyDescent="0.25">
      <c r="A1296" s="272">
        <v>43370</v>
      </c>
      <c r="B1296" s="10" t="s">
        <v>3765</v>
      </c>
      <c r="C1296" s="11" t="s">
        <v>166</v>
      </c>
      <c r="E1296" s="8">
        <v>21200</v>
      </c>
      <c r="G1296" s="6">
        <f t="shared" si="26"/>
        <v>21200</v>
      </c>
    </row>
    <row r="1297" spans="1:8" hidden="1" x14ac:dyDescent="0.25">
      <c r="A1297" s="272">
        <v>43374</v>
      </c>
      <c r="B1297" s="43" t="s">
        <v>3652</v>
      </c>
      <c r="C1297" s="11" t="s">
        <v>166</v>
      </c>
      <c r="E1297" s="8">
        <v>59200</v>
      </c>
      <c r="G1297" s="6">
        <f t="shared" si="26"/>
        <v>59200</v>
      </c>
    </row>
    <row r="1298" spans="1:8" ht="16.5" thickBot="1" x14ac:dyDescent="0.3">
      <c r="A1298" s="272">
        <v>43374</v>
      </c>
      <c r="B1298" s="10" t="s">
        <v>2957</v>
      </c>
      <c r="C1298" s="11" t="s">
        <v>168</v>
      </c>
      <c r="E1298" s="112"/>
      <c r="F1298" s="113">
        <v>749806</v>
      </c>
      <c r="G1298" s="6">
        <f t="shared" si="26"/>
        <v>-749806</v>
      </c>
      <c r="H1298" s="81" t="s">
        <v>3982</v>
      </c>
    </row>
    <row r="1299" spans="1:8" ht="16.5" hidden="1" thickBot="1" x14ac:dyDescent="0.3">
      <c r="A1299" s="272">
        <v>43374</v>
      </c>
      <c r="B1299" s="43" t="s">
        <v>3652</v>
      </c>
      <c r="C1299" s="11" t="s">
        <v>166</v>
      </c>
      <c r="E1299" s="112"/>
      <c r="F1299" s="114">
        <v>472900</v>
      </c>
      <c r="G1299" s="6">
        <f t="shared" si="26"/>
        <v>-472900</v>
      </c>
      <c r="H1299" s="81"/>
    </row>
    <row r="1300" spans="1:8" ht="16.5" hidden="1" thickBot="1" x14ac:dyDescent="0.3">
      <c r="A1300" s="272">
        <v>43374</v>
      </c>
      <c r="B1300" s="10" t="s">
        <v>1407</v>
      </c>
      <c r="C1300" s="11" t="s">
        <v>166</v>
      </c>
      <c r="E1300" s="112"/>
      <c r="F1300" s="114">
        <v>325125</v>
      </c>
      <c r="G1300" s="6">
        <f t="shared" si="26"/>
        <v>-325125</v>
      </c>
      <c r="H1300" s="82" t="s">
        <v>3983</v>
      </c>
    </row>
    <row r="1301" spans="1:8" ht="16.5" hidden="1" thickBot="1" x14ac:dyDescent="0.3">
      <c r="A1301" s="272">
        <v>43374</v>
      </c>
      <c r="B1301" s="10" t="s">
        <v>3765</v>
      </c>
      <c r="C1301" s="11" t="s">
        <v>166</v>
      </c>
      <c r="E1301" s="112"/>
      <c r="F1301" s="115">
        <f>806000-F1300-F1299</f>
        <v>7975</v>
      </c>
      <c r="G1301" s="6">
        <f t="shared" si="26"/>
        <v>-7975</v>
      </c>
      <c r="H1301" s="83"/>
    </row>
    <row r="1302" spans="1:8" ht="16.5" hidden="1" thickBot="1" x14ac:dyDescent="0.3">
      <c r="A1302" s="272">
        <v>43346</v>
      </c>
      <c r="B1302" s="10" t="s">
        <v>1407</v>
      </c>
      <c r="C1302" s="11" t="s">
        <v>166</v>
      </c>
      <c r="D1302" s="789"/>
      <c r="E1302" s="22">
        <v>98790</v>
      </c>
      <c r="F1302" s="287"/>
      <c r="G1302" s="6">
        <f t="shared" si="26"/>
        <v>98790</v>
      </c>
    </row>
    <row r="1303" spans="1:8" ht="16.5" hidden="1" thickBot="1" x14ac:dyDescent="0.3">
      <c r="A1303" s="272">
        <v>43383</v>
      </c>
      <c r="B1303" s="10" t="s">
        <v>3765</v>
      </c>
      <c r="C1303" s="11" t="s">
        <v>180</v>
      </c>
      <c r="D1303" s="789"/>
      <c r="E1303" s="290">
        <v>46840</v>
      </c>
      <c r="F1303" s="287"/>
      <c r="G1303" s="6">
        <f t="shared" si="26"/>
        <v>46840</v>
      </c>
    </row>
    <row r="1304" spans="1:8" ht="16.5" hidden="1" thickBot="1" x14ac:dyDescent="0.3">
      <c r="A1304" s="272">
        <v>43383</v>
      </c>
      <c r="B1304" s="10" t="s">
        <v>2957</v>
      </c>
      <c r="C1304" s="11" t="s">
        <v>180</v>
      </c>
      <c r="E1304" s="112"/>
      <c r="F1304" s="113">
        <v>500000</v>
      </c>
      <c r="G1304" s="6">
        <f t="shared" si="26"/>
        <v>-500000</v>
      </c>
      <c r="H1304" s="32" t="s">
        <v>3992</v>
      </c>
    </row>
    <row r="1305" spans="1:8" ht="16.5" hidden="1" thickBot="1" x14ac:dyDescent="0.3">
      <c r="A1305" s="272">
        <v>43383</v>
      </c>
      <c r="B1305" s="10" t="s">
        <v>2957</v>
      </c>
      <c r="C1305" s="11" t="s">
        <v>180</v>
      </c>
      <c r="E1305" s="112"/>
      <c r="F1305" s="115">
        <v>500000</v>
      </c>
      <c r="G1305" s="6">
        <f t="shared" si="26"/>
        <v>-500000</v>
      </c>
      <c r="H1305" s="32" t="s">
        <v>3991</v>
      </c>
    </row>
    <row r="1306" spans="1:8" ht="16.5" hidden="1" thickBot="1" x14ac:dyDescent="0.3">
      <c r="A1306" s="272">
        <v>43383</v>
      </c>
      <c r="B1306" s="10" t="s">
        <v>2675</v>
      </c>
      <c r="C1306" s="11" t="s">
        <v>1816</v>
      </c>
      <c r="E1306" s="112"/>
      <c r="F1306" s="113">
        <v>207927</v>
      </c>
      <c r="G1306" s="6">
        <f t="shared" si="26"/>
        <v>-207927</v>
      </c>
      <c r="H1306" s="7" t="s">
        <v>4068</v>
      </c>
    </row>
    <row r="1307" spans="1:8" ht="16.5" hidden="1" thickBot="1" x14ac:dyDescent="0.3">
      <c r="A1307" s="272">
        <v>43383</v>
      </c>
      <c r="B1307" s="10" t="s">
        <v>1407</v>
      </c>
      <c r="C1307" s="11" t="s">
        <v>1816</v>
      </c>
      <c r="E1307" s="112"/>
      <c r="F1307" s="115">
        <v>150637</v>
      </c>
      <c r="G1307" s="6">
        <f t="shared" si="26"/>
        <v>-150637</v>
      </c>
      <c r="H1307" s="7" t="s">
        <v>4068</v>
      </c>
    </row>
    <row r="1308" spans="1:8" ht="16.5" hidden="1" thickBot="1" x14ac:dyDescent="0.3">
      <c r="A1308" s="272">
        <v>43388</v>
      </c>
      <c r="B1308" s="10" t="s">
        <v>1407</v>
      </c>
      <c r="C1308" s="11" t="s">
        <v>1828</v>
      </c>
      <c r="D1308" s="789"/>
      <c r="E1308" s="288">
        <v>128475</v>
      </c>
      <c r="F1308" s="287"/>
      <c r="G1308" s="6">
        <f t="shared" si="26"/>
        <v>128475</v>
      </c>
    </row>
    <row r="1309" spans="1:8" ht="16.5" hidden="1" thickBot="1" x14ac:dyDescent="0.3">
      <c r="A1309" s="272">
        <v>43388</v>
      </c>
      <c r="B1309" s="10" t="s">
        <v>1407</v>
      </c>
      <c r="C1309" s="11" t="s">
        <v>1828</v>
      </c>
      <c r="D1309" s="789"/>
      <c r="E1309" s="290">
        <v>103000</v>
      </c>
      <c r="F1309" s="287"/>
      <c r="G1309" s="6">
        <f t="shared" si="26"/>
        <v>103000</v>
      </c>
    </row>
    <row r="1310" spans="1:8" ht="16.5" hidden="1" thickBot="1" x14ac:dyDescent="0.3">
      <c r="A1310" s="272">
        <v>43372</v>
      </c>
      <c r="B1310" s="10" t="s">
        <v>1407</v>
      </c>
      <c r="C1310" s="11" t="s">
        <v>164</v>
      </c>
      <c r="D1310" s="789"/>
      <c r="E1310" s="22">
        <v>4358</v>
      </c>
      <c r="F1310" s="287"/>
      <c r="G1310" s="6">
        <f t="shared" si="26"/>
        <v>4358</v>
      </c>
    </row>
    <row r="1311" spans="1:8" ht="16.5" hidden="1" thickBot="1" x14ac:dyDescent="0.3">
      <c r="A1311" s="272">
        <v>43372</v>
      </c>
      <c r="B1311" s="43" t="s">
        <v>3652</v>
      </c>
      <c r="C1311" s="11" t="s">
        <v>166</v>
      </c>
      <c r="D1311" s="789"/>
      <c r="E1311" s="288">
        <v>59200</v>
      </c>
      <c r="F1311" s="287"/>
      <c r="G1311" s="6">
        <f t="shared" si="26"/>
        <v>59200</v>
      </c>
    </row>
    <row r="1312" spans="1:8" ht="16.5" hidden="1" thickBot="1" x14ac:dyDescent="0.3">
      <c r="A1312" s="272">
        <v>43372</v>
      </c>
      <c r="B1312" s="10" t="s">
        <v>3765</v>
      </c>
      <c r="C1312" s="11" t="s">
        <v>166</v>
      </c>
      <c r="D1312" s="789"/>
      <c r="E1312" s="290">
        <v>8800</v>
      </c>
      <c r="F1312" s="287"/>
      <c r="G1312" s="6">
        <f t="shared" si="26"/>
        <v>8800</v>
      </c>
    </row>
    <row r="1313" spans="1:8" ht="16.5" hidden="1" thickBot="1" x14ac:dyDescent="0.3">
      <c r="A1313" s="272">
        <v>43389</v>
      </c>
      <c r="B1313" s="10" t="s">
        <v>1407</v>
      </c>
      <c r="C1313" s="11" t="s">
        <v>1828</v>
      </c>
      <c r="D1313" s="789"/>
      <c r="E1313" s="22">
        <v>27380</v>
      </c>
      <c r="F1313" s="287"/>
      <c r="G1313" s="6">
        <f t="shared" si="26"/>
        <v>27380</v>
      </c>
    </row>
    <row r="1314" spans="1:8" ht="16.5" hidden="1" thickBot="1" x14ac:dyDescent="0.3">
      <c r="A1314" s="272">
        <v>43389</v>
      </c>
      <c r="B1314" s="10" t="s">
        <v>2675</v>
      </c>
      <c r="C1314" s="11" t="s">
        <v>1816</v>
      </c>
      <c r="D1314" s="789"/>
      <c r="E1314" s="288">
        <v>7300</v>
      </c>
      <c r="F1314" s="287"/>
      <c r="G1314" s="6">
        <f t="shared" si="26"/>
        <v>7300</v>
      </c>
    </row>
    <row r="1315" spans="1:8" ht="16.5" hidden="1" thickBot="1" x14ac:dyDescent="0.3">
      <c r="A1315" s="272">
        <v>43389</v>
      </c>
      <c r="B1315" s="10" t="s">
        <v>1407</v>
      </c>
      <c r="C1315" s="11" t="s">
        <v>1816</v>
      </c>
      <c r="D1315" s="789"/>
      <c r="E1315" s="289">
        <v>1798</v>
      </c>
      <c r="F1315" s="287"/>
      <c r="G1315" s="6">
        <f t="shared" si="26"/>
        <v>1798</v>
      </c>
    </row>
    <row r="1316" spans="1:8" ht="16.5" hidden="1" thickBot="1" x14ac:dyDescent="0.3">
      <c r="A1316" s="272">
        <v>43389</v>
      </c>
      <c r="B1316" s="10" t="s">
        <v>1407</v>
      </c>
      <c r="C1316" s="11" t="s">
        <v>1816</v>
      </c>
      <c r="D1316" s="789"/>
      <c r="E1316" s="289">
        <v>4320</v>
      </c>
      <c r="F1316" s="287"/>
      <c r="G1316" s="6">
        <f t="shared" si="26"/>
        <v>4320</v>
      </c>
    </row>
    <row r="1317" spans="1:8" ht="16.5" hidden="1" thickBot="1" x14ac:dyDescent="0.3">
      <c r="A1317" s="272">
        <v>43389</v>
      </c>
      <c r="B1317" s="10" t="s">
        <v>1407</v>
      </c>
      <c r="C1317" s="11" t="s">
        <v>1816</v>
      </c>
      <c r="D1317" s="789"/>
      <c r="E1317" s="289">
        <v>680</v>
      </c>
      <c r="F1317" s="287"/>
      <c r="G1317" s="6">
        <f t="shared" si="26"/>
        <v>680</v>
      </c>
    </row>
    <row r="1318" spans="1:8" ht="16.5" hidden="1" thickBot="1" x14ac:dyDescent="0.3">
      <c r="A1318" s="272">
        <v>43389</v>
      </c>
      <c r="B1318" s="10" t="s">
        <v>2675</v>
      </c>
      <c r="C1318" s="11" t="s">
        <v>1816</v>
      </c>
      <c r="D1318" s="789"/>
      <c r="E1318" s="289">
        <v>15490</v>
      </c>
      <c r="F1318" s="287"/>
      <c r="G1318" s="6">
        <f t="shared" si="26"/>
        <v>15490</v>
      </c>
    </row>
    <row r="1319" spans="1:8" ht="16.5" hidden="1" thickBot="1" x14ac:dyDescent="0.3">
      <c r="A1319" s="272">
        <v>43389</v>
      </c>
      <c r="B1319" s="10" t="s">
        <v>1407</v>
      </c>
      <c r="C1319" s="11" t="s">
        <v>1816</v>
      </c>
      <c r="D1319" s="789"/>
      <c r="E1319" s="290">
        <v>7440</v>
      </c>
      <c r="F1319" s="287"/>
      <c r="G1319" s="6">
        <f t="shared" si="26"/>
        <v>7440</v>
      </c>
    </row>
    <row r="1320" spans="1:8" ht="16.5" hidden="1" thickBot="1" x14ac:dyDescent="0.3">
      <c r="A1320" s="272">
        <v>43391</v>
      </c>
      <c r="B1320" s="10" t="s">
        <v>1407</v>
      </c>
      <c r="C1320" s="11" t="s">
        <v>1828</v>
      </c>
      <c r="F1320" s="9">
        <v>500000</v>
      </c>
      <c r="G1320" s="6">
        <f t="shared" si="26"/>
        <v>-500000</v>
      </c>
      <c r="H1320" s="32" t="s">
        <v>4126</v>
      </c>
    </row>
    <row r="1321" spans="1:8" ht="16.5" hidden="1" thickBot="1" x14ac:dyDescent="0.3">
      <c r="A1321" s="272">
        <v>43391</v>
      </c>
      <c r="B1321" s="10" t="s">
        <v>1407</v>
      </c>
      <c r="C1321" s="11" t="s">
        <v>1816</v>
      </c>
      <c r="F1321" s="9">
        <v>142013</v>
      </c>
      <c r="G1321" s="6">
        <f t="shared" si="26"/>
        <v>-142013</v>
      </c>
      <c r="H1321" s="81"/>
    </row>
    <row r="1322" spans="1:8" ht="16.5" hidden="1" thickBot="1" x14ac:dyDescent="0.3">
      <c r="A1322" s="272">
        <v>43391</v>
      </c>
      <c r="B1322" s="10" t="s">
        <v>2675</v>
      </c>
      <c r="C1322" s="11" t="s">
        <v>1816</v>
      </c>
      <c r="F1322" s="9">
        <v>285845</v>
      </c>
      <c r="G1322" s="6">
        <f t="shared" si="26"/>
        <v>-285845</v>
      </c>
      <c r="H1322" s="82" t="s">
        <v>4126</v>
      </c>
    </row>
    <row r="1323" spans="1:8" ht="16.5" hidden="1" thickBot="1" x14ac:dyDescent="0.3">
      <c r="A1323" s="272">
        <v>43391</v>
      </c>
      <c r="B1323" s="10" t="s">
        <v>2675</v>
      </c>
      <c r="C1323" s="11" t="s">
        <v>1816</v>
      </c>
      <c r="F1323" s="9">
        <f>686000-F1322-F1321</f>
        <v>258142</v>
      </c>
      <c r="G1323" s="6">
        <f t="shared" si="26"/>
        <v>-258142</v>
      </c>
      <c r="H1323" s="82"/>
    </row>
    <row r="1324" spans="1:8" ht="16.5" hidden="1" thickBot="1" x14ac:dyDescent="0.3">
      <c r="A1324" s="272">
        <v>43391</v>
      </c>
      <c r="B1324" s="10" t="s">
        <v>1407</v>
      </c>
      <c r="C1324" s="11" t="s">
        <v>166</v>
      </c>
      <c r="F1324" s="9">
        <v>152489</v>
      </c>
      <c r="G1324" s="6">
        <f t="shared" si="26"/>
        <v>-152489</v>
      </c>
      <c r="H1324" s="81"/>
    </row>
    <row r="1325" spans="1:8" ht="16.5" hidden="1" thickBot="1" x14ac:dyDescent="0.3">
      <c r="A1325" s="272">
        <v>43391</v>
      </c>
      <c r="B1325" s="43" t="s">
        <v>2810</v>
      </c>
      <c r="C1325" s="11" t="s">
        <v>166</v>
      </c>
      <c r="F1325" s="9">
        <v>44094</v>
      </c>
      <c r="G1325" s="6">
        <f t="shared" si="26"/>
        <v>-44094</v>
      </c>
      <c r="H1325" s="82"/>
    </row>
    <row r="1326" spans="1:8" ht="16.5" hidden="1" thickBot="1" x14ac:dyDescent="0.3">
      <c r="A1326" s="272">
        <v>43391</v>
      </c>
      <c r="B1326" s="10" t="s">
        <v>3765</v>
      </c>
      <c r="C1326" s="11" t="s">
        <v>166</v>
      </c>
      <c r="F1326" s="9">
        <v>194441</v>
      </c>
      <c r="G1326" s="6">
        <f t="shared" si="26"/>
        <v>-194441</v>
      </c>
      <c r="H1326" s="82"/>
    </row>
    <row r="1327" spans="1:8" ht="16.5" hidden="1" thickBot="1" x14ac:dyDescent="0.3">
      <c r="A1327" s="272">
        <v>43391</v>
      </c>
      <c r="B1327" s="10" t="s">
        <v>2675</v>
      </c>
      <c r="C1327" s="11" t="s">
        <v>166</v>
      </c>
      <c r="F1327" s="9">
        <v>40100</v>
      </c>
      <c r="G1327" s="6">
        <f t="shared" si="26"/>
        <v>-40100</v>
      </c>
      <c r="H1327" s="82" t="s">
        <v>4126</v>
      </c>
    </row>
    <row r="1328" spans="1:8" ht="16.5" hidden="1" thickBot="1" x14ac:dyDescent="0.3">
      <c r="A1328" s="272">
        <v>43391</v>
      </c>
      <c r="B1328" s="10" t="s">
        <v>3652</v>
      </c>
      <c r="C1328" s="11" t="s">
        <v>166</v>
      </c>
      <c r="F1328" s="9">
        <v>153600</v>
      </c>
      <c r="G1328" s="6">
        <f t="shared" si="26"/>
        <v>-153600</v>
      </c>
      <c r="H1328" s="82"/>
    </row>
    <row r="1329" spans="1:8" ht="16.5" hidden="1" thickBot="1" x14ac:dyDescent="0.3">
      <c r="A1329" s="272">
        <v>43391</v>
      </c>
      <c r="B1329" s="10" t="s">
        <v>1407</v>
      </c>
      <c r="C1329" s="11" t="s">
        <v>166</v>
      </c>
      <c r="F1329" s="9">
        <f>700000-F1330-F1328-F1327-F1326-F1325-F1324</f>
        <v>25276</v>
      </c>
      <c r="G1329" s="6">
        <f t="shared" si="26"/>
        <v>-25276</v>
      </c>
      <c r="H1329" s="82"/>
    </row>
    <row r="1330" spans="1:8" ht="16.5" hidden="1" thickBot="1" x14ac:dyDescent="0.3">
      <c r="A1330" s="272">
        <v>43391</v>
      </c>
      <c r="B1330" s="10" t="s">
        <v>2957</v>
      </c>
      <c r="C1330" s="11" t="s">
        <v>166</v>
      </c>
      <c r="F1330" s="9">
        <v>90000</v>
      </c>
      <c r="G1330" s="6">
        <f t="shared" si="26"/>
        <v>-90000</v>
      </c>
      <c r="H1330" s="83"/>
    </row>
    <row r="1331" spans="1:8" ht="16.5" hidden="1" thickBot="1" x14ac:dyDescent="0.3">
      <c r="A1331" s="272">
        <v>43400</v>
      </c>
      <c r="B1331" s="10" t="s">
        <v>2957</v>
      </c>
      <c r="C1331" s="11" t="s">
        <v>180</v>
      </c>
      <c r="E1331" s="8">
        <v>2464000</v>
      </c>
      <c r="G1331" s="6">
        <f t="shared" si="26"/>
        <v>2464000</v>
      </c>
    </row>
    <row r="1332" spans="1:8" ht="16.5" hidden="1"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hidden="1" x14ac:dyDescent="0.25">
      <c r="A1334" s="272">
        <v>43400</v>
      </c>
      <c r="B1334" s="10" t="s">
        <v>2810</v>
      </c>
      <c r="C1334" s="11" t="s">
        <v>3039</v>
      </c>
      <c r="F1334" s="9">
        <v>38432</v>
      </c>
      <c r="G1334" s="6">
        <f t="shared" si="26"/>
        <v>-38432</v>
      </c>
      <c r="H1334" s="81"/>
    </row>
    <row r="1335" spans="1:8" hidden="1" x14ac:dyDescent="0.25">
      <c r="A1335" s="272">
        <v>43400</v>
      </c>
      <c r="B1335" s="10" t="s">
        <v>2957</v>
      </c>
      <c r="C1335" s="11" t="s">
        <v>3039</v>
      </c>
      <c r="F1335" s="9">
        <f>50000-F1334</f>
        <v>11568</v>
      </c>
      <c r="G1335" s="6">
        <f t="shared" si="26"/>
        <v>-11568</v>
      </c>
      <c r="H1335" s="83" t="s">
        <v>4178</v>
      </c>
    </row>
    <row r="1336" spans="1:8" hidden="1" x14ac:dyDescent="0.25">
      <c r="A1336" s="272">
        <v>43410</v>
      </c>
      <c r="B1336" s="10" t="s">
        <v>2957</v>
      </c>
      <c r="C1336" s="11" t="s">
        <v>180</v>
      </c>
      <c r="F1336" s="9">
        <v>1000000</v>
      </c>
      <c r="G1336" s="6">
        <f t="shared" si="26"/>
        <v>-1000000</v>
      </c>
      <c r="H1336" s="83" t="s">
        <v>4191</v>
      </c>
    </row>
    <row r="1337" spans="1:8" hidden="1" x14ac:dyDescent="0.25">
      <c r="A1337" s="272">
        <v>43410</v>
      </c>
      <c r="B1337" s="10" t="s">
        <v>1407</v>
      </c>
      <c r="C1337" s="11" t="s">
        <v>1828</v>
      </c>
      <c r="E1337" s="299">
        <v>135880</v>
      </c>
      <c r="G1337" s="6">
        <f t="shared" si="26"/>
        <v>135880</v>
      </c>
    </row>
    <row r="1338" spans="1:8" hidden="1" x14ac:dyDescent="0.25">
      <c r="A1338" s="272">
        <v>43410</v>
      </c>
      <c r="B1338" s="10" t="s">
        <v>1407</v>
      </c>
      <c r="C1338" s="11" t="s">
        <v>1828</v>
      </c>
      <c r="E1338" s="8">
        <v>15332</v>
      </c>
      <c r="G1338" s="6">
        <f t="shared" si="26"/>
        <v>15332</v>
      </c>
    </row>
    <row r="1339" spans="1:8" hidden="1" x14ac:dyDescent="0.25">
      <c r="A1339" s="272">
        <v>43410</v>
      </c>
      <c r="B1339" s="10" t="s">
        <v>1407</v>
      </c>
      <c r="C1339" s="11" t="s">
        <v>1828</v>
      </c>
      <c r="E1339" s="8">
        <v>41120</v>
      </c>
      <c r="G1339" s="6">
        <f t="shared" si="26"/>
        <v>41120</v>
      </c>
    </row>
    <row r="1340" spans="1:8" ht="16.5" hidden="1" thickBot="1" x14ac:dyDescent="0.3">
      <c r="A1340" s="272">
        <v>43410</v>
      </c>
      <c r="B1340" s="10" t="s">
        <v>1407</v>
      </c>
      <c r="C1340" s="11" t="s">
        <v>1828</v>
      </c>
      <c r="E1340" s="300">
        <v>173696</v>
      </c>
      <c r="G1340" s="6">
        <f t="shared" si="26"/>
        <v>173696</v>
      </c>
    </row>
    <row r="1341" spans="1:8" hidden="1" x14ac:dyDescent="0.25">
      <c r="A1341" s="272">
        <v>43410</v>
      </c>
      <c r="B1341" s="10" t="s">
        <v>2957</v>
      </c>
      <c r="C1341" s="11" t="s">
        <v>3039</v>
      </c>
      <c r="E1341" s="299">
        <v>218805</v>
      </c>
      <c r="G1341" s="6">
        <f t="shared" si="26"/>
        <v>218805</v>
      </c>
    </row>
    <row r="1342" spans="1:8" hidden="1" x14ac:dyDescent="0.25">
      <c r="A1342" s="272">
        <v>43414</v>
      </c>
      <c r="B1342" s="10" t="s">
        <v>2675</v>
      </c>
      <c r="C1342" s="11" t="s">
        <v>1816</v>
      </c>
      <c r="D1342" s="789"/>
      <c r="E1342" s="299">
        <v>29089</v>
      </c>
      <c r="F1342" s="287"/>
      <c r="G1342" s="6">
        <f t="shared" si="26"/>
        <v>29089</v>
      </c>
    </row>
    <row r="1343" spans="1:8" hidden="1" x14ac:dyDescent="0.25">
      <c r="A1343" s="272">
        <v>43414</v>
      </c>
      <c r="B1343" s="10" t="s">
        <v>3765</v>
      </c>
      <c r="C1343" s="11" t="s">
        <v>1816</v>
      </c>
      <c r="D1343" s="789"/>
      <c r="E1343" s="8">
        <v>2039</v>
      </c>
      <c r="F1343" s="287"/>
      <c r="G1343" s="6">
        <f t="shared" si="26"/>
        <v>2039</v>
      </c>
    </row>
    <row r="1344" spans="1:8" hidden="1" x14ac:dyDescent="0.25">
      <c r="A1344" s="272">
        <v>43414</v>
      </c>
      <c r="B1344" s="10" t="s">
        <v>2957</v>
      </c>
      <c r="C1344" s="11" t="s">
        <v>1816</v>
      </c>
      <c r="D1344" s="789"/>
      <c r="E1344" s="8">
        <v>113159</v>
      </c>
      <c r="F1344" s="287"/>
      <c r="G1344" s="6">
        <f t="shared" si="26"/>
        <v>113159</v>
      </c>
    </row>
    <row r="1345" spans="1:8" hidden="1" x14ac:dyDescent="0.25">
      <c r="A1345" s="272">
        <v>43414</v>
      </c>
      <c r="B1345" s="10" t="s">
        <v>1407</v>
      </c>
      <c r="C1345" s="11" t="s">
        <v>1816</v>
      </c>
      <c r="D1345" s="789"/>
      <c r="E1345" s="8">
        <v>4179</v>
      </c>
      <c r="F1345" s="287"/>
      <c r="G1345" s="6">
        <f t="shared" si="26"/>
        <v>4179</v>
      </c>
    </row>
    <row r="1346" spans="1:8" hidden="1" x14ac:dyDescent="0.25">
      <c r="A1346" s="272">
        <v>43414</v>
      </c>
      <c r="B1346" s="10" t="s">
        <v>2957</v>
      </c>
      <c r="C1346" s="11" t="s">
        <v>1816</v>
      </c>
      <c r="D1346" s="789"/>
      <c r="E1346" s="8">
        <v>28884</v>
      </c>
      <c r="F1346" s="287"/>
      <c r="G1346" s="6">
        <f t="shared" si="26"/>
        <v>28884</v>
      </c>
    </row>
    <row r="1347" spans="1:8" hidden="1" x14ac:dyDescent="0.25">
      <c r="A1347" s="272">
        <v>43414</v>
      </c>
      <c r="B1347" s="10" t="s">
        <v>2675</v>
      </c>
      <c r="C1347" s="11" t="s">
        <v>1816</v>
      </c>
      <c r="D1347" s="789"/>
      <c r="E1347" s="8">
        <v>9985</v>
      </c>
      <c r="F1347" s="287"/>
      <c r="G1347" s="6">
        <f t="shared" si="26"/>
        <v>9985</v>
      </c>
    </row>
    <row r="1348" spans="1:8" hidden="1" x14ac:dyDescent="0.25">
      <c r="A1348" s="272">
        <v>43414</v>
      </c>
      <c r="B1348" s="10" t="s">
        <v>1407</v>
      </c>
      <c r="C1348" s="11" t="s">
        <v>1816</v>
      </c>
      <c r="D1348" s="789"/>
      <c r="E1348" s="8">
        <v>38080</v>
      </c>
      <c r="F1348" s="287"/>
      <c r="G1348" s="6">
        <f t="shared" si="26"/>
        <v>38080</v>
      </c>
    </row>
    <row r="1349" spans="1:8" hidden="1" x14ac:dyDescent="0.25">
      <c r="A1349" s="272">
        <v>43414</v>
      </c>
      <c r="B1349" s="10" t="s">
        <v>2675</v>
      </c>
      <c r="C1349" s="11" t="s">
        <v>1816</v>
      </c>
      <c r="D1349" s="789"/>
      <c r="E1349" s="8">
        <v>2376</v>
      </c>
      <c r="F1349" s="287"/>
      <c r="G1349" s="6">
        <f t="shared" si="26"/>
        <v>2376</v>
      </c>
    </row>
    <row r="1350" spans="1:8" hidden="1" x14ac:dyDescent="0.25">
      <c r="A1350" s="272">
        <v>43414</v>
      </c>
      <c r="B1350" s="10" t="s">
        <v>1407</v>
      </c>
      <c r="C1350" s="11" t="s">
        <v>1816</v>
      </c>
      <c r="D1350" s="789"/>
      <c r="E1350" s="8">
        <v>9053</v>
      </c>
      <c r="F1350" s="287"/>
      <c r="G1350" s="6">
        <f t="shared" si="26"/>
        <v>9053</v>
      </c>
    </row>
    <row r="1351" spans="1:8" hidden="1" x14ac:dyDescent="0.25">
      <c r="A1351" s="272">
        <v>43414</v>
      </c>
      <c r="B1351" s="10" t="s">
        <v>2675</v>
      </c>
      <c r="C1351" s="11" t="s">
        <v>1816</v>
      </c>
      <c r="D1351" s="789"/>
      <c r="E1351" s="8">
        <v>37796</v>
      </c>
      <c r="F1351" s="287"/>
      <c r="G1351" s="6">
        <f t="shared" si="26"/>
        <v>37796</v>
      </c>
    </row>
    <row r="1352" spans="1:8" ht="16.5" hidden="1" thickBot="1" x14ac:dyDescent="0.3">
      <c r="A1352" s="272">
        <v>43414</v>
      </c>
      <c r="B1352" s="10" t="s">
        <v>1407</v>
      </c>
      <c r="C1352" s="11" t="s">
        <v>1816</v>
      </c>
      <c r="D1352" s="789"/>
      <c r="E1352" s="300">
        <v>19052</v>
      </c>
      <c r="F1352" s="287"/>
      <c r="G1352" s="6">
        <f t="shared" si="26"/>
        <v>19052</v>
      </c>
    </row>
    <row r="1353" spans="1:8" ht="16.5" hidden="1" thickBot="1" x14ac:dyDescent="0.3">
      <c r="A1353" s="272">
        <v>43414</v>
      </c>
      <c r="B1353" s="10" t="s">
        <v>1407</v>
      </c>
      <c r="C1353" s="11" t="s">
        <v>164</v>
      </c>
      <c r="D1353" s="789"/>
      <c r="E1353" s="301">
        <v>34736</v>
      </c>
      <c r="F1353" s="287"/>
      <c r="G1353" s="6">
        <f t="shared" si="26"/>
        <v>34736</v>
      </c>
    </row>
    <row r="1354" spans="1:8" hidden="1" x14ac:dyDescent="0.25">
      <c r="A1354" s="272">
        <v>43414</v>
      </c>
      <c r="B1354" s="10" t="s">
        <v>1407</v>
      </c>
      <c r="C1354" s="11" t="s">
        <v>166</v>
      </c>
      <c r="E1354" s="299">
        <v>40000</v>
      </c>
      <c r="G1354" s="6">
        <f t="shared" si="26"/>
        <v>40000</v>
      </c>
      <c r="H1354" s="7" t="s">
        <v>4241</v>
      </c>
    </row>
    <row r="1355" spans="1:8" ht="16.5" hidden="1" thickBot="1" x14ac:dyDescent="0.3">
      <c r="A1355" s="272">
        <v>43414</v>
      </c>
      <c r="B1355" s="10" t="s">
        <v>1407</v>
      </c>
      <c r="C1355" s="11" t="s">
        <v>166</v>
      </c>
      <c r="E1355" s="300">
        <v>12216</v>
      </c>
      <c r="G1355" s="6">
        <f t="shared" si="26"/>
        <v>12216</v>
      </c>
    </row>
    <row r="1356" spans="1:8" hidden="1" x14ac:dyDescent="0.25">
      <c r="A1356" s="272">
        <v>43421</v>
      </c>
      <c r="B1356" s="10" t="s">
        <v>3652</v>
      </c>
      <c r="C1356" s="11" t="s">
        <v>166</v>
      </c>
      <c r="E1356" s="8">
        <v>22200</v>
      </c>
      <c r="G1356" s="6">
        <f t="shared" si="26"/>
        <v>22200</v>
      </c>
    </row>
    <row r="1357" spans="1:8" hidden="1" x14ac:dyDescent="0.25">
      <c r="A1357" s="272">
        <v>43433</v>
      </c>
      <c r="B1357" s="10" t="s">
        <v>2957</v>
      </c>
      <c r="C1357" s="11" t="s">
        <v>3039</v>
      </c>
      <c r="F1357" s="9">
        <v>207000</v>
      </c>
      <c r="G1357" s="6">
        <f t="shared" si="26"/>
        <v>-207000</v>
      </c>
      <c r="H1357" s="32" t="s">
        <v>4236</v>
      </c>
    </row>
    <row r="1358" spans="1:8" hidden="1" x14ac:dyDescent="0.25">
      <c r="A1358" s="272">
        <v>43433</v>
      </c>
      <c r="B1358" s="10" t="s">
        <v>2957</v>
      </c>
      <c r="C1358" s="11" t="s">
        <v>3039</v>
      </c>
      <c r="F1358" s="9">
        <v>237</v>
      </c>
      <c r="G1358" s="6">
        <f t="shared" si="26"/>
        <v>-237</v>
      </c>
      <c r="H1358" s="127"/>
    </row>
    <row r="1359" spans="1:8" hidden="1" x14ac:dyDescent="0.25">
      <c r="A1359" s="272">
        <v>43433</v>
      </c>
      <c r="B1359" s="10" t="s">
        <v>1407</v>
      </c>
      <c r="C1359" s="11" t="s">
        <v>164</v>
      </c>
      <c r="E1359" s="8">
        <v>1221</v>
      </c>
      <c r="G1359" s="6">
        <f t="shared" si="26"/>
        <v>1221</v>
      </c>
    </row>
    <row r="1360" spans="1:8" hidden="1"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hidden="1" x14ac:dyDescent="0.25">
      <c r="A1362" s="272">
        <v>43442</v>
      </c>
      <c r="B1362" s="10" t="s">
        <v>2675</v>
      </c>
      <c r="C1362" s="11" t="s">
        <v>1816</v>
      </c>
      <c r="E1362" s="9">
        <v>12145</v>
      </c>
      <c r="G1362" s="6">
        <f t="shared" si="26"/>
        <v>12145</v>
      </c>
    </row>
    <row r="1363" spans="1:7" hidden="1" x14ac:dyDescent="0.25">
      <c r="A1363" s="272">
        <v>43442</v>
      </c>
      <c r="B1363" s="10" t="s">
        <v>1407</v>
      </c>
      <c r="C1363" s="11" t="s">
        <v>1816</v>
      </c>
      <c r="E1363" s="9">
        <v>3300</v>
      </c>
      <c r="G1363" s="6">
        <f t="shared" ref="G1363:G1489" si="27">E1363-F1363</f>
        <v>3300</v>
      </c>
    </row>
    <row r="1364" spans="1:7" hidden="1" x14ac:dyDescent="0.25">
      <c r="A1364" s="272">
        <v>43442</v>
      </c>
      <c r="B1364" s="10" t="s">
        <v>2957</v>
      </c>
      <c r="C1364" s="11" t="s">
        <v>1816</v>
      </c>
      <c r="E1364" s="9">
        <v>9450</v>
      </c>
      <c r="G1364" s="6">
        <f t="shared" si="27"/>
        <v>9450</v>
      </c>
    </row>
    <row r="1365" spans="1:7" hidden="1" x14ac:dyDescent="0.25">
      <c r="A1365" s="272">
        <v>43442</v>
      </c>
      <c r="B1365" s="10" t="s">
        <v>2675</v>
      </c>
      <c r="C1365" s="11" t="s">
        <v>1816</v>
      </c>
      <c r="E1365" s="9">
        <v>2988</v>
      </c>
      <c r="G1365" s="6">
        <f t="shared" si="27"/>
        <v>2988</v>
      </c>
    </row>
    <row r="1366" spans="1:7" hidden="1" x14ac:dyDescent="0.25">
      <c r="A1366" s="272">
        <v>43442</v>
      </c>
      <c r="B1366" s="10" t="s">
        <v>1407</v>
      </c>
      <c r="C1366" s="11" t="s">
        <v>1816</v>
      </c>
      <c r="E1366" s="9">
        <v>2250</v>
      </c>
      <c r="G1366" s="6">
        <f t="shared" si="27"/>
        <v>2250</v>
      </c>
    </row>
    <row r="1367" spans="1:7" hidden="1" x14ac:dyDescent="0.25">
      <c r="A1367" s="272">
        <v>43442</v>
      </c>
      <c r="B1367" s="10" t="s">
        <v>1407</v>
      </c>
      <c r="C1367" s="11" t="s">
        <v>1816</v>
      </c>
      <c r="E1367" s="9">
        <v>12526</v>
      </c>
      <c r="G1367" s="6">
        <f t="shared" si="27"/>
        <v>12526</v>
      </c>
    </row>
    <row r="1368" spans="1:7" hidden="1" x14ac:dyDescent="0.25">
      <c r="A1368" s="272">
        <v>43442</v>
      </c>
      <c r="B1368" s="10" t="s">
        <v>1407</v>
      </c>
      <c r="C1368" s="11" t="s">
        <v>1816</v>
      </c>
      <c r="E1368" s="9">
        <v>4560</v>
      </c>
      <c r="G1368" s="6">
        <f t="shared" si="27"/>
        <v>4560</v>
      </c>
    </row>
    <row r="1369" spans="1:7" hidden="1" x14ac:dyDescent="0.25">
      <c r="A1369" s="272">
        <v>43442</v>
      </c>
      <c r="B1369" s="10" t="s">
        <v>2675</v>
      </c>
      <c r="C1369" s="11" t="s">
        <v>1816</v>
      </c>
      <c r="E1369" s="9">
        <v>87188</v>
      </c>
      <c r="G1369" s="6">
        <f t="shared" si="27"/>
        <v>87188</v>
      </c>
    </row>
    <row r="1370" spans="1:7" hidden="1" x14ac:dyDescent="0.25">
      <c r="A1370" s="272">
        <v>43442</v>
      </c>
      <c r="B1370" s="10" t="s">
        <v>1407</v>
      </c>
      <c r="C1370" s="11" t="s">
        <v>1816</v>
      </c>
      <c r="E1370" s="9">
        <v>16560</v>
      </c>
      <c r="G1370" s="6">
        <f t="shared" si="27"/>
        <v>16560</v>
      </c>
    </row>
    <row r="1371" spans="1:7" hidden="1" x14ac:dyDescent="0.25">
      <c r="A1371" s="272">
        <v>43442</v>
      </c>
      <c r="B1371" s="10" t="s">
        <v>2957</v>
      </c>
      <c r="C1371" s="11" t="s">
        <v>3039</v>
      </c>
      <c r="E1371" s="8">
        <v>42500</v>
      </c>
      <c r="G1371" s="6">
        <f t="shared" si="27"/>
        <v>42500</v>
      </c>
    </row>
    <row r="1372" spans="1:7" hidden="1" x14ac:dyDescent="0.25">
      <c r="A1372" s="272">
        <v>43442</v>
      </c>
      <c r="B1372" s="10" t="s">
        <v>2810</v>
      </c>
      <c r="C1372" s="11" t="s">
        <v>3039</v>
      </c>
      <c r="E1372" s="8">
        <v>42500</v>
      </c>
      <c r="G1372" s="6">
        <f t="shared" si="27"/>
        <v>42500</v>
      </c>
    </row>
    <row r="1373" spans="1:7" hidden="1" x14ac:dyDescent="0.25">
      <c r="A1373" s="272">
        <v>43442</v>
      </c>
      <c r="B1373" s="10" t="s">
        <v>3765</v>
      </c>
      <c r="C1373" s="11" t="s">
        <v>3039</v>
      </c>
      <c r="E1373" s="8">
        <v>75000</v>
      </c>
      <c r="G1373" s="6">
        <f t="shared" si="27"/>
        <v>75000</v>
      </c>
    </row>
    <row r="1374" spans="1:7" hidden="1" x14ac:dyDescent="0.25">
      <c r="A1374" s="272">
        <v>43442</v>
      </c>
      <c r="B1374" s="10" t="s">
        <v>2675</v>
      </c>
      <c r="C1374" s="11" t="s">
        <v>3039</v>
      </c>
      <c r="E1374" s="8">
        <v>30000</v>
      </c>
      <c r="G1374" s="6">
        <f t="shared" si="27"/>
        <v>30000</v>
      </c>
    </row>
    <row r="1375" spans="1:7" hidden="1"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hidden="1" x14ac:dyDescent="0.25">
      <c r="A1377" s="272">
        <v>43456</v>
      </c>
      <c r="B1377" s="10" t="s">
        <v>2675</v>
      </c>
      <c r="C1377" s="11" t="s">
        <v>1816</v>
      </c>
      <c r="E1377" s="8">
        <v>9381</v>
      </c>
      <c r="G1377" s="6">
        <f t="shared" si="27"/>
        <v>9381</v>
      </c>
    </row>
    <row r="1378" spans="1:7" hidden="1" x14ac:dyDescent="0.25">
      <c r="A1378" s="272">
        <v>43456</v>
      </c>
      <c r="B1378" s="10" t="s">
        <v>2675</v>
      </c>
      <c r="C1378" s="11" t="s">
        <v>1816</v>
      </c>
      <c r="E1378" s="8">
        <v>77473</v>
      </c>
      <c r="G1378" s="6">
        <f t="shared" si="27"/>
        <v>77473</v>
      </c>
    </row>
    <row r="1379" spans="1:7" hidden="1" x14ac:dyDescent="0.25">
      <c r="A1379" s="272">
        <v>43456</v>
      </c>
      <c r="B1379" s="10" t="s">
        <v>2675</v>
      </c>
      <c r="C1379" s="11" t="s">
        <v>1816</v>
      </c>
      <c r="E1379" s="8">
        <v>138695</v>
      </c>
      <c r="G1379" s="6">
        <f t="shared" si="27"/>
        <v>138695</v>
      </c>
    </row>
    <row r="1380" spans="1:7" hidden="1" x14ac:dyDescent="0.25">
      <c r="A1380" s="272">
        <v>43456</v>
      </c>
      <c r="B1380" s="10" t="s">
        <v>2675</v>
      </c>
      <c r="C1380" s="11" t="s">
        <v>1816</v>
      </c>
      <c r="E1380" s="8">
        <v>31694</v>
      </c>
      <c r="G1380" s="6">
        <f t="shared" si="27"/>
        <v>31694</v>
      </c>
    </row>
    <row r="1381" spans="1:7" hidden="1" x14ac:dyDescent="0.25">
      <c r="A1381" s="272">
        <v>43456</v>
      </c>
      <c r="B1381" s="10" t="s">
        <v>2675</v>
      </c>
      <c r="C1381" s="11" t="s">
        <v>1816</v>
      </c>
      <c r="E1381" s="8">
        <v>34809</v>
      </c>
      <c r="G1381" s="6">
        <f t="shared" si="27"/>
        <v>34809</v>
      </c>
    </row>
    <row r="1382" spans="1:7" hidden="1" x14ac:dyDescent="0.25">
      <c r="A1382" s="272">
        <v>43456</v>
      </c>
      <c r="B1382" s="10" t="s">
        <v>2675</v>
      </c>
      <c r="C1382" s="11" t="s">
        <v>1816</v>
      </c>
      <c r="E1382" s="8">
        <v>34809</v>
      </c>
      <c r="G1382" s="6">
        <f t="shared" si="27"/>
        <v>34809</v>
      </c>
    </row>
    <row r="1383" spans="1:7" hidden="1"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hidden="1" x14ac:dyDescent="0.25">
      <c r="A1385" s="272">
        <v>43466</v>
      </c>
      <c r="B1385" s="10" t="s">
        <v>1407</v>
      </c>
      <c r="C1385" s="11" t="s">
        <v>1828</v>
      </c>
      <c r="E1385" s="8">
        <v>99008</v>
      </c>
      <c r="G1385" s="6">
        <f t="shared" si="27"/>
        <v>99008</v>
      </c>
    </row>
    <row r="1386" spans="1:7" hidden="1" x14ac:dyDescent="0.25">
      <c r="A1386" s="272">
        <v>43466</v>
      </c>
      <c r="B1386" s="10" t="s">
        <v>2810</v>
      </c>
      <c r="C1386" s="11" t="s">
        <v>166</v>
      </c>
      <c r="E1386" s="8">
        <v>7878</v>
      </c>
      <c r="G1386" s="6">
        <f t="shared" si="27"/>
        <v>7878</v>
      </c>
    </row>
    <row r="1387" spans="1:7" hidden="1" x14ac:dyDescent="0.25">
      <c r="A1387" s="272">
        <v>43466</v>
      </c>
      <c r="B1387" s="10" t="s">
        <v>2957</v>
      </c>
      <c r="C1387" s="11" t="s">
        <v>166</v>
      </c>
      <c r="E1387" s="8">
        <v>10000</v>
      </c>
      <c r="G1387" s="6">
        <f t="shared" si="27"/>
        <v>10000</v>
      </c>
    </row>
    <row r="1388" spans="1:7" hidden="1" x14ac:dyDescent="0.25">
      <c r="A1388" s="272">
        <v>43470</v>
      </c>
      <c r="B1388" s="10" t="s">
        <v>1407</v>
      </c>
      <c r="C1388" s="11" t="s">
        <v>1816</v>
      </c>
      <c r="E1388" s="8">
        <v>5840</v>
      </c>
      <c r="G1388" s="6">
        <f t="shared" si="27"/>
        <v>5840</v>
      </c>
    </row>
    <row r="1389" spans="1:7" hidden="1" x14ac:dyDescent="0.25">
      <c r="A1389" s="272">
        <v>43470</v>
      </c>
      <c r="B1389" s="10" t="s">
        <v>1407</v>
      </c>
      <c r="C1389" s="11" t="s">
        <v>1816</v>
      </c>
      <c r="E1389" s="8">
        <v>3148</v>
      </c>
      <c r="G1389" s="6">
        <f t="shared" si="27"/>
        <v>3148</v>
      </c>
    </row>
    <row r="1390" spans="1:7" hidden="1" x14ac:dyDescent="0.25">
      <c r="A1390" s="272">
        <v>43470</v>
      </c>
      <c r="B1390" s="10" t="s">
        <v>1407</v>
      </c>
      <c r="C1390" s="11" t="s">
        <v>1816</v>
      </c>
      <c r="E1390" s="8">
        <v>9792</v>
      </c>
      <c r="G1390" s="6">
        <f t="shared" si="27"/>
        <v>9792</v>
      </c>
    </row>
    <row r="1391" spans="1:7" hidden="1" x14ac:dyDescent="0.25">
      <c r="A1391" s="272">
        <v>43470</v>
      </c>
      <c r="B1391" s="10" t="s">
        <v>2675</v>
      </c>
      <c r="C1391" s="11" t="s">
        <v>1816</v>
      </c>
      <c r="E1391" s="8">
        <v>41724</v>
      </c>
      <c r="G1391" s="6">
        <f t="shared" si="27"/>
        <v>41724</v>
      </c>
    </row>
    <row r="1392" spans="1:7" hidden="1" x14ac:dyDescent="0.25">
      <c r="A1392" s="272">
        <v>43470</v>
      </c>
      <c r="B1392" s="10" t="s">
        <v>1407</v>
      </c>
      <c r="C1392" s="11" t="s">
        <v>1816</v>
      </c>
      <c r="E1392" s="8">
        <v>7814</v>
      </c>
      <c r="G1392" s="6">
        <f t="shared" si="27"/>
        <v>7814</v>
      </c>
    </row>
    <row r="1393" spans="1:8" hidden="1" x14ac:dyDescent="0.25">
      <c r="A1393" s="272">
        <v>43470</v>
      </c>
      <c r="B1393" s="10" t="s">
        <v>2675</v>
      </c>
      <c r="C1393" s="11" t="s">
        <v>1816</v>
      </c>
      <c r="E1393" s="8">
        <v>93325</v>
      </c>
      <c r="G1393" s="6">
        <f t="shared" si="27"/>
        <v>93325</v>
      </c>
    </row>
    <row r="1394" spans="1:8" hidden="1" x14ac:dyDescent="0.25">
      <c r="A1394" s="272">
        <v>43470</v>
      </c>
      <c r="B1394" s="10" t="s">
        <v>2675</v>
      </c>
      <c r="C1394" s="11" t="s">
        <v>1816</v>
      </c>
      <c r="E1394" s="8">
        <v>2505</v>
      </c>
      <c r="G1394" s="6">
        <f t="shared" si="27"/>
        <v>2505</v>
      </c>
    </row>
    <row r="1395" spans="1:8" hidden="1" x14ac:dyDescent="0.25">
      <c r="A1395" s="272">
        <v>43470</v>
      </c>
      <c r="B1395" s="10" t="s">
        <v>2675</v>
      </c>
      <c r="C1395" s="11" t="s">
        <v>1816</v>
      </c>
      <c r="E1395" s="8">
        <v>137108</v>
      </c>
      <c r="G1395" s="6">
        <f t="shared" si="27"/>
        <v>137108</v>
      </c>
    </row>
    <row r="1396" spans="1:8" hidden="1" x14ac:dyDescent="0.25">
      <c r="A1396" s="272">
        <v>43470</v>
      </c>
      <c r="B1396" s="10" t="s">
        <v>3765</v>
      </c>
      <c r="C1396" s="11" t="s">
        <v>3039</v>
      </c>
      <c r="F1396" s="303">
        <v>75000</v>
      </c>
      <c r="G1396" s="6">
        <f t="shared" si="27"/>
        <v>-75000</v>
      </c>
      <c r="H1396" s="81"/>
    </row>
    <row r="1397" spans="1:8" hidden="1" x14ac:dyDescent="0.25">
      <c r="A1397" s="272">
        <v>43470</v>
      </c>
      <c r="B1397" s="10" t="s">
        <v>2957</v>
      </c>
      <c r="C1397" s="11" t="s">
        <v>3039</v>
      </c>
      <c r="F1397" s="9">
        <v>42500</v>
      </c>
      <c r="G1397" s="6">
        <f t="shared" si="27"/>
        <v>-42500</v>
      </c>
      <c r="H1397" s="82" t="s">
        <v>4394</v>
      </c>
    </row>
    <row r="1398" spans="1:8" hidden="1" x14ac:dyDescent="0.25">
      <c r="A1398" s="272">
        <v>43470</v>
      </c>
      <c r="B1398" s="10" t="s">
        <v>2810</v>
      </c>
      <c r="C1398" s="11" t="s">
        <v>3039</v>
      </c>
      <c r="F1398" s="9">
        <v>42500</v>
      </c>
      <c r="G1398" s="6">
        <f t="shared" si="27"/>
        <v>-42500</v>
      </c>
      <c r="H1398" s="82"/>
    </row>
    <row r="1399" spans="1:8" ht="16.5" hidden="1" thickBot="1" x14ac:dyDescent="0.3">
      <c r="A1399" s="272">
        <v>43470</v>
      </c>
      <c r="B1399" s="10" t="s">
        <v>2675</v>
      </c>
      <c r="C1399" s="11" t="s">
        <v>3039</v>
      </c>
      <c r="F1399" s="304">
        <v>30000</v>
      </c>
      <c r="G1399" s="6">
        <f t="shared" si="27"/>
        <v>-30000</v>
      </c>
      <c r="H1399" s="83"/>
    </row>
    <row r="1400" spans="1:8" hidden="1" x14ac:dyDescent="0.25">
      <c r="A1400" s="272">
        <v>43473</v>
      </c>
      <c r="B1400" s="10" t="s">
        <v>1407</v>
      </c>
      <c r="C1400" s="11" t="s">
        <v>1828</v>
      </c>
      <c r="E1400" s="112"/>
      <c r="F1400" s="114">
        <v>400000</v>
      </c>
      <c r="G1400" s="6">
        <f t="shared" si="27"/>
        <v>-400000</v>
      </c>
      <c r="H1400" s="81" t="s">
        <v>4411</v>
      </c>
    </row>
    <row r="1401" spans="1:8" ht="16.5" thickBot="1" x14ac:dyDescent="0.3">
      <c r="A1401" s="272">
        <v>43473</v>
      </c>
      <c r="B1401" s="10" t="s">
        <v>2957</v>
      </c>
      <c r="C1401" s="11" t="s">
        <v>168</v>
      </c>
      <c r="E1401" s="112"/>
      <c r="F1401" s="115">
        <v>300574</v>
      </c>
      <c r="G1401" s="6">
        <f t="shared" si="27"/>
        <v>-300574</v>
      </c>
      <c r="H1401" s="83" t="s">
        <v>4411</v>
      </c>
    </row>
    <row r="1402" spans="1:8" ht="16.5" hidden="1" thickBot="1" x14ac:dyDescent="0.3">
      <c r="A1402" s="272">
        <v>43473</v>
      </c>
      <c r="B1402" s="10" t="s">
        <v>1407</v>
      </c>
      <c r="C1402" s="11" t="s">
        <v>166</v>
      </c>
      <c r="E1402" s="112"/>
      <c r="F1402" s="19">
        <v>300000</v>
      </c>
      <c r="G1402" s="6">
        <f t="shared" si="27"/>
        <v>-300000</v>
      </c>
      <c r="H1402" s="32" t="s">
        <v>4411</v>
      </c>
    </row>
    <row r="1403" spans="1:8" ht="16.5" hidden="1" thickBot="1" x14ac:dyDescent="0.3">
      <c r="A1403" s="272">
        <v>43473</v>
      </c>
      <c r="B1403" s="10" t="s">
        <v>2675</v>
      </c>
      <c r="C1403" s="11" t="s">
        <v>1816</v>
      </c>
      <c r="E1403" s="112"/>
      <c r="F1403" s="19">
        <v>405000</v>
      </c>
      <c r="G1403" s="6">
        <f t="shared" si="27"/>
        <v>-405000</v>
      </c>
      <c r="H1403" s="32" t="s">
        <v>4411</v>
      </c>
    </row>
    <row r="1404" spans="1:8" ht="16.5" hidden="1" thickBot="1" x14ac:dyDescent="0.3">
      <c r="A1404" s="272">
        <v>43480</v>
      </c>
      <c r="B1404" s="10" t="s">
        <v>2957</v>
      </c>
      <c r="C1404" s="11" t="s">
        <v>180</v>
      </c>
      <c r="E1404" s="112"/>
      <c r="F1404" s="303">
        <v>500000</v>
      </c>
      <c r="G1404" s="6">
        <f t="shared" si="27"/>
        <v>-500000</v>
      </c>
      <c r="H1404" s="81" t="s">
        <v>4429</v>
      </c>
    </row>
    <row r="1405" spans="1:8" ht="16.5" hidden="1" thickBot="1" x14ac:dyDescent="0.3">
      <c r="A1405" s="272">
        <v>43480</v>
      </c>
      <c r="B1405" s="10" t="s">
        <v>2957</v>
      </c>
      <c r="C1405" s="11" t="s">
        <v>180</v>
      </c>
      <c r="E1405" s="112"/>
      <c r="F1405" s="9">
        <f>500000-F1406-F1407</f>
        <v>72064</v>
      </c>
      <c r="G1405" s="6">
        <f t="shared" si="27"/>
        <v>-72064</v>
      </c>
      <c r="H1405" s="81"/>
    </row>
    <row r="1406" spans="1:8" ht="16.5" hidden="1" thickBot="1" x14ac:dyDescent="0.3">
      <c r="A1406" s="272">
        <v>43480</v>
      </c>
      <c r="B1406" s="10" t="s">
        <v>3652</v>
      </c>
      <c r="C1406" s="11" t="s">
        <v>180</v>
      </c>
      <c r="E1406" s="112"/>
      <c r="F1406" s="9">
        <v>259221</v>
      </c>
      <c r="G1406" s="6">
        <f t="shared" si="27"/>
        <v>-259221</v>
      </c>
      <c r="H1406" s="82" t="s">
        <v>4430</v>
      </c>
    </row>
    <row r="1407" spans="1:8" ht="16.5" hidden="1" thickBot="1" x14ac:dyDescent="0.3">
      <c r="A1407" s="272">
        <v>43480</v>
      </c>
      <c r="B1407" s="10" t="s">
        <v>3765</v>
      </c>
      <c r="C1407" s="11" t="s">
        <v>180</v>
      </c>
      <c r="E1407" s="112"/>
      <c r="F1407" s="9">
        <v>168715</v>
      </c>
      <c r="G1407" s="6">
        <f t="shared" si="27"/>
        <v>-168715</v>
      </c>
      <c r="H1407" s="83"/>
    </row>
    <row r="1408" spans="1:8" ht="16.5" hidden="1" thickBot="1" x14ac:dyDescent="0.3">
      <c r="A1408" s="272">
        <v>43480</v>
      </c>
      <c r="B1408" s="10" t="s">
        <v>2957</v>
      </c>
      <c r="C1408" s="11" t="s">
        <v>180</v>
      </c>
      <c r="E1408" s="112"/>
      <c r="F1408" s="304">
        <v>400000</v>
      </c>
      <c r="G1408" s="6">
        <f t="shared" si="27"/>
        <v>-400000</v>
      </c>
      <c r="H1408" s="83" t="s">
        <v>4431</v>
      </c>
    </row>
    <row r="1409" spans="1:8" ht="16.5" hidden="1" thickBot="1" x14ac:dyDescent="0.3">
      <c r="A1409" s="272">
        <v>43480</v>
      </c>
      <c r="B1409" s="10" t="s">
        <v>1407</v>
      </c>
      <c r="C1409" s="11" t="s">
        <v>164</v>
      </c>
      <c r="E1409" s="8">
        <v>28596</v>
      </c>
      <c r="G1409" s="6">
        <f t="shared" si="27"/>
        <v>28596</v>
      </c>
    </row>
    <row r="1410" spans="1:8" ht="16.5" hidden="1" thickBot="1" x14ac:dyDescent="0.3">
      <c r="A1410" s="272">
        <v>43481</v>
      </c>
      <c r="B1410" s="10" t="s">
        <v>1407</v>
      </c>
      <c r="C1410" s="11" t="s">
        <v>164</v>
      </c>
      <c r="F1410" s="9">
        <v>75000</v>
      </c>
      <c r="G1410" s="6">
        <f t="shared" si="27"/>
        <v>-75000</v>
      </c>
      <c r="H1410" s="32" t="s">
        <v>4441</v>
      </c>
    </row>
    <row r="1411" spans="1:8" ht="16.5" hidden="1" thickBot="1" x14ac:dyDescent="0.3">
      <c r="A1411" s="272">
        <v>43483</v>
      </c>
      <c r="B1411" s="10" t="s">
        <v>2957</v>
      </c>
      <c r="C1411" s="11" t="s">
        <v>3738</v>
      </c>
      <c r="E1411" s="8">
        <v>3800000</v>
      </c>
      <c r="G1411" s="6">
        <f t="shared" si="27"/>
        <v>3800000</v>
      </c>
    </row>
    <row r="1412" spans="1:8" ht="16.5" hidden="1" thickBot="1" x14ac:dyDescent="0.3">
      <c r="A1412" s="272">
        <v>43483</v>
      </c>
      <c r="B1412" s="10" t="s">
        <v>2957</v>
      </c>
      <c r="C1412" s="11" t="s">
        <v>4445</v>
      </c>
      <c r="E1412" s="8">
        <v>668000</v>
      </c>
      <c r="G1412" s="6">
        <f t="shared" si="27"/>
        <v>668000</v>
      </c>
    </row>
    <row r="1413" spans="1:8" ht="16.5" hidden="1" thickBot="1" x14ac:dyDescent="0.3">
      <c r="A1413" s="272">
        <v>43483</v>
      </c>
      <c r="B1413" s="10" t="s">
        <v>2957</v>
      </c>
      <c r="C1413" s="11" t="s">
        <v>3696</v>
      </c>
      <c r="E1413" s="8">
        <v>952500</v>
      </c>
      <c r="G1413" s="6">
        <f t="shared" si="27"/>
        <v>952500</v>
      </c>
    </row>
    <row r="1414" spans="1:8" ht="16.5" hidden="1" thickBot="1" x14ac:dyDescent="0.3">
      <c r="A1414" s="272">
        <v>43489</v>
      </c>
      <c r="B1414" s="10" t="s">
        <v>2675</v>
      </c>
      <c r="C1414" s="11" t="s">
        <v>1816</v>
      </c>
      <c r="E1414" s="8">
        <v>92310</v>
      </c>
      <c r="G1414" s="6">
        <f t="shared" si="27"/>
        <v>92310</v>
      </c>
    </row>
    <row r="1415" spans="1:8" ht="16.5" hidden="1" thickBot="1" x14ac:dyDescent="0.3">
      <c r="A1415" s="272">
        <v>43489</v>
      </c>
      <c r="B1415" s="10" t="s">
        <v>2675</v>
      </c>
      <c r="C1415" s="11" t="s">
        <v>1816</v>
      </c>
      <c r="E1415" s="8">
        <v>2968</v>
      </c>
      <c r="G1415" s="6">
        <f t="shared" si="27"/>
        <v>2968</v>
      </c>
    </row>
    <row r="1416" spans="1:8" ht="16.5" hidden="1" thickBot="1" x14ac:dyDescent="0.3">
      <c r="A1416" s="272">
        <v>43491</v>
      </c>
      <c r="B1416" s="10" t="s">
        <v>2675</v>
      </c>
      <c r="C1416" s="11" t="s">
        <v>1816</v>
      </c>
      <c r="E1416" s="112"/>
      <c r="F1416" s="19">
        <v>2505</v>
      </c>
      <c r="G1416" s="6">
        <f t="shared" si="27"/>
        <v>-2505</v>
      </c>
      <c r="H1416" s="7" t="s">
        <v>4505</v>
      </c>
    </row>
    <row r="1417" spans="1:8" ht="16.5" hidden="1" thickBot="1" x14ac:dyDescent="0.3">
      <c r="A1417" s="272">
        <v>43480</v>
      </c>
      <c r="B1417" s="10" t="s">
        <v>1407</v>
      </c>
      <c r="C1417" s="11" t="s">
        <v>166</v>
      </c>
      <c r="D1417" s="789"/>
      <c r="E1417" s="288">
        <v>80400</v>
      </c>
      <c r="F1417" s="287"/>
      <c r="G1417" s="6">
        <f t="shared" si="27"/>
        <v>80400</v>
      </c>
    </row>
    <row r="1418" spans="1:8" ht="16.5" hidden="1" thickBot="1" x14ac:dyDescent="0.3">
      <c r="A1418" s="272">
        <v>43480</v>
      </c>
      <c r="B1418" s="10" t="s">
        <v>2810</v>
      </c>
      <c r="C1418" s="11" t="s">
        <v>166</v>
      </c>
      <c r="D1418" s="789"/>
      <c r="E1418" s="289">
        <v>4800</v>
      </c>
      <c r="F1418" s="287"/>
      <c r="G1418" s="6">
        <f t="shared" si="27"/>
        <v>4800</v>
      </c>
    </row>
    <row r="1419" spans="1:8" ht="16.5" hidden="1" thickBot="1" x14ac:dyDescent="0.3">
      <c r="A1419" s="272">
        <v>43480</v>
      </c>
      <c r="B1419" s="10" t="s">
        <v>2810</v>
      </c>
      <c r="C1419" s="11" t="s">
        <v>166</v>
      </c>
      <c r="D1419" s="789"/>
      <c r="E1419" s="289">
        <v>4800</v>
      </c>
      <c r="F1419" s="287"/>
      <c r="G1419" s="6">
        <f t="shared" si="27"/>
        <v>4800</v>
      </c>
    </row>
    <row r="1420" spans="1:8" ht="16.5" hidden="1" thickBot="1" x14ac:dyDescent="0.3">
      <c r="A1420" s="272">
        <v>43480</v>
      </c>
      <c r="B1420" s="10" t="s">
        <v>3765</v>
      </c>
      <c r="C1420" s="11" t="s">
        <v>166</v>
      </c>
      <c r="D1420" s="789"/>
      <c r="E1420" s="289">
        <v>27600</v>
      </c>
      <c r="F1420" s="287"/>
      <c r="G1420" s="6">
        <f t="shared" si="27"/>
        <v>27600</v>
      </c>
    </row>
    <row r="1421" spans="1:8" ht="16.5" hidden="1" thickBot="1" x14ac:dyDescent="0.3">
      <c r="A1421" s="272">
        <v>43480</v>
      </c>
      <c r="B1421" s="10" t="s">
        <v>2810</v>
      </c>
      <c r="C1421" s="11" t="s">
        <v>166</v>
      </c>
      <c r="D1421" s="789"/>
      <c r="E1421" s="289">
        <v>3816</v>
      </c>
      <c r="F1421" s="287"/>
      <c r="G1421" s="6">
        <f t="shared" si="27"/>
        <v>3816</v>
      </c>
    </row>
    <row r="1422" spans="1:8" ht="16.5" hidden="1" thickBot="1" x14ac:dyDescent="0.3">
      <c r="A1422" s="272">
        <v>43480</v>
      </c>
      <c r="B1422" s="10" t="s">
        <v>1407</v>
      </c>
      <c r="C1422" s="11" t="s">
        <v>166</v>
      </c>
      <c r="D1422" s="789"/>
      <c r="E1422" s="289">
        <v>60775</v>
      </c>
      <c r="F1422" s="287"/>
      <c r="G1422" s="6">
        <f t="shared" si="27"/>
        <v>60775</v>
      </c>
    </row>
    <row r="1423" spans="1:8" ht="16.5" hidden="1" thickBot="1" x14ac:dyDescent="0.3">
      <c r="A1423" s="272">
        <v>43480</v>
      </c>
      <c r="B1423" s="10" t="s">
        <v>2810</v>
      </c>
      <c r="C1423" s="11" t="s">
        <v>166</v>
      </c>
      <c r="D1423" s="789"/>
      <c r="E1423" s="289">
        <v>22800</v>
      </c>
      <c r="F1423" s="287"/>
      <c r="G1423" s="6">
        <f t="shared" si="27"/>
        <v>22800</v>
      </c>
    </row>
    <row r="1424" spans="1:8" ht="16.5" hidden="1" thickBot="1" x14ac:dyDescent="0.3">
      <c r="A1424" s="272">
        <v>43480</v>
      </c>
      <c r="B1424" s="10" t="s">
        <v>1407</v>
      </c>
      <c r="C1424" s="11" t="s">
        <v>166</v>
      </c>
      <c r="D1424" s="789"/>
      <c r="E1424" s="289">
        <v>40000</v>
      </c>
      <c r="F1424" s="287"/>
      <c r="G1424" s="6">
        <f t="shared" si="27"/>
        <v>40000</v>
      </c>
    </row>
    <row r="1425" spans="1:8" ht="16.5" hidden="1" thickBot="1" x14ac:dyDescent="0.3">
      <c r="A1425" s="272">
        <v>43480</v>
      </c>
      <c r="B1425" s="10" t="s">
        <v>1407</v>
      </c>
      <c r="C1425" s="11" t="s">
        <v>166</v>
      </c>
      <c r="D1425" s="789"/>
      <c r="E1425" s="289">
        <v>10000</v>
      </c>
      <c r="F1425" s="287"/>
      <c r="G1425" s="6">
        <f t="shared" si="27"/>
        <v>10000</v>
      </c>
    </row>
    <row r="1426" spans="1:8" ht="16.5" hidden="1" thickBot="1" x14ac:dyDescent="0.3">
      <c r="A1426" s="272">
        <v>43493</v>
      </c>
      <c r="B1426" s="10" t="s">
        <v>1407</v>
      </c>
      <c r="C1426" s="11" t="s">
        <v>1828</v>
      </c>
      <c r="D1426" s="789"/>
      <c r="E1426" s="22">
        <v>218756</v>
      </c>
      <c r="F1426" s="287"/>
      <c r="G1426" s="6">
        <f t="shared" si="27"/>
        <v>218756</v>
      </c>
    </row>
    <row r="1427" spans="1:8" ht="16.5" hidden="1" thickBot="1" x14ac:dyDescent="0.3">
      <c r="A1427" s="272">
        <v>43495</v>
      </c>
      <c r="B1427" s="10" t="s">
        <v>2957</v>
      </c>
      <c r="C1427" s="11" t="s">
        <v>180</v>
      </c>
      <c r="D1427" s="789"/>
      <c r="E1427" s="22">
        <v>160000</v>
      </c>
      <c r="F1427" s="287"/>
      <c r="G1427" s="6">
        <f t="shared" si="27"/>
        <v>160000</v>
      </c>
    </row>
    <row r="1428" spans="1:8" ht="16.5" hidden="1" thickBot="1" x14ac:dyDescent="0.3">
      <c r="A1428" s="272">
        <v>43495</v>
      </c>
      <c r="B1428" s="10" t="s">
        <v>2675</v>
      </c>
      <c r="C1428" s="11" t="s">
        <v>3039</v>
      </c>
      <c r="D1428" s="789"/>
      <c r="E1428" s="288">
        <v>90000</v>
      </c>
      <c r="F1428" s="287"/>
      <c r="G1428" s="6">
        <f t="shared" si="27"/>
        <v>90000</v>
      </c>
    </row>
    <row r="1429" spans="1:8" ht="16.5" hidden="1" thickBot="1" x14ac:dyDescent="0.3">
      <c r="A1429" s="272">
        <v>43495</v>
      </c>
      <c r="B1429" s="10" t="s">
        <v>3765</v>
      </c>
      <c r="C1429" s="11" t="s">
        <v>3039</v>
      </c>
      <c r="D1429" s="789"/>
      <c r="E1429" s="289">
        <v>135000</v>
      </c>
      <c r="F1429" s="287"/>
      <c r="G1429" s="6">
        <f t="shared" si="27"/>
        <v>135000</v>
      </c>
    </row>
    <row r="1430" spans="1:8" ht="16.5" hidden="1" thickBot="1" x14ac:dyDescent="0.3">
      <c r="A1430" s="272">
        <v>43495</v>
      </c>
      <c r="B1430" s="10" t="s">
        <v>2957</v>
      </c>
      <c r="C1430" s="11" t="s">
        <v>3039</v>
      </c>
      <c r="D1430" s="789"/>
      <c r="E1430" s="290">
        <v>85000</v>
      </c>
      <c r="F1430" s="287"/>
      <c r="G1430" s="6">
        <f t="shared" si="27"/>
        <v>85000</v>
      </c>
    </row>
    <row r="1431" spans="1:8" ht="16.5" hidden="1" thickBot="1" x14ac:dyDescent="0.3">
      <c r="A1431" s="272">
        <v>43495</v>
      </c>
      <c r="B1431" s="10" t="s">
        <v>1407</v>
      </c>
      <c r="C1431" s="11" t="s">
        <v>164</v>
      </c>
      <c r="D1431" s="789"/>
      <c r="E1431" s="288">
        <v>5259</v>
      </c>
      <c r="F1431" s="287"/>
      <c r="G1431" s="6">
        <f t="shared" si="27"/>
        <v>5259</v>
      </c>
    </row>
    <row r="1432" spans="1:8" ht="16.5" hidden="1" thickBot="1" x14ac:dyDescent="0.3">
      <c r="A1432" s="272">
        <v>43495</v>
      </c>
      <c r="B1432" s="10" t="s">
        <v>1407</v>
      </c>
      <c r="C1432" s="11" t="s">
        <v>164</v>
      </c>
      <c r="D1432" s="789"/>
      <c r="E1432" s="289">
        <v>74051</v>
      </c>
      <c r="F1432" s="287"/>
      <c r="G1432" s="6">
        <f t="shared" si="27"/>
        <v>74051</v>
      </c>
    </row>
    <row r="1433" spans="1:8" ht="16.5" hidden="1" thickBot="1" x14ac:dyDescent="0.3">
      <c r="A1433" s="272">
        <v>43495</v>
      </c>
      <c r="B1433" s="10" t="s">
        <v>1407</v>
      </c>
      <c r="C1433" s="11" t="s">
        <v>164</v>
      </c>
      <c r="D1433" s="789"/>
      <c r="E1433" s="290">
        <v>19773</v>
      </c>
      <c r="F1433" s="287"/>
      <c r="G1433" s="6">
        <f t="shared" si="27"/>
        <v>19773</v>
      </c>
    </row>
    <row r="1434" spans="1:8" ht="16.5" hidden="1" thickBot="1" x14ac:dyDescent="0.3">
      <c r="A1434" s="272">
        <v>43495</v>
      </c>
      <c r="B1434" s="10" t="s">
        <v>2675</v>
      </c>
      <c r="C1434" s="11" t="s">
        <v>3039</v>
      </c>
      <c r="D1434" s="789"/>
      <c r="E1434" s="308"/>
      <c r="F1434" s="287">
        <v>250000</v>
      </c>
      <c r="G1434" s="6">
        <f t="shared" si="27"/>
        <v>-250000</v>
      </c>
      <c r="H1434" s="127"/>
    </row>
    <row r="1435" spans="1:8" ht="16.5" hidden="1" thickBot="1" x14ac:dyDescent="0.3">
      <c r="A1435" s="272">
        <v>43500</v>
      </c>
      <c r="B1435" s="10" t="s">
        <v>2675</v>
      </c>
      <c r="C1435" s="11" t="s">
        <v>1816</v>
      </c>
      <c r="D1435" s="789"/>
      <c r="E1435" s="289">
        <v>164818</v>
      </c>
      <c r="F1435" s="287"/>
      <c r="G1435" s="6">
        <f t="shared" si="27"/>
        <v>164818</v>
      </c>
    </row>
    <row r="1436" spans="1:8" ht="16.5" hidden="1" thickBot="1" x14ac:dyDescent="0.3">
      <c r="A1436" s="272">
        <v>43500</v>
      </c>
      <c r="B1436" s="10" t="s">
        <v>1407</v>
      </c>
      <c r="C1436" s="11" t="s">
        <v>1816</v>
      </c>
      <c r="D1436" s="789"/>
      <c r="E1436" s="289">
        <v>4060</v>
      </c>
      <c r="F1436" s="287"/>
      <c r="G1436" s="6">
        <f t="shared" si="27"/>
        <v>4060</v>
      </c>
    </row>
    <row r="1437" spans="1:8" ht="16.5" hidden="1" thickBot="1" x14ac:dyDescent="0.3">
      <c r="A1437" s="272">
        <v>43500</v>
      </c>
      <c r="B1437" s="10" t="s">
        <v>2675</v>
      </c>
      <c r="C1437" s="11" t="s">
        <v>1816</v>
      </c>
      <c r="D1437" s="789"/>
      <c r="E1437" s="289">
        <v>66065</v>
      </c>
      <c r="F1437" s="287"/>
      <c r="G1437" s="6">
        <f t="shared" si="27"/>
        <v>66065</v>
      </c>
    </row>
    <row r="1438" spans="1:8" ht="16.5" hidden="1" thickBot="1" x14ac:dyDescent="0.3">
      <c r="A1438" s="272">
        <v>43500</v>
      </c>
      <c r="B1438" s="10" t="s">
        <v>2675</v>
      </c>
      <c r="C1438" s="11" t="s">
        <v>1816</v>
      </c>
      <c r="D1438" s="789"/>
      <c r="E1438" s="289">
        <v>54061</v>
      </c>
      <c r="F1438" s="287"/>
      <c r="G1438" s="6">
        <f t="shared" si="27"/>
        <v>54061</v>
      </c>
    </row>
    <row r="1439" spans="1:8" ht="16.5" hidden="1" thickBot="1" x14ac:dyDescent="0.3">
      <c r="A1439" s="272">
        <v>43500</v>
      </c>
      <c r="B1439" s="10" t="s">
        <v>1407</v>
      </c>
      <c r="C1439" s="11" t="s">
        <v>1816</v>
      </c>
      <c r="D1439" s="789"/>
      <c r="E1439" s="289">
        <v>8310</v>
      </c>
      <c r="F1439" s="287"/>
      <c r="G1439" s="6">
        <f t="shared" si="27"/>
        <v>8310</v>
      </c>
    </row>
    <row r="1440" spans="1:8" ht="16.5" hidden="1" thickBot="1" x14ac:dyDescent="0.3">
      <c r="A1440" s="272">
        <v>43500</v>
      </c>
      <c r="B1440" s="10" t="s">
        <v>2957</v>
      </c>
      <c r="C1440" s="11" t="s">
        <v>3039</v>
      </c>
      <c r="D1440" s="789"/>
      <c r="E1440" s="288">
        <v>10000</v>
      </c>
      <c r="F1440" s="287"/>
      <c r="G1440" s="6">
        <f t="shared" si="27"/>
        <v>10000</v>
      </c>
    </row>
    <row r="1441" spans="1:8" ht="16.5" hidden="1" thickBot="1" x14ac:dyDescent="0.3">
      <c r="A1441" s="272">
        <v>43500</v>
      </c>
      <c r="B1441" s="10" t="s">
        <v>2675</v>
      </c>
      <c r="C1441" s="11" t="s">
        <v>3039</v>
      </c>
      <c r="D1441" s="789"/>
      <c r="E1441" s="290">
        <v>145000</v>
      </c>
      <c r="F1441" s="287"/>
      <c r="G1441" s="6">
        <f t="shared" si="27"/>
        <v>145000</v>
      </c>
    </row>
    <row r="1442" spans="1:8" ht="16.5" hidden="1" thickBot="1" x14ac:dyDescent="0.3">
      <c r="A1442" s="272">
        <v>43500</v>
      </c>
      <c r="B1442" s="10" t="s">
        <v>1407</v>
      </c>
      <c r="C1442" s="11" t="s">
        <v>169</v>
      </c>
      <c r="E1442" s="8">
        <v>2094</v>
      </c>
      <c r="G1442" s="6">
        <f t="shared" si="27"/>
        <v>2094</v>
      </c>
    </row>
    <row r="1443" spans="1:8" ht="16.5" hidden="1" thickBot="1" x14ac:dyDescent="0.3">
      <c r="A1443" s="272">
        <v>43500</v>
      </c>
      <c r="B1443" s="10" t="s">
        <v>1407</v>
      </c>
      <c r="C1443" s="11" t="s">
        <v>169</v>
      </c>
      <c r="E1443" s="8">
        <v>14538</v>
      </c>
      <c r="G1443" s="6">
        <f t="shared" si="27"/>
        <v>14538</v>
      </c>
    </row>
    <row r="1444" spans="1:8" ht="16.5" hidden="1" thickBot="1" x14ac:dyDescent="0.3">
      <c r="A1444" s="272">
        <v>43500</v>
      </c>
      <c r="B1444" s="10" t="s">
        <v>1407</v>
      </c>
      <c r="C1444" s="11" t="s">
        <v>169</v>
      </c>
      <c r="E1444" s="8">
        <v>23518</v>
      </c>
      <c r="G1444" s="6">
        <f t="shared" si="27"/>
        <v>23518</v>
      </c>
    </row>
    <row r="1445" spans="1:8" ht="16.5" hidden="1" thickBot="1" x14ac:dyDescent="0.3">
      <c r="A1445" s="272">
        <v>43500</v>
      </c>
      <c r="B1445" s="10" t="s">
        <v>1407</v>
      </c>
      <c r="C1445" s="11" t="s">
        <v>169</v>
      </c>
      <c r="E1445" s="8">
        <v>2815</v>
      </c>
      <c r="G1445" s="6">
        <f t="shared" si="27"/>
        <v>2815</v>
      </c>
    </row>
    <row r="1446" spans="1:8" ht="16.5" hidden="1" thickBot="1" x14ac:dyDescent="0.3">
      <c r="A1446" s="272">
        <v>43508</v>
      </c>
      <c r="B1446" s="10" t="s">
        <v>2675</v>
      </c>
      <c r="C1446" s="11" t="s">
        <v>1816</v>
      </c>
      <c r="D1446" s="789"/>
      <c r="E1446" s="288">
        <v>1474</v>
      </c>
      <c r="F1446" s="287"/>
      <c r="G1446" s="6">
        <f t="shared" si="27"/>
        <v>1474</v>
      </c>
    </row>
    <row r="1447" spans="1:8" ht="16.5" hidden="1" thickBot="1" x14ac:dyDescent="0.3">
      <c r="A1447" s="272">
        <v>43508</v>
      </c>
      <c r="B1447" s="10" t="s">
        <v>2675</v>
      </c>
      <c r="C1447" s="11" t="s">
        <v>1816</v>
      </c>
      <c r="D1447" s="789"/>
      <c r="E1447" s="289">
        <v>122831</v>
      </c>
      <c r="F1447" s="287"/>
      <c r="G1447" s="6">
        <f t="shared" si="27"/>
        <v>122831</v>
      </c>
    </row>
    <row r="1448" spans="1:8" ht="16.5" hidden="1" thickBot="1" x14ac:dyDescent="0.3">
      <c r="A1448" s="272">
        <v>43508</v>
      </c>
      <c r="B1448" s="10" t="s">
        <v>1407</v>
      </c>
      <c r="C1448" s="11" t="s">
        <v>1816</v>
      </c>
      <c r="D1448" s="789"/>
      <c r="E1448" s="289">
        <v>2128</v>
      </c>
      <c r="F1448" s="287"/>
      <c r="G1448" s="6">
        <f t="shared" si="27"/>
        <v>2128</v>
      </c>
    </row>
    <row r="1449" spans="1:8" ht="16.5" hidden="1" thickBot="1" x14ac:dyDescent="0.3">
      <c r="A1449" s="272">
        <v>43508</v>
      </c>
      <c r="B1449" s="10" t="s">
        <v>1407</v>
      </c>
      <c r="C1449" s="11" t="s">
        <v>1816</v>
      </c>
      <c r="D1449" s="789"/>
      <c r="E1449" s="290">
        <v>3010</v>
      </c>
      <c r="F1449" s="287"/>
      <c r="G1449" s="6">
        <f t="shared" si="27"/>
        <v>3010</v>
      </c>
    </row>
    <row r="1450" spans="1:8" ht="16.5" hidden="1" thickBot="1" x14ac:dyDescent="0.3">
      <c r="A1450" s="272">
        <v>43508</v>
      </c>
      <c r="B1450" s="10" t="s">
        <v>1407</v>
      </c>
      <c r="C1450" s="11" t="s">
        <v>166</v>
      </c>
      <c r="D1450" s="789"/>
      <c r="E1450" s="22">
        <v>78000</v>
      </c>
      <c r="F1450" s="287"/>
      <c r="G1450" s="6">
        <f t="shared" si="27"/>
        <v>78000</v>
      </c>
    </row>
    <row r="1451" spans="1:8" ht="16.5" hidden="1" thickBot="1" x14ac:dyDescent="0.3">
      <c r="A1451" s="272">
        <v>43508</v>
      </c>
      <c r="B1451" s="10" t="s">
        <v>1407</v>
      </c>
      <c r="C1451" s="11" t="s">
        <v>164</v>
      </c>
      <c r="E1451" s="8">
        <v>5490</v>
      </c>
      <c r="G1451" s="6">
        <f t="shared" si="27"/>
        <v>5490</v>
      </c>
    </row>
    <row r="1452" spans="1:8" ht="16.5" hidden="1" thickBot="1" x14ac:dyDescent="0.3">
      <c r="A1452" s="272">
        <v>43508</v>
      </c>
      <c r="B1452" s="10" t="s">
        <v>1407</v>
      </c>
      <c r="C1452" s="11" t="s">
        <v>164</v>
      </c>
      <c r="F1452" s="9">
        <v>13520</v>
      </c>
      <c r="G1452" s="6">
        <f t="shared" si="27"/>
        <v>-13520</v>
      </c>
      <c r="H1452" s="7" t="s">
        <v>4505</v>
      </c>
    </row>
    <row r="1453" spans="1:8" ht="16.5" hidden="1" thickBot="1" x14ac:dyDescent="0.3">
      <c r="A1453" s="272">
        <v>43512</v>
      </c>
      <c r="B1453" s="10" t="s">
        <v>2957</v>
      </c>
      <c r="C1453" s="11" t="s">
        <v>3039</v>
      </c>
      <c r="E1453" s="299">
        <v>24000</v>
      </c>
      <c r="G1453" s="6">
        <f t="shared" si="27"/>
        <v>24000</v>
      </c>
    </row>
    <row r="1454" spans="1:8" ht="16.5" hidden="1" thickBot="1" x14ac:dyDescent="0.3">
      <c r="A1454" s="272">
        <v>43512</v>
      </c>
      <c r="B1454" s="10" t="s">
        <v>2675</v>
      </c>
      <c r="C1454" s="11" t="s">
        <v>3039</v>
      </c>
      <c r="E1454" s="8">
        <v>121000</v>
      </c>
      <c r="G1454" s="6">
        <f t="shared" si="27"/>
        <v>121000</v>
      </c>
    </row>
    <row r="1455" spans="1:8" ht="16.5" hidden="1" thickBot="1" x14ac:dyDescent="0.3">
      <c r="A1455" s="272">
        <v>43512</v>
      </c>
      <c r="B1455" s="10" t="s">
        <v>2957</v>
      </c>
      <c r="C1455" s="11" t="s">
        <v>3039</v>
      </c>
      <c r="E1455" s="300">
        <v>15000</v>
      </c>
      <c r="G1455" s="6">
        <f t="shared" si="27"/>
        <v>15000</v>
      </c>
    </row>
    <row r="1456" spans="1:8" ht="16.5" hidden="1" thickBot="1" x14ac:dyDescent="0.3">
      <c r="A1456" s="272">
        <v>43512</v>
      </c>
      <c r="B1456" s="10" t="s">
        <v>2810</v>
      </c>
      <c r="C1456" s="11" t="s">
        <v>161</v>
      </c>
      <c r="F1456" s="309">
        <v>500000</v>
      </c>
      <c r="G1456" s="6">
        <f t="shared" si="27"/>
        <v>-500000</v>
      </c>
      <c r="H1456" s="32" t="s">
        <v>4680</v>
      </c>
    </row>
    <row r="1457" spans="1:8" ht="16.5" hidden="1" thickBot="1" x14ac:dyDescent="0.3">
      <c r="A1457" s="272">
        <v>43512</v>
      </c>
      <c r="B1457" s="10" t="s">
        <v>2957</v>
      </c>
      <c r="C1457" s="11" t="s">
        <v>3696</v>
      </c>
      <c r="F1457" s="309">
        <v>300000</v>
      </c>
      <c r="G1457" s="6">
        <f t="shared" si="27"/>
        <v>-300000</v>
      </c>
      <c r="H1457" s="32" t="s">
        <v>4612</v>
      </c>
    </row>
    <row r="1458" spans="1:8" ht="16.5" hidden="1" thickBot="1" x14ac:dyDescent="0.3">
      <c r="A1458" s="272">
        <v>43512</v>
      </c>
      <c r="B1458" s="10" t="s">
        <v>1407</v>
      </c>
      <c r="C1458" s="11" t="s">
        <v>164</v>
      </c>
      <c r="F1458" s="309">
        <v>100000</v>
      </c>
      <c r="G1458" s="6">
        <f t="shared" si="27"/>
        <v>-100000</v>
      </c>
      <c r="H1458" s="32" t="s">
        <v>4614</v>
      </c>
    </row>
    <row r="1459" spans="1:8" ht="16.5" hidden="1" thickBot="1" x14ac:dyDescent="0.3">
      <c r="A1459" s="272">
        <v>43512</v>
      </c>
      <c r="B1459" s="10" t="s">
        <v>2957</v>
      </c>
      <c r="C1459" s="11" t="s">
        <v>3738</v>
      </c>
      <c r="F1459" s="303">
        <f>E1411-775000</f>
        <v>3025000</v>
      </c>
      <c r="G1459" s="6">
        <f t="shared" si="27"/>
        <v>-3025000</v>
      </c>
      <c r="H1459" s="32" t="s">
        <v>4615</v>
      </c>
    </row>
    <row r="1460" spans="1:8" ht="16.5" hidden="1" thickBot="1" x14ac:dyDescent="0.3">
      <c r="A1460" s="272">
        <v>43512</v>
      </c>
      <c r="B1460" s="10" t="s">
        <v>2675</v>
      </c>
      <c r="C1460" s="11" t="s">
        <v>3039</v>
      </c>
      <c r="E1460" s="112"/>
      <c r="F1460" s="303">
        <v>65000</v>
      </c>
      <c r="G1460" s="6">
        <f t="shared" si="27"/>
        <v>-65000</v>
      </c>
      <c r="H1460" s="32" t="s">
        <v>4613</v>
      </c>
    </row>
    <row r="1461" spans="1:8" ht="16.5" hidden="1"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hidden="1" x14ac:dyDescent="0.25">
      <c r="A1470" s="272">
        <v>43517</v>
      </c>
      <c r="B1470" s="10" t="s">
        <v>2675</v>
      </c>
      <c r="C1470" s="11" t="s">
        <v>1816</v>
      </c>
      <c r="E1470" s="299">
        <v>51927</v>
      </c>
      <c r="G1470" s="6">
        <f t="shared" si="27"/>
        <v>51927</v>
      </c>
    </row>
    <row r="1471" spans="1:8" hidden="1" x14ac:dyDescent="0.25">
      <c r="A1471" s="272">
        <v>43517</v>
      </c>
      <c r="B1471" s="10" t="s">
        <v>2675</v>
      </c>
      <c r="C1471" s="11" t="s">
        <v>1816</v>
      </c>
      <c r="E1471" s="8">
        <v>44869</v>
      </c>
      <c r="G1471" s="6">
        <f t="shared" si="27"/>
        <v>44869</v>
      </c>
    </row>
    <row r="1472" spans="1:8" ht="16.5" hidden="1" thickBot="1" x14ac:dyDescent="0.3">
      <c r="A1472" s="272">
        <v>43517</v>
      </c>
      <c r="B1472" s="10" t="s">
        <v>2675</v>
      </c>
      <c r="C1472" s="11" t="s">
        <v>1816</v>
      </c>
      <c r="E1472" s="300">
        <v>707</v>
      </c>
      <c r="G1472" s="6">
        <f t="shared" si="27"/>
        <v>707</v>
      </c>
    </row>
    <row r="1473" spans="1:8" ht="16.5" hidden="1" thickBot="1" x14ac:dyDescent="0.3">
      <c r="A1473" s="272">
        <v>43518</v>
      </c>
      <c r="B1473" s="10" t="s">
        <v>2957</v>
      </c>
      <c r="C1473" s="11" t="s">
        <v>180</v>
      </c>
      <c r="E1473" s="301">
        <v>631320</v>
      </c>
      <c r="G1473" s="6">
        <f t="shared" si="27"/>
        <v>631320</v>
      </c>
    </row>
    <row r="1474" spans="1:8" hidden="1" x14ac:dyDescent="0.25">
      <c r="A1474" s="272">
        <v>43519</v>
      </c>
      <c r="B1474" s="10" t="s">
        <v>2957</v>
      </c>
      <c r="C1474" s="11" t="s">
        <v>166</v>
      </c>
      <c r="E1474" s="299">
        <v>35000</v>
      </c>
      <c r="G1474" s="6">
        <f t="shared" si="27"/>
        <v>35000</v>
      </c>
    </row>
    <row r="1475" spans="1:8" hidden="1" x14ac:dyDescent="0.25">
      <c r="A1475" s="272">
        <v>43519</v>
      </c>
      <c r="B1475" s="10" t="s">
        <v>2675</v>
      </c>
      <c r="C1475" s="11" t="s">
        <v>166</v>
      </c>
      <c r="E1475" s="8">
        <v>18400</v>
      </c>
      <c r="G1475" s="6">
        <f t="shared" si="27"/>
        <v>18400</v>
      </c>
    </row>
    <row r="1476" spans="1:8" ht="16.5" hidden="1" thickBot="1" x14ac:dyDescent="0.3">
      <c r="A1476" s="272">
        <v>43519</v>
      </c>
      <c r="B1476" s="10" t="s">
        <v>2675</v>
      </c>
      <c r="C1476" s="11" t="s">
        <v>166</v>
      </c>
      <c r="E1476" s="300">
        <v>9200</v>
      </c>
      <c r="G1476" s="6">
        <f t="shared" si="27"/>
        <v>9200</v>
      </c>
    </row>
    <row r="1477" spans="1:8" ht="16.5" hidden="1"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idden="1" x14ac:dyDescent="0.25">
      <c r="A1479" s="272">
        <v>43519</v>
      </c>
      <c r="B1479" s="10" t="s">
        <v>2957</v>
      </c>
      <c r="C1479" s="11" t="s">
        <v>180</v>
      </c>
      <c r="F1479" s="9">
        <v>500000</v>
      </c>
      <c r="G1479" s="6">
        <f t="shared" si="27"/>
        <v>-500000</v>
      </c>
      <c r="H1479" s="32" t="s">
        <v>4664</v>
      </c>
    </row>
    <row r="1480" spans="1:8" hidden="1" x14ac:dyDescent="0.25">
      <c r="A1480" s="272">
        <v>43525</v>
      </c>
      <c r="B1480" s="10" t="s">
        <v>2957</v>
      </c>
      <c r="C1480" s="11" t="s">
        <v>166</v>
      </c>
      <c r="E1480" s="299">
        <v>45000</v>
      </c>
      <c r="G1480" s="6">
        <f t="shared" si="27"/>
        <v>45000</v>
      </c>
    </row>
    <row r="1481" spans="1:8" ht="16.5" hidden="1" thickBot="1" x14ac:dyDescent="0.3">
      <c r="A1481" s="272">
        <v>43525</v>
      </c>
      <c r="B1481" s="10" t="s">
        <v>2675</v>
      </c>
      <c r="C1481" s="11" t="s">
        <v>166</v>
      </c>
      <c r="E1481" s="300">
        <v>12500</v>
      </c>
      <c r="G1481" s="6">
        <f t="shared" si="27"/>
        <v>12500</v>
      </c>
    </row>
    <row r="1482" spans="1:8" ht="16.5" hidden="1" thickBot="1" x14ac:dyDescent="0.3">
      <c r="A1482" s="272">
        <v>43525</v>
      </c>
      <c r="B1482" s="10" t="s">
        <v>1407</v>
      </c>
      <c r="C1482" s="11" t="s">
        <v>164</v>
      </c>
      <c r="E1482" s="301">
        <v>84648</v>
      </c>
      <c r="G1482" s="6">
        <f t="shared" si="27"/>
        <v>84648</v>
      </c>
    </row>
    <row r="1483" spans="1:8" hidden="1" x14ac:dyDescent="0.25">
      <c r="A1483" s="272">
        <v>43529</v>
      </c>
      <c r="B1483" s="10" t="s">
        <v>1407</v>
      </c>
      <c r="C1483" s="11" t="s">
        <v>169</v>
      </c>
      <c r="F1483" s="9">
        <v>100000</v>
      </c>
      <c r="G1483" s="6">
        <f t="shared" si="27"/>
        <v>-100000</v>
      </c>
      <c r="H1483" s="32" t="s">
        <v>4681</v>
      </c>
    </row>
    <row r="1484" spans="1:8" hidden="1" x14ac:dyDescent="0.25">
      <c r="A1484" s="272">
        <v>43529</v>
      </c>
      <c r="B1484" s="10" t="s">
        <v>1407</v>
      </c>
      <c r="C1484" s="11" t="s">
        <v>1828</v>
      </c>
      <c r="F1484" s="9">
        <v>300000</v>
      </c>
      <c r="G1484" s="6">
        <f t="shared" si="27"/>
        <v>-300000</v>
      </c>
      <c r="H1484" s="32" t="s">
        <v>4682</v>
      </c>
    </row>
    <row r="1485" spans="1:8" hidden="1" x14ac:dyDescent="0.25">
      <c r="A1485" s="272">
        <v>43529</v>
      </c>
      <c r="B1485" s="10" t="s">
        <v>2957</v>
      </c>
      <c r="C1485" s="11" t="s">
        <v>180</v>
      </c>
      <c r="F1485" s="9">
        <v>300000</v>
      </c>
      <c r="G1485" s="6">
        <f t="shared" si="27"/>
        <v>-300000</v>
      </c>
      <c r="H1485" s="81" t="s">
        <v>4683</v>
      </c>
    </row>
    <row r="1486" spans="1:8" hidden="1" x14ac:dyDescent="0.25">
      <c r="A1486" s="272">
        <v>43529</v>
      </c>
      <c r="B1486" s="10" t="s">
        <v>40</v>
      </c>
      <c r="C1486" s="11" t="s">
        <v>164</v>
      </c>
      <c r="F1486" s="9">
        <v>1743</v>
      </c>
      <c r="G1486" s="6">
        <f t="shared" si="27"/>
        <v>-1743</v>
      </c>
      <c r="H1486" s="81"/>
    </row>
    <row r="1487" spans="1:8" hidden="1" x14ac:dyDescent="0.25">
      <c r="A1487" s="272">
        <v>43529</v>
      </c>
      <c r="B1487" s="10" t="s">
        <v>11</v>
      </c>
      <c r="C1487" s="11" t="s">
        <v>164</v>
      </c>
      <c r="F1487" s="9">
        <v>5815</v>
      </c>
      <c r="G1487" s="6">
        <f t="shared" si="27"/>
        <v>-5815</v>
      </c>
      <c r="H1487" s="82"/>
    </row>
    <row r="1488" spans="1:8" hidden="1" x14ac:dyDescent="0.25">
      <c r="A1488" s="272">
        <v>43529</v>
      </c>
      <c r="B1488" s="10" t="s">
        <v>4684</v>
      </c>
      <c r="C1488" s="11" t="s">
        <v>164</v>
      </c>
      <c r="F1488" s="9">
        <v>900</v>
      </c>
      <c r="G1488" s="6">
        <f t="shared" si="27"/>
        <v>-900</v>
      </c>
      <c r="H1488" s="82" t="s">
        <v>4685</v>
      </c>
    </row>
    <row r="1489" spans="1:8" hidden="1" x14ac:dyDescent="0.25">
      <c r="A1489" s="272">
        <v>43529</v>
      </c>
      <c r="B1489" s="10" t="s">
        <v>1407</v>
      </c>
      <c r="C1489" s="11" t="s">
        <v>164</v>
      </c>
      <c r="F1489" s="9">
        <f>75000-F1488-F1487-F1486</f>
        <v>66542</v>
      </c>
      <c r="G1489" s="6">
        <f t="shared" si="27"/>
        <v>-66542</v>
      </c>
      <c r="H1489" s="83"/>
    </row>
    <row r="1490" spans="1:8" ht="16.5" hidden="1" thickBot="1" x14ac:dyDescent="0.3">
      <c r="A1490" s="272">
        <v>43525</v>
      </c>
      <c r="B1490" s="10" t="s">
        <v>2675</v>
      </c>
      <c r="C1490" s="11" t="s">
        <v>3039</v>
      </c>
      <c r="E1490" s="301"/>
      <c r="F1490" s="9">
        <v>41000</v>
      </c>
      <c r="G1490" s="6">
        <f>E1490-F1490</f>
        <v>-41000</v>
      </c>
    </row>
    <row r="1491" spans="1:8" hidden="1" x14ac:dyDescent="0.25">
      <c r="A1491" s="272">
        <v>43529</v>
      </c>
      <c r="B1491" s="10" t="s">
        <v>2957</v>
      </c>
      <c r="C1491" s="11" t="s">
        <v>3039</v>
      </c>
      <c r="F1491" s="9">
        <f>25000+109000</f>
        <v>134000</v>
      </c>
      <c r="G1491" s="6">
        <f>E1491-F1491</f>
        <v>-134000</v>
      </c>
    </row>
    <row r="1492" spans="1:8" hidden="1" x14ac:dyDescent="0.25">
      <c r="A1492" s="272">
        <v>43525</v>
      </c>
      <c r="B1492" s="10" t="s">
        <v>2675</v>
      </c>
      <c r="C1492" s="11" t="s">
        <v>3039</v>
      </c>
      <c r="F1492" s="9">
        <v>25000</v>
      </c>
      <c r="G1492" s="6">
        <f>E1492-F1492</f>
        <v>-25000</v>
      </c>
    </row>
    <row r="1493" spans="1:8" hidden="1" x14ac:dyDescent="0.25">
      <c r="A1493" s="272">
        <v>43525</v>
      </c>
      <c r="B1493" s="10" t="s">
        <v>2675</v>
      </c>
      <c r="C1493" s="11" t="s">
        <v>3039</v>
      </c>
      <c r="E1493" s="8">
        <v>122500</v>
      </c>
      <c r="G1493" s="6">
        <f>E1493-F1493</f>
        <v>122500</v>
      </c>
    </row>
    <row r="1494" spans="1:8" hidden="1" x14ac:dyDescent="0.25">
      <c r="A1494" s="272">
        <v>43535</v>
      </c>
      <c r="B1494" s="10" t="s">
        <v>1407</v>
      </c>
      <c r="C1494" s="11" t="s">
        <v>1816</v>
      </c>
      <c r="E1494" s="299">
        <v>3220</v>
      </c>
      <c r="G1494" s="6">
        <f t="shared" ref="G1494:G1556" si="29">E1494-F1494</f>
        <v>3220</v>
      </c>
    </row>
    <row r="1495" spans="1:8" hidden="1" x14ac:dyDescent="0.25">
      <c r="A1495" s="272">
        <v>43535</v>
      </c>
      <c r="B1495" s="10" t="s">
        <v>2675</v>
      </c>
      <c r="C1495" s="11" t="s">
        <v>1816</v>
      </c>
      <c r="E1495" s="8">
        <v>29777</v>
      </c>
      <c r="G1495" s="6">
        <f t="shared" si="29"/>
        <v>29777</v>
      </c>
    </row>
    <row r="1496" spans="1:8" hidden="1" x14ac:dyDescent="0.25">
      <c r="A1496" s="272">
        <v>43535</v>
      </c>
      <c r="B1496" s="10" t="s">
        <v>2675</v>
      </c>
      <c r="C1496" s="11" t="s">
        <v>1816</v>
      </c>
      <c r="E1496" s="8">
        <v>218807</v>
      </c>
      <c r="G1496" s="6">
        <f t="shared" si="29"/>
        <v>218807</v>
      </c>
    </row>
    <row r="1497" spans="1:8" hidden="1" x14ac:dyDescent="0.25">
      <c r="A1497" s="272">
        <v>43535</v>
      </c>
      <c r="B1497" s="10" t="s">
        <v>2675</v>
      </c>
      <c r="C1497" s="11" t="s">
        <v>1816</v>
      </c>
      <c r="E1497" s="8">
        <v>35853</v>
      </c>
      <c r="G1497" s="6">
        <f t="shared" si="29"/>
        <v>35853</v>
      </c>
    </row>
    <row r="1498" spans="1:8" hidden="1" x14ac:dyDescent="0.25">
      <c r="A1498" s="272">
        <v>43535</v>
      </c>
      <c r="B1498" s="10" t="s">
        <v>2675</v>
      </c>
      <c r="C1498" s="11" t="s">
        <v>1816</v>
      </c>
      <c r="E1498" s="8">
        <v>16052</v>
      </c>
      <c r="G1498" s="6">
        <f t="shared" si="29"/>
        <v>16052</v>
      </c>
    </row>
    <row r="1499" spans="1:8" hidden="1" x14ac:dyDescent="0.25">
      <c r="A1499" s="272">
        <v>43535</v>
      </c>
      <c r="B1499" s="10" t="s">
        <v>18</v>
      </c>
      <c r="C1499" s="11" t="s">
        <v>1816</v>
      </c>
      <c r="E1499" s="8">
        <v>1189</v>
      </c>
      <c r="G1499" s="6">
        <f t="shared" si="29"/>
        <v>1189</v>
      </c>
    </row>
    <row r="1500" spans="1:8" hidden="1" x14ac:dyDescent="0.25">
      <c r="A1500" s="272">
        <v>43535</v>
      </c>
      <c r="B1500" s="10" t="s">
        <v>2675</v>
      </c>
      <c r="C1500" s="11" t="s">
        <v>1816</v>
      </c>
      <c r="E1500" s="8">
        <v>18123</v>
      </c>
      <c r="G1500" s="6">
        <f t="shared" si="29"/>
        <v>18123</v>
      </c>
    </row>
    <row r="1501" spans="1:8" ht="16.5" hidden="1" thickBot="1" x14ac:dyDescent="0.3">
      <c r="A1501" s="272">
        <v>43535</v>
      </c>
      <c r="B1501" s="10" t="s">
        <v>1407</v>
      </c>
      <c r="C1501" s="11" t="s">
        <v>1816</v>
      </c>
      <c r="E1501" s="300">
        <v>43480</v>
      </c>
      <c r="G1501" s="6">
        <f t="shared" si="29"/>
        <v>43480</v>
      </c>
    </row>
    <row r="1502" spans="1:8" ht="16.5" hidden="1" thickBot="1" x14ac:dyDescent="0.3">
      <c r="A1502" s="272">
        <v>43544</v>
      </c>
      <c r="B1502" s="10" t="s">
        <v>4760</v>
      </c>
      <c r="C1502" s="11" t="s">
        <v>166</v>
      </c>
      <c r="E1502" s="301">
        <v>50000</v>
      </c>
      <c r="G1502" s="6">
        <f t="shared" si="29"/>
        <v>50000</v>
      </c>
    </row>
    <row r="1503" spans="1:8" hidden="1" x14ac:dyDescent="0.25">
      <c r="A1503" s="272">
        <v>43544</v>
      </c>
      <c r="B1503" s="10" t="s">
        <v>2957</v>
      </c>
      <c r="C1503" s="11" t="s">
        <v>3039</v>
      </c>
      <c r="E1503" s="8">
        <v>157740</v>
      </c>
      <c r="G1503" s="6">
        <f t="shared" si="29"/>
        <v>157740</v>
      </c>
    </row>
    <row r="1504" spans="1:8" hidden="1" x14ac:dyDescent="0.25">
      <c r="A1504" s="272">
        <v>43544</v>
      </c>
      <c r="B1504" s="10" t="s">
        <v>2675</v>
      </c>
      <c r="C1504" s="11" t="s">
        <v>3039</v>
      </c>
      <c r="E1504" s="8">
        <v>6800</v>
      </c>
      <c r="G1504" s="6">
        <f t="shared" si="29"/>
        <v>6800</v>
      </c>
    </row>
    <row r="1505" spans="1:8" hidden="1" x14ac:dyDescent="0.25">
      <c r="A1505" s="272">
        <v>43549</v>
      </c>
      <c r="B1505" s="10" t="s">
        <v>1407</v>
      </c>
      <c r="C1505" s="11" t="s">
        <v>1816</v>
      </c>
      <c r="E1505" s="299">
        <v>8176</v>
      </c>
      <c r="G1505" s="339">
        <f t="shared" si="29"/>
        <v>8176</v>
      </c>
    </row>
    <row r="1506" spans="1:8" hidden="1" x14ac:dyDescent="0.25">
      <c r="A1506" s="272">
        <v>43549</v>
      </c>
      <c r="B1506" s="10" t="s">
        <v>2675</v>
      </c>
      <c r="C1506" s="11" t="s">
        <v>1816</v>
      </c>
      <c r="E1506" s="8">
        <v>24519</v>
      </c>
      <c r="G1506" s="340">
        <f t="shared" si="29"/>
        <v>24519</v>
      </c>
    </row>
    <row r="1507" spans="1:8" hidden="1" x14ac:dyDescent="0.25">
      <c r="A1507" s="272">
        <v>43549</v>
      </c>
      <c r="B1507" s="10" t="s">
        <v>2675</v>
      </c>
      <c r="C1507" s="11" t="s">
        <v>1816</v>
      </c>
      <c r="E1507" s="8">
        <v>128523</v>
      </c>
      <c r="G1507" s="340">
        <f t="shared" si="29"/>
        <v>128523</v>
      </c>
    </row>
    <row r="1508" spans="1:8" hidden="1" x14ac:dyDescent="0.25">
      <c r="A1508" s="272">
        <v>43549</v>
      </c>
      <c r="B1508" s="10" t="s">
        <v>1407</v>
      </c>
      <c r="C1508" s="11" t="s">
        <v>1816</v>
      </c>
      <c r="E1508" s="8">
        <v>4418</v>
      </c>
      <c r="G1508" s="340">
        <f t="shared" si="29"/>
        <v>4418</v>
      </c>
    </row>
    <row r="1509" spans="1:8" hidden="1" x14ac:dyDescent="0.25">
      <c r="A1509" s="272">
        <v>43549</v>
      </c>
      <c r="B1509" s="10" t="s">
        <v>2675</v>
      </c>
      <c r="C1509" s="11" t="s">
        <v>1816</v>
      </c>
      <c r="E1509" s="8">
        <v>11769</v>
      </c>
      <c r="G1509" s="340">
        <f t="shared" si="29"/>
        <v>11769</v>
      </c>
    </row>
    <row r="1510" spans="1:8" hidden="1" x14ac:dyDescent="0.25">
      <c r="A1510" s="272">
        <v>43549</v>
      </c>
      <c r="B1510" s="10" t="s">
        <v>2675</v>
      </c>
      <c r="C1510" s="11" t="s">
        <v>1816</v>
      </c>
      <c r="E1510" s="8">
        <v>59626</v>
      </c>
      <c r="G1510" s="340">
        <f t="shared" si="29"/>
        <v>59626</v>
      </c>
    </row>
    <row r="1511" spans="1:8" hidden="1" x14ac:dyDescent="0.25">
      <c r="A1511" s="272">
        <v>43549</v>
      </c>
      <c r="B1511" s="10" t="s">
        <v>2675</v>
      </c>
      <c r="C1511" s="11" t="s">
        <v>1816</v>
      </c>
      <c r="E1511" s="8">
        <v>42931</v>
      </c>
      <c r="G1511" s="340">
        <f t="shared" si="29"/>
        <v>42931</v>
      </c>
    </row>
    <row r="1512" spans="1:8" hidden="1" x14ac:dyDescent="0.25">
      <c r="A1512" s="116">
        <v>43549</v>
      </c>
      <c r="B1512" s="10" t="s">
        <v>4760</v>
      </c>
      <c r="C1512" s="11" t="s">
        <v>166</v>
      </c>
      <c r="E1512" s="8">
        <v>53000</v>
      </c>
      <c r="G1512" s="6">
        <f t="shared" si="29"/>
        <v>53000</v>
      </c>
    </row>
    <row r="1513" spans="1:8" hidden="1" x14ac:dyDescent="0.25">
      <c r="A1513" s="116">
        <v>43549</v>
      </c>
      <c r="B1513" s="10" t="s">
        <v>2957</v>
      </c>
      <c r="C1513" s="11" t="s">
        <v>166</v>
      </c>
      <c r="E1513" s="8">
        <v>35000</v>
      </c>
      <c r="G1513" s="6">
        <f t="shared" si="29"/>
        <v>35000</v>
      </c>
    </row>
    <row r="1514" spans="1:8" hidden="1" x14ac:dyDescent="0.25">
      <c r="A1514" s="116">
        <v>43549</v>
      </c>
      <c r="B1514" s="10" t="s">
        <v>4760</v>
      </c>
      <c r="C1514" s="11" t="s">
        <v>166</v>
      </c>
      <c r="D1514" s="789"/>
      <c r="E1514" s="289">
        <v>63600</v>
      </c>
      <c r="F1514" s="287"/>
      <c r="G1514" s="6">
        <f t="shared" si="29"/>
        <v>63600</v>
      </c>
    </row>
    <row r="1515" spans="1:8" hidden="1" x14ac:dyDescent="0.25">
      <c r="A1515" s="116">
        <v>43549</v>
      </c>
      <c r="B1515" s="10" t="s">
        <v>4760</v>
      </c>
      <c r="C1515" s="11" t="s">
        <v>166</v>
      </c>
      <c r="D1515" s="789"/>
      <c r="E1515" s="289">
        <v>31800</v>
      </c>
      <c r="F1515" s="287"/>
      <c r="G1515" s="6">
        <f t="shared" si="29"/>
        <v>31800</v>
      </c>
    </row>
    <row r="1516" spans="1:8" hidden="1" x14ac:dyDescent="0.25">
      <c r="A1516" s="116">
        <v>43549</v>
      </c>
      <c r="B1516" s="10" t="s">
        <v>3765</v>
      </c>
      <c r="C1516" s="11" t="s">
        <v>1816</v>
      </c>
      <c r="D1516" s="789"/>
      <c r="E1516" s="289"/>
      <c r="F1516" s="342">
        <v>2039</v>
      </c>
      <c r="G1516" s="6">
        <f t="shared" si="29"/>
        <v>-2039</v>
      </c>
      <c r="H1516" s="81"/>
    </row>
    <row r="1517" spans="1:8" hidden="1" x14ac:dyDescent="0.25">
      <c r="A1517" s="116">
        <v>43549</v>
      </c>
      <c r="B1517" s="10" t="s">
        <v>2957</v>
      </c>
      <c r="C1517" s="11" t="s">
        <v>1816</v>
      </c>
      <c r="D1517" s="789"/>
      <c r="E1517" s="289"/>
      <c r="F1517" s="343">
        <v>151493</v>
      </c>
      <c r="G1517" s="6">
        <f t="shared" si="29"/>
        <v>-151493</v>
      </c>
      <c r="H1517" s="82"/>
    </row>
    <row r="1518" spans="1:8" hidden="1" x14ac:dyDescent="0.25">
      <c r="A1518" s="116">
        <v>43549</v>
      </c>
      <c r="B1518" s="10" t="s">
        <v>18</v>
      </c>
      <c r="C1518" s="11" t="s">
        <v>1816</v>
      </c>
      <c r="D1518" s="789"/>
      <c r="E1518" s="289"/>
      <c r="F1518" s="343">
        <v>1189</v>
      </c>
      <c r="G1518" s="6">
        <f t="shared" si="29"/>
        <v>-1189</v>
      </c>
      <c r="H1518" s="82" t="s">
        <v>4794</v>
      </c>
    </row>
    <row r="1519" spans="1:8" hidden="1" x14ac:dyDescent="0.25">
      <c r="A1519" s="116">
        <v>43549</v>
      </c>
      <c r="B1519" s="10" t="s">
        <v>1407</v>
      </c>
      <c r="C1519" s="11" t="s">
        <v>1816</v>
      </c>
      <c r="D1519" s="789"/>
      <c r="E1519" s="289"/>
      <c r="F1519" s="343">
        <v>212956</v>
      </c>
      <c r="G1519" s="6">
        <f t="shared" si="29"/>
        <v>-212956</v>
      </c>
      <c r="H1519" s="82"/>
    </row>
    <row r="1520" spans="1:8" ht="16.5" hidden="1" thickBot="1" x14ac:dyDescent="0.3">
      <c r="A1520" s="116">
        <v>43549</v>
      </c>
      <c r="B1520" s="10" t="s">
        <v>2675</v>
      </c>
      <c r="C1520" s="11" t="s">
        <v>1816</v>
      </c>
      <c r="D1520" s="789"/>
      <c r="E1520" s="289"/>
      <c r="F1520" s="344">
        <f>500000-F1519-F1518-F1517-F1516</f>
        <v>132323</v>
      </c>
      <c r="G1520" s="6">
        <f t="shared" si="29"/>
        <v>-132323</v>
      </c>
      <c r="H1520" s="83"/>
    </row>
    <row r="1521" spans="1:8" hidden="1" x14ac:dyDescent="0.25">
      <c r="A1521" s="116">
        <v>43549</v>
      </c>
      <c r="B1521" s="10" t="s">
        <v>2675</v>
      </c>
      <c r="C1521" s="11" t="s">
        <v>1816</v>
      </c>
      <c r="D1521" s="789"/>
      <c r="E1521" s="289"/>
      <c r="F1521" s="287">
        <v>477500</v>
      </c>
      <c r="G1521" s="6">
        <f t="shared" si="29"/>
        <v>-477500</v>
      </c>
      <c r="H1521" s="82" t="s">
        <v>4794</v>
      </c>
    </row>
    <row r="1522" spans="1:8" ht="16.5" hidden="1" thickBot="1" x14ac:dyDescent="0.3">
      <c r="A1522" s="116">
        <v>43568</v>
      </c>
      <c r="B1522" s="10" t="s">
        <v>2957</v>
      </c>
      <c r="C1522" s="11" t="s">
        <v>166</v>
      </c>
      <c r="E1522" s="301">
        <v>23400</v>
      </c>
      <c r="G1522" s="6">
        <f t="shared" si="29"/>
        <v>23400</v>
      </c>
    </row>
    <row r="1523" spans="1:8" hidden="1" x14ac:dyDescent="0.25">
      <c r="A1523" s="116">
        <v>43568</v>
      </c>
      <c r="B1523" s="10" t="s">
        <v>4760</v>
      </c>
      <c r="C1523" s="11" t="s">
        <v>1828</v>
      </c>
      <c r="E1523" s="299">
        <v>9652</v>
      </c>
      <c r="G1523" s="6">
        <f t="shared" si="29"/>
        <v>9652</v>
      </c>
    </row>
    <row r="1524" spans="1:8" ht="16.5" hidden="1" thickBot="1" x14ac:dyDescent="0.3">
      <c r="A1524" s="116">
        <v>43568</v>
      </c>
      <c r="B1524" s="10" t="s">
        <v>4760</v>
      </c>
      <c r="C1524" s="11" t="s">
        <v>1828</v>
      </c>
      <c r="E1524" s="300">
        <v>74142</v>
      </c>
      <c r="G1524" s="6">
        <f t="shared" si="29"/>
        <v>74142</v>
      </c>
    </row>
    <row r="1525" spans="1:8" hidden="1" x14ac:dyDescent="0.25">
      <c r="A1525" s="116">
        <v>43568</v>
      </c>
      <c r="B1525" s="10" t="s">
        <v>2957</v>
      </c>
      <c r="C1525" s="11" t="s">
        <v>3039</v>
      </c>
      <c r="F1525" s="9">
        <v>157740</v>
      </c>
      <c r="G1525" s="6">
        <f t="shared" si="29"/>
        <v>-157740</v>
      </c>
      <c r="H1525" s="81"/>
    </row>
    <row r="1526" spans="1:8" hidden="1" x14ac:dyDescent="0.25">
      <c r="A1526" s="116">
        <v>43568</v>
      </c>
      <c r="B1526" s="10" t="s">
        <v>2675</v>
      </c>
      <c r="C1526" s="11" t="s">
        <v>3039</v>
      </c>
      <c r="F1526" s="9">
        <v>6800</v>
      </c>
      <c r="G1526" s="6">
        <f t="shared" si="29"/>
        <v>-6800</v>
      </c>
      <c r="H1526" s="82" t="s">
        <v>4842</v>
      </c>
    </row>
    <row r="1527" spans="1:8" hidden="1" x14ac:dyDescent="0.25">
      <c r="A1527" s="116">
        <v>43568</v>
      </c>
      <c r="B1527" s="10" t="s">
        <v>2675</v>
      </c>
      <c r="C1527" s="11" t="s">
        <v>3039</v>
      </c>
      <c r="F1527" s="9">
        <v>-540</v>
      </c>
      <c r="G1527" s="6">
        <f t="shared" si="29"/>
        <v>540</v>
      </c>
      <c r="H1527" s="83"/>
    </row>
    <row r="1528" spans="1:8" hidden="1" x14ac:dyDescent="0.25">
      <c r="A1528" s="116">
        <v>43571</v>
      </c>
      <c r="B1528" s="10" t="s">
        <v>2957</v>
      </c>
      <c r="C1528" s="11" t="s">
        <v>3696</v>
      </c>
      <c r="E1528" s="112"/>
      <c r="F1528" s="19">
        <v>250000</v>
      </c>
      <c r="G1528" s="6">
        <f t="shared" si="29"/>
        <v>-250000</v>
      </c>
      <c r="H1528" s="82" t="s">
        <v>4843</v>
      </c>
    </row>
    <row r="1529" spans="1:8" hidden="1" x14ac:dyDescent="0.25">
      <c r="A1529" s="116">
        <v>43571</v>
      </c>
      <c r="B1529" s="10" t="s">
        <v>2957</v>
      </c>
      <c r="C1529" s="11" t="s">
        <v>3738</v>
      </c>
      <c r="E1529" s="112"/>
      <c r="F1529" s="19">
        <v>350000</v>
      </c>
      <c r="G1529" s="6">
        <f t="shared" si="29"/>
        <v>-350000</v>
      </c>
      <c r="H1529" s="82" t="s">
        <v>4844</v>
      </c>
    </row>
    <row r="1530" spans="1:8" hidden="1" x14ac:dyDescent="0.25">
      <c r="A1530" s="116">
        <v>43571</v>
      </c>
      <c r="B1530" s="10" t="s">
        <v>2810</v>
      </c>
      <c r="C1530" s="11" t="s">
        <v>161</v>
      </c>
      <c r="E1530" s="112"/>
      <c r="F1530" s="19">
        <v>200000</v>
      </c>
      <c r="G1530" s="6">
        <f t="shared" si="29"/>
        <v>-200000</v>
      </c>
      <c r="H1530" s="82" t="s">
        <v>4845</v>
      </c>
    </row>
    <row r="1531" spans="1:8" hidden="1" x14ac:dyDescent="0.25">
      <c r="A1531" s="116">
        <v>43571</v>
      </c>
      <c r="B1531" s="10" t="s">
        <v>2957</v>
      </c>
      <c r="C1531" s="11" t="s">
        <v>180</v>
      </c>
      <c r="E1531" s="112"/>
      <c r="F1531" s="19">
        <v>400000</v>
      </c>
      <c r="G1531" s="6">
        <f t="shared" si="29"/>
        <v>-400000</v>
      </c>
      <c r="H1531" s="82" t="s">
        <v>4846</v>
      </c>
    </row>
    <row r="1532" spans="1:8" hidden="1" x14ac:dyDescent="0.25">
      <c r="A1532" s="116">
        <v>43571</v>
      </c>
      <c r="B1532" s="10" t="s">
        <v>2957</v>
      </c>
      <c r="C1532" s="11" t="s">
        <v>4445</v>
      </c>
      <c r="E1532" s="112"/>
      <c r="F1532" s="19">
        <v>200000</v>
      </c>
      <c r="G1532" s="6">
        <f t="shared" si="29"/>
        <v>-200000</v>
      </c>
      <c r="H1532" s="82" t="s">
        <v>4848</v>
      </c>
    </row>
    <row r="1533" spans="1:8" hidden="1" x14ac:dyDescent="0.25">
      <c r="A1533" s="116">
        <v>43571</v>
      </c>
      <c r="B1533" s="10" t="s">
        <v>1407</v>
      </c>
      <c r="C1533" s="11" t="s">
        <v>1828</v>
      </c>
      <c r="E1533" s="112"/>
      <c r="F1533" s="19">
        <v>300000</v>
      </c>
      <c r="G1533" s="6">
        <f t="shared" si="29"/>
        <v>-300000</v>
      </c>
      <c r="H1533" s="82" t="s">
        <v>4849</v>
      </c>
    </row>
    <row r="1534" spans="1:8" hidden="1" x14ac:dyDescent="0.25">
      <c r="A1534" s="116">
        <v>43571</v>
      </c>
      <c r="B1534" s="10" t="s">
        <v>1407</v>
      </c>
      <c r="C1534" s="11" t="s">
        <v>164</v>
      </c>
      <c r="E1534" s="112"/>
      <c r="F1534" s="19">
        <v>35000</v>
      </c>
      <c r="G1534" s="6">
        <f t="shared" si="29"/>
        <v>-35000</v>
      </c>
      <c r="H1534" s="82" t="s">
        <v>4852</v>
      </c>
    </row>
    <row r="1535" spans="1:8" hidden="1" x14ac:dyDescent="0.25">
      <c r="A1535" s="116">
        <v>43573</v>
      </c>
      <c r="B1535" s="10" t="s">
        <v>1407</v>
      </c>
      <c r="C1535" s="11" t="s">
        <v>4853</v>
      </c>
      <c r="E1535" s="8">
        <v>15319</v>
      </c>
      <c r="G1535" s="6">
        <f t="shared" si="29"/>
        <v>15319</v>
      </c>
    </row>
    <row r="1536" spans="1:8" hidden="1" x14ac:dyDescent="0.25">
      <c r="A1536" s="116">
        <v>43574</v>
      </c>
      <c r="B1536" s="10" t="s">
        <v>1407</v>
      </c>
      <c r="C1536" s="11" t="s">
        <v>1816</v>
      </c>
      <c r="E1536" s="299">
        <v>60000</v>
      </c>
      <c r="G1536" s="6">
        <f t="shared" si="29"/>
        <v>60000</v>
      </c>
    </row>
    <row r="1537" spans="1:8" hidden="1" x14ac:dyDescent="0.25">
      <c r="A1537" s="116">
        <v>43574</v>
      </c>
      <c r="B1537" s="10" t="s">
        <v>2675</v>
      </c>
      <c r="C1537" s="11" t="s">
        <v>1816</v>
      </c>
      <c r="E1537" s="8">
        <v>19668</v>
      </c>
      <c r="G1537" s="6">
        <f t="shared" si="29"/>
        <v>19668</v>
      </c>
    </row>
    <row r="1538" spans="1:8" hidden="1" x14ac:dyDescent="0.25">
      <c r="A1538" s="116">
        <v>43574</v>
      </c>
      <c r="B1538" s="10" t="s">
        <v>2675</v>
      </c>
      <c r="C1538" s="11" t="s">
        <v>1816</v>
      </c>
      <c r="E1538" s="8">
        <v>51207</v>
      </c>
      <c r="G1538" s="6">
        <f t="shared" si="29"/>
        <v>51207</v>
      </c>
    </row>
    <row r="1539" spans="1:8" hidden="1" x14ac:dyDescent="0.25">
      <c r="A1539" s="116">
        <v>43574</v>
      </c>
      <c r="B1539" s="10" t="s">
        <v>2675</v>
      </c>
      <c r="C1539" s="11" t="s">
        <v>1816</v>
      </c>
      <c r="E1539" s="8">
        <v>2067</v>
      </c>
      <c r="G1539" s="6">
        <f t="shared" si="29"/>
        <v>2067</v>
      </c>
    </row>
    <row r="1540" spans="1:8" hidden="1" x14ac:dyDescent="0.25">
      <c r="A1540" s="116">
        <v>43574</v>
      </c>
      <c r="B1540" s="10" t="s">
        <v>1407</v>
      </c>
      <c r="C1540" s="11" t="s">
        <v>1816</v>
      </c>
      <c r="E1540" s="8">
        <v>1708</v>
      </c>
      <c r="G1540" s="6">
        <f t="shared" si="29"/>
        <v>1708</v>
      </c>
    </row>
    <row r="1541" spans="1:8" hidden="1" x14ac:dyDescent="0.25">
      <c r="A1541" s="116">
        <v>43574</v>
      </c>
      <c r="B1541" s="10" t="s">
        <v>2675</v>
      </c>
      <c r="C1541" s="11" t="s">
        <v>1816</v>
      </c>
      <c r="E1541" s="8">
        <v>43272</v>
      </c>
      <c r="G1541" s="6">
        <f t="shared" si="29"/>
        <v>43272</v>
      </c>
    </row>
    <row r="1542" spans="1:8" hidden="1" x14ac:dyDescent="0.25">
      <c r="A1542" s="116">
        <v>43574</v>
      </c>
      <c r="B1542" s="10" t="s">
        <v>2675</v>
      </c>
      <c r="C1542" s="11" t="s">
        <v>1816</v>
      </c>
      <c r="E1542" s="8">
        <v>83066</v>
      </c>
      <c r="G1542" s="6">
        <f t="shared" si="29"/>
        <v>83066</v>
      </c>
    </row>
    <row r="1543" spans="1:8" hidden="1" x14ac:dyDescent="0.25">
      <c r="A1543" s="116">
        <v>43574</v>
      </c>
      <c r="B1543" s="10" t="s">
        <v>1407</v>
      </c>
      <c r="C1543" s="11" t="s">
        <v>1816</v>
      </c>
      <c r="E1543" s="8">
        <v>2040</v>
      </c>
      <c r="G1543" s="6">
        <f t="shared" si="29"/>
        <v>2040</v>
      </c>
    </row>
    <row r="1544" spans="1:8" ht="16.5" hidden="1" thickBot="1" x14ac:dyDescent="0.3">
      <c r="A1544" s="116">
        <v>43574</v>
      </c>
      <c r="B1544" s="10" t="s">
        <v>2675</v>
      </c>
      <c r="C1544" s="11" t="s">
        <v>1816</v>
      </c>
      <c r="E1544" s="300">
        <v>17118</v>
      </c>
      <c r="G1544" s="6">
        <f t="shared" si="29"/>
        <v>17118</v>
      </c>
    </row>
    <row r="1545" spans="1:8" hidden="1" x14ac:dyDescent="0.25">
      <c r="A1545" s="116">
        <v>43574</v>
      </c>
      <c r="B1545" s="10" t="s">
        <v>1407</v>
      </c>
      <c r="C1545" s="11" t="s">
        <v>3255</v>
      </c>
      <c r="E1545" s="8">
        <f>7300000+1000000</f>
        <v>8300000</v>
      </c>
      <c r="G1545" s="6">
        <f t="shared" si="29"/>
        <v>8300000</v>
      </c>
    </row>
    <row r="1546" spans="1:8" hidden="1" x14ac:dyDescent="0.25">
      <c r="A1546" s="116">
        <v>43580</v>
      </c>
      <c r="B1546" s="10" t="s">
        <v>2957</v>
      </c>
      <c r="C1546" s="11" t="s">
        <v>166</v>
      </c>
      <c r="E1546" s="8">
        <v>24000</v>
      </c>
      <c r="G1546" s="6">
        <f t="shared" si="29"/>
        <v>24000</v>
      </c>
    </row>
    <row r="1547" spans="1:8" hidden="1" x14ac:dyDescent="0.25">
      <c r="A1547" s="116">
        <v>43580</v>
      </c>
      <c r="B1547" s="10" t="s">
        <v>2957</v>
      </c>
      <c r="C1547" s="11" t="s">
        <v>180</v>
      </c>
      <c r="E1547" s="8">
        <v>66000</v>
      </c>
      <c r="G1547" s="6">
        <f t="shared" si="29"/>
        <v>66000</v>
      </c>
    </row>
    <row r="1548" spans="1:8" hidden="1" x14ac:dyDescent="0.25">
      <c r="A1548" s="116">
        <v>43580</v>
      </c>
      <c r="B1548" s="10" t="s">
        <v>1407</v>
      </c>
      <c r="C1548" s="11" t="s">
        <v>164</v>
      </c>
      <c r="E1548" s="8">
        <v>19095</v>
      </c>
      <c r="G1548" s="6">
        <f t="shared" si="29"/>
        <v>19095</v>
      </c>
    </row>
    <row r="1549" spans="1:8" hidden="1" x14ac:dyDescent="0.25">
      <c r="A1549" s="116">
        <v>43580</v>
      </c>
      <c r="B1549" s="10" t="s">
        <v>2675</v>
      </c>
      <c r="C1549" s="11" t="s">
        <v>3039</v>
      </c>
      <c r="F1549" s="9">
        <v>15000</v>
      </c>
      <c r="G1549" s="6">
        <f t="shared" si="29"/>
        <v>-15000</v>
      </c>
      <c r="H1549" s="7" t="s">
        <v>4885</v>
      </c>
    </row>
    <row r="1550" spans="1:8" hidden="1" x14ac:dyDescent="0.25">
      <c r="A1550" s="116">
        <v>43580</v>
      </c>
      <c r="B1550" s="10" t="s">
        <v>2675</v>
      </c>
      <c r="C1550" s="11" t="s">
        <v>3039</v>
      </c>
      <c r="F1550" s="9">
        <v>540</v>
      </c>
      <c r="G1550" s="6">
        <f t="shared" si="29"/>
        <v>-540</v>
      </c>
      <c r="H1550" s="7" t="s">
        <v>3951</v>
      </c>
    </row>
    <row r="1551" spans="1:8" hidden="1" x14ac:dyDescent="0.25">
      <c r="A1551" s="116">
        <v>43580</v>
      </c>
      <c r="B1551" s="10" t="s">
        <v>2675</v>
      </c>
      <c r="C1551" s="11" t="s">
        <v>3039</v>
      </c>
      <c r="F1551" s="9">
        <v>82500</v>
      </c>
      <c r="G1551" s="6">
        <f t="shared" si="29"/>
        <v>-82500</v>
      </c>
      <c r="H1551" s="32" t="s">
        <v>4884</v>
      </c>
    </row>
    <row r="1552" spans="1:8" hidden="1" x14ac:dyDescent="0.25">
      <c r="A1552" s="116">
        <v>43582</v>
      </c>
      <c r="B1552" s="10" t="s">
        <v>2675</v>
      </c>
      <c r="C1552" s="11" t="s">
        <v>1816</v>
      </c>
      <c r="E1552" s="112">
        <v>48168</v>
      </c>
      <c r="F1552" s="113"/>
      <c r="G1552" s="6">
        <f t="shared" si="29"/>
        <v>48168</v>
      </c>
    </row>
    <row r="1553" spans="1:8" hidden="1" x14ac:dyDescent="0.25">
      <c r="A1553" s="116">
        <v>43582</v>
      </c>
      <c r="B1553" s="10" t="s">
        <v>2675</v>
      </c>
      <c r="C1553" s="11" t="s">
        <v>1816</v>
      </c>
      <c r="E1553" s="112">
        <v>5264</v>
      </c>
      <c r="F1553" s="114"/>
      <c r="G1553" s="6">
        <f t="shared" si="29"/>
        <v>5264</v>
      </c>
    </row>
    <row r="1554" spans="1:8" hidden="1" x14ac:dyDescent="0.25">
      <c r="A1554" s="116">
        <v>43582</v>
      </c>
      <c r="B1554" s="10" t="s">
        <v>2675</v>
      </c>
      <c r="C1554" s="11" t="s">
        <v>1816</v>
      </c>
      <c r="E1554" s="112">
        <v>44503</v>
      </c>
      <c r="F1554" s="114"/>
      <c r="G1554" s="6">
        <f t="shared" si="29"/>
        <v>44503</v>
      </c>
    </row>
    <row r="1555" spans="1:8" hidden="1" x14ac:dyDescent="0.25">
      <c r="A1555" s="116">
        <v>43582</v>
      </c>
      <c r="B1555" s="10" t="s">
        <v>2675</v>
      </c>
      <c r="C1555" s="11" t="s">
        <v>1816</v>
      </c>
      <c r="E1555" s="112">
        <v>3198</v>
      </c>
      <c r="F1555" s="114"/>
      <c r="G1555" s="6">
        <f t="shared" si="29"/>
        <v>3198</v>
      </c>
    </row>
    <row r="1556" spans="1:8" hidden="1" x14ac:dyDescent="0.25">
      <c r="A1556" s="116">
        <v>43582</v>
      </c>
      <c r="B1556" s="10" t="s">
        <v>1407</v>
      </c>
      <c r="C1556" s="11" t="s">
        <v>1816</v>
      </c>
      <c r="E1556" s="112">
        <v>2592</v>
      </c>
      <c r="F1556" s="115"/>
      <c r="G1556" s="6">
        <f t="shared" si="29"/>
        <v>2592</v>
      </c>
    </row>
    <row r="1557" spans="1:8" hidden="1" x14ac:dyDescent="0.25">
      <c r="A1557" s="116">
        <v>43580</v>
      </c>
      <c r="B1557" s="10" t="s">
        <v>2957</v>
      </c>
      <c r="C1557" s="11" t="s">
        <v>180</v>
      </c>
      <c r="E1557" s="112"/>
      <c r="F1557" s="19">
        <v>250000</v>
      </c>
      <c r="G1557" s="6">
        <f t="shared" ref="G1557:G1618" si="30">E1557-F1557</f>
        <v>-250000</v>
      </c>
      <c r="H1557" s="82" t="s">
        <v>4890</v>
      </c>
    </row>
    <row r="1558" spans="1:8" hidden="1" x14ac:dyDescent="0.25">
      <c r="A1558" s="116">
        <v>43587</v>
      </c>
      <c r="B1558" s="10" t="s">
        <v>1407</v>
      </c>
      <c r="C1558" s="11" t="s">
        <v>166</v>
      </c>
      <c r="E1558" s="8">
        <v>50800</v>
      </c>
      <c r="G1558" s="6">
        <f t="shared" si="30"/>
        <v>50800</v>
      </c>
    </row>
    <row r="1559" spans="1:8" hidden="1" x14ac:dyDescent="0.25">
      <c r="A1559" s="116">
        <v>43587</v>
      </c>
      <c r="B1559" s="10" t="s">
        <v>1407</v>
      </c>
      <c r="C1559" s="11" t="s">
        <v>4853</v>
      </c>
      <c r="E1559" s="8">
        <v>4400</v>
      </c>
      <c r="G1559" s="6">
        <f t="shared" si="30"/>
        <v>4400</v>
      </c>
    </row>
    <row r="1560" spans="1:8" hidden="1" x14ac:dyDescent="0.25">
      <c r="A1560" s="116">
        <v>43595</v>
      </c>
      <c r="B1560" s="10" t="s">
        <v>4924</v>
      </c>
      <c r="C1560" s="11" t="s">
        <v>164</v>
      </c>
      <c r="E1560" s="8">
        <v>262657</v>
      </c>
      <c r="G1560" s="6">
        <f t="shared" si="30"/>
        <v>262657</v>
      </c>
    </row>
    <row r="1561" spans="1:8" hidden="1" x14ac:dyDescent="0.25">
      <c r="A1561" s="116">
        <v>43595</v>
      </c>
      <c r="B1561" s="10" t="s">
        <v>1407</v>
      </c>
      <c r="C1561" s="11" t="s">
        <v>164</v>
      </c>
      <c r="E1561" s="8">
        <v>63122</v>
      </c>
      <c r="G1561" s="6">
        <f t="shared" si="30"/>
        <v>63122</v>
      </c>
    </row>
    <row r="1562" spans="1:8" hidden="1" x14ac:dyDescent="0.25">
      <c r="A1562" s="116">
        <v>43595</v>
      </c>
      <c r="B1562" s="10" t="s">
        <v>1407</v>
      </c>
      <c r="C1562" s="11" t="s">
        <v>164</v>
      </c>
      <c r="E1562" s="8">
        <v>23172</v>
      </c>
      <c r="G1562" s="6">
        <f t="shared" si="30"/>
        <v>23172</v>
      </c>
    </row>
    <row r="1563" spans="1:8" hidden="1" x14ac:dyDescent="0.25">
      <c r="A1563" s="116">
        <v>43596</v>
      </c>
      <c r="B1563" s="10" t="s">
        <v>1407</v>
      </c>
      <c r="C1563" s="11" t="s">
        <v>4853</v>
      </c>
      <c r="E1563" s="8">
        <v>3800</v>
      </c>
      <c r="G1563" s="6">
        <f t="shared" si="30"/>
        <v>3800</v>
      </c>
    </row>
    <row r="1564" spans="1:8" hidden="1" x14ac:dyDescent="0.25">
      <c r="A1564" s="116">
        <v>43596</v>
      </c>
      <c r="B1564" s="10" t="s">
        <v>2957</v>
      </c>
      <c r="C1564" s="11" t="s">
        <v>4853</v>
      </c>
      <c r="E1564" s="8">
        <v>36604</v>
      </c>
      <c r="G1564" s="6">
        <f t="shared" si="30"/>
        <v>36604</v>
      </c>
    </row>
    <row r="1565" spans="1:8" hidden="1" x14ac:dyDescent="0.25">
      <c r="A1565" s="116">
        <v>43596</v>
      </c>
      <c r="B1565" s="10" t="s">
        <v>2957</v>
      </c>
      <c r="C1565" s="11" t="s">
        <v>4853</v>
      </c>
      <c r="F1565" s="9">
        <v>30000</v>
      </c>
      <c r="G1565" s="6">
        <f t="shared" si="30"/>
        <v>-30000</v>
      </c>
      <c r="H1565" s="82" t="s">
        <v>4925</v>
      </c>
    </row>
    <row r="1566" spans="1:8" hidden="1" x14ac:dyDescent="0.25">
      <c r="A1566" s="116">
        <v>43599</v>
      </c>
      <c r="B1566" s="10" t="s">
        <v>2957</v>
      </c>
      <c r="C1566" s="11" t="s">
        <v>3039</v>
      </c>
      <c r="D1566" s="789"/>
      <c r="E1566" s="288">
        <v>80000</v>
      </c>
      <c r="F1566" s="287"/>
      <c r="G1566" s="6">
        <f t="shared" si="30"/>
        <v>80000</v>
      </c>
    </row>
    <row r="1567" spans="1:8" hidden="1"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hidden="1" x14ac:dyDescent="0.25">
      <c r="A1569" s="116">
        <v>43599</v>
      </c>
      <c r="B1569" s="10" t="s">
        <v>2957</v>
      </c>
      <c r="C1569" s="11" t="s">
        <v>2281</v>
      </c>
      <c r="E1569" s="8">
        <v>325000</v>
      </c>
      <c r="G1569" s="6">
        <f t="shared" si="30"/>
        <v>325000</v>
      </c>
    </row>
    <row r="1570" spans="1:8" hidden="1" x14ac:dyDescent="0.25">
      <c r="A1570" s="116">
        <v>43599</v>
      </c>
      <c r="B1570" s="10" t="s">
        <v>2957</v>
      </c>
      <c r="C1570" s="11" t="s">
        <v>2281</v>
      </c>
      <c r="E1570" s="8">
        <v>325000</v>
      </c>
      <c r="G1570" s="6">
        <f t="shared" si="30"/>
        <v>325000</v>
      </c>
    </row>
    <row r="1571" spans="1:8" hidden="1" x14ac:dyDescent="0.25">
      <c r="A1571" s="116">
        <v>43599</v>
      </c>
      <c r="B1571" s="10" t="s">
        <v>2957</v>
      </c>
      <c r="C1571" s="11" t="s">
        <v>2281</v>
      </c>
      <c r="E1571" s="8">
        <v>60670</v>
      </c>
      <c r="G1571" s="6">
        <f t="shared" si="30"/>
        <v>60670</v>
      </c>
    </row>
    <row r="1572" spans="1:8" hidden="1" x14ac:dyDescent="0.25">
      <c r="A1572" s="116">
        <v>43599</v>
      </c>
      <c r="B1572" s="10" t="s">
        <v>2957</v>
      </c>
      <c r="C1572" s="11" t="s">
        <v>2281</v>
      </c>
      <c r="E1572" s="8">
        <v>49000</v>
      </c>
      <c r="G1572" s="6">
        <f t="shared" si="30"/>
        <v>49000</v>
      </c>
    </row>
    <row r="1573" spans="1:8" hidden="1" x14ac:dyDescent="0.25">
      <c r="A1573" s="116">
        <v>43599</v>
      </c>
      <c r="B1573" s="10" t="s">
        <v>2957</v>
      </c>
      <c r="C1573" s="11" t="s">
        <v>2281</v>
      </c>
      <c r="E1573" s="8">
        <v>197000</v>
      </c>
      <c r="G1573" s="6">
        <f t="shared" si="30"/>
        <v>197000</v>
      </c>
    </row>
    <row r="1574" spans="1:8" hidden="1" x14ac:dyDescent="0.25">
      <c r="A1574" s="116">
        <v>43599</v>
      </c>
      <c r="B1574" s="10" t="s">
        <v>2957</v>
      </c>
      <c r="C1574" s="11" t="s">
        <v>2281</v>
      </c>
      <c r="E1574" s="8">
        <v>33000</v>
      </c>
      <c r="G1574" s="6">
        <f t="shared" si="30"/>
        <v>33000</v>
      </c>
    </row>
    <row r="1575" spans="1:8" hidden="1" x14ac:dyDescent="0.25">
      <c r="A1575" s="116">
        <v>43599</v>
      </c>
      <c r="B1575" s="10" t="s">
        <v>2957</v>
      </c>
      <c r="C1575" s="11" t="s">
        <v>2281</v>
      </c>
      <c r="E1575" s="8">
        <v>200800</v>
      </c>
      <c r="G1575" s="6">
        <f t="shared" si="30"/>
        <v>200800</v>
      </c>
    </row>
    <row r="1576" spans="1:8" hidden="1" x14ac:dyDescent="0.25">
      <c r="A1576" s="116">
        <v>43599</v>
      </c>
      <c r="B1576" s="10" t="s">
        <v>1407</v>
      </c>
      <c r="C1576" s="11" t="s">
        <v>2281</v>
      </c>
      <c r="E1576" s="8">
        <v>134340</v>
      </c>
      <c r="G1576" s="6">
        <f t="shared" si="30"/>
        <v>134340</v>
      </c>
    </row>
    <row r="1577" spans="1:8" hidden="1" x14ac:dyDescent="0.25">
      <c r="A1577" s="116">
        <v>43599</v>
      </c>
      <c r="B1577" s="10" t="s">
        <v>1407</v>
      </c>
      <c r="C1577" s="11" t="s">
        <v>2281</v>
      </c>
      <c r="E1577" s="8">
        <v>4800</v>
      </c>
      <c r="G1577" s="6">
        <f t="shared" si="30"/>
        <v>4800</v>
      </c>
    </row>
    <row r="1578" spans="1:8" hidden="1" x14ac:dyDescent="0.25">
      <c r="A1578" s="116">
        <v>43599</v>
      </c>
      <c r="B1578" s="10" t="s">
        <v>1407</v>
      </c>
      <c r="C1578" s="11" t="s">
        <v>2281</v>
      </c>
      <c r="E1578" s="8">
        <v>87200</v>
      </c>
      <c r="G1578" s="6">
        <f t="shared" si="30"/>
        <v>87200</v>
      </c>
    </row>
    <row r="1579" spans="1:8" hidden="1" x14ac:dyDescent="0.25">
      <c r="A1579" s="116">
        <v>43599</v>
      </c>
      <c r="B1579" s="10" t="s">
        <v>2675</v>
      </c>
      <c r="C1579" s="11" t="s">
        <v>2281</v>
      </c>
      <c r="E1579" s="8">
        <v>293900</v>
      </c>
      <c r="G1579" s="6">
        <f t="shared" si="30"/>
        <v>293900</v>
      </c>
    </row>
    <row r="1580" spans="1:8" hidden="1" x14ac:dyDescent="0.25">
      <c r="A1580" s="116">
        <v>43599</v>
      </c>
      <c r="B1580" s="10" t="s">
        <v>2675</v>
      </c>
      <c r="C1580" s="11" t="s">
        <v>2281</v>
      </c>
      <c r="E1580" s="8">
        <v>38000</v>
      </c>
      <c r="G1580" s="6">
        <f t="shared" si="30"/>
        <v>38000</v>
      </c>
    </row>
    <row r="1581" spans="1:8" hidden="1" x14ac:dyDescent="0.25">
      <c r="A1581" s="116">
        <v>43599</v>
      </c>
      <c r="B1581" s="10" t="s">
        <v>3765</v>
      </c>
      <c r="C1581" s="11" t="s">
        <v>2281</v>
      </c>
      <c r="E1581" s="8">
        <v>136700</v>
      </c>
      <c r="G1581" s="6">
        <f t="shared" si="30"/>
        <v>136700</v>
      </c>
    </row>
    <row r="1582" spans="1:8" hidden="1" x14ac:dyDescent="0.25">
      <c r="A1582" s="116">
        <v>43599</v>
      </c>
      <c r="B1582" s="10" t="s">
        <v>1407</v>
      </c>
      <c r="C1582" s="11" t="s">
        <v>3255</v>
      </c>
      <c r="F1582" s="9">
        <v>6170000</v>
      </c>
      <c r="G1582" s="6">
        <f t="shared" si="30"/>
        <v>-6170000</v>
      </c>
      <c r="H1582" s="127" t="s">
        <v>4969</v>
      </c>
    </row>
    <row r="1583" spans="1:8" hidden="1" x14ac:dyDescent="0.25">
      <c r="A1583" s="116">
        <v>43607</v>
      </c>
      <c r="B1583" s="10" t="s">
        <v>1407</v>
      </c>
      <c r="C1583" s="11" t="s">
        <v>1828</v>
      </c>
      <c r="E1583" s="8">
        <v>97336</v>
      </c>
      <c r="G1583" s="6">
        <f t="shared" si="30"/>
        <v>97336</v>
      </c>
    </row>
    <row r="1584" spans="1:8" hidden="1" x14ac:dyDescent="0.25">
      <c r="A1584" s="116">
        <v>43607</v>
      </c>
      <c r="B1584" s="10" t="s">
        <v>2243</v>
      </c>
      <c r="C1584" s="11" t="s">
        <v>2281</v>
      </c>
      <c r="F1584" s="9">
        <v>50000</v>
      </c>
      <c r="G1584" s="6">
        <f t="shared" si="30"/>
        <v>-50000</v>
      </c>
      <c r="H1584" s="7" t="s">
        <v>5019</v>
      </c>
    </row>
    <row r="1585" spans="1:8" hidden="1" x14ac:dyDescent="0.25">
      <c r="A1585" s="116">
        <v>43607</v>
      </c>
      <c r="B1585" s="10" t="s">
        <v>1500</v>
      </c>
      <c r="C1585" s="11" t="s">
        <v>2281</v>
      </c>
      <c r="F1585" s="9">
        <v>30976</v>
      </c>
      <c r="G1585" s="6">
        <f t="shared" si="30"/>
        <v>-30976</v>
      </c>
      <c r="H1585" s="7" t="s">
        <v>5019</v>
      </c>
    </row>
    <row r="1586" spans="1:8" hidden="1" x14ac:dyDescent="0.25">
      <c r="A1586" s="116">
        <v>43607</v>
      </c>
      <c r="B1586" s="10" t="s">
        <v>1404</v>
      </c>
      <c r="C1586" s="11" t="s">
        <v>2281</v>
      </c>
      <c r="F1586" s="9">
        <v>316488</v>
      </c>
      <c r="G1586" s="6">
        <f t="shared" si="30"/>
        <v>-316488</v>
      </c>
      <c r="H1586" s="7" t="s">
        <v>5019</v>
      </c>
    </row>
    <row r="1587" spans="1:8" hidden="1" x14ac:dyDescent="0.25">
      <c r="A1587" s="116">
        <v>43607</v>
      </c>
      <c r="B1587" s="10" t="s">
        <v>1407</v>
      </c>
      <c r="C1587" s="11" t="s">
        <v>2281</v>
      </c>
      <c r="F1587" s="9">
        <v>370621</v>
      </c>
      <c r="G1587" s="6">
        <f t="shared" si="30"/>
        <v>-370621</v>
      </c>
      <c r="H1587" s="7" t="s">
        <v>5019</v>
      </c>
    </row>
    <row r="1588" spans="1:8" hidden="1" x14ac:dyDescent="0.25">
      <c r="A1588" s="116">
        <v>43613</v>
      </c>
      <c r="B1588" s="10" t="s">
        <v>2957</v>
      </c>
      <c r="C1588" s="11" t="s">
        <v>3696</v>
      </c>
      <c r="F1588" s="9">
        <v>200000</v>
      </c>
      <c r="G1588" s="6">
        <f t="shared" si="30"/>
        <v>-200000</v>
      </c>
      <c r="H1588" s="82" t="s">
        <v>5021</v>
      </c>
    </row>
    <row r="1589" spans="1:8" hidden="1" x14ac:dyDescent="0.25">
      <c r="A1589" s="116">
        <v>43613</v>
      </c>
      <c r="B1589" s="10" t="s">
        <v>1407</v>
      </c>
      <c r="C1589" s="11" t="s">
        <v>164</v>
      </c>
      <c r="F1589" s="9">
        <v>108607</v>
      </c>
      <c r="G1589" s="6">
        <f t="shared" si="30"/>
        <v>-108607</v>
      </c>
      <c r="H1589" s="81" t="s">
        <v>5022</v>
      </c>
    </row>
    <row r="1590" spans="1:8" hidden="1" x14ac:dyDescent="0.25">
      <c r="A1590" s="116">
        <v>43613</v>
      </c>
      <c r="B1590" s="10" t="s">
        <v>4924</v>
      </c>
      <c r="C1590" s="11" t="s">
        <v>164</v>
      </c>
      <c r="F1590" s="9">
        <f>300000-F1589</f>
        <v>191393</v>
      </c>
      <c r="G1590" s="6">
        <f t="shared" si="30"/>
        <v>-191393</v>
      </c>
      <c r="H1590" s="83" t="s">
        <v>5023</v>
      </c>
    </row>
    <row r="1591" spans="1:8" hidden="1" x14ac:dyDescent="0.25">
      <c r="A1591" s="116">
        <v>43614</v>
      </c>
      <c r="B1591" s="10" t="s">
        <v>4760</v>
      </c>
      <c r="C1591" s="11" t="s">
        <v>166</v>
      </c>
      <c r="F1591" s="9">
        <v>198400</v>
      </c>
      <c r="G1591" s="6">
        <f t="shared" si="30"/>
        <v>-198400</v>
      </c>
      <c r="H1591" s="81"/>
    </row>
    <row r="1592" spans="1:8" hidden="1" x14ac:dyDescent="0.25">
      <c r="A1592" s="116">
        <v>43614</v>
      </c>
      <c r="B1592" s="10" t="s">
        <v>1407</v>
      </c>
      <c r="C1592" s="11" t="s">
        <v>166</v>
      </c>
      <c r="F1592" s="9">
        <v>25524</v>
      </c>
      <c r="G1592" s="6">
        <f t="shared" si="30"/>
        <v>-25524</v>
      </c>
      <c r="H1592" s="82" t="s">
        <v>5024</v>
      </c>
    </row>
    <row r="1593" spans="1:8" hidden="1" x14ac:dyDescent="0.25">
      <c r="A1593" s="116">
        <v>43614</v>
      </c>
      <c r="B1593" s="10" t="s">
        <v>2957</v>
      </c>
      <c r="C1593" s="11" t="s">
        <v>166</v>
      </c>
      <c r="F1593" s="9">
        <f>82400</f>
        <v>82400</v>
      </c>
      <c r="G1593" s="6">
        <f t="shared" si="30"/>
        <v>-82400</v>
      </c>
      <c r="H1593" s="82"/>
    </row>
    <row r="1594" spans="1:8" hidden="1" x14ac:dyDescent="0.25">
      <c r="A1594" s="116">
        <v>43614</v>
      </c>
      <c r="B1594" s="10" t="s">
        <v>2675</v>
      </c>
      <c r="C1594" s="11" t="s">
        <v>166</v>
      </c>
      <c r="F1594" s="9">
        <v>28500</v>
      </c>
      <c r="G1594" s="6">
        <f t="shared" si="30"/>
        <v>-28500</v>
      </c>
      <c r="H1594" s="82"/>
    </row>
    <row r="1595" spans="1:8" hidden="1" x14ac:dyDescent="0.25">
      <c r="A1595" s="116">
        <v>43614</v>
      </c>
      <c r="B1595" s="10" t="s">
        <v>1407</v>
      </c>
      <c r="C1595" s="11" t="s">
        <v>166</v>
      </c>
      <c r="F1595" s="9">
        <f>500000-F1593-F1592-F1591-14011-14489</f>
        <v>165176</v>
      </c>
      <c r="G1595" s="6">
        <f t="shared" si="30"/>
        <v>-165176</v>
      </c>
      <c r="H1595" s="83"/>
    </row>
    <row r="1596" spans="1:8" hidden="1" x14ac:dyDescent="0.25">
      <c r="A1596" s="116">
        <v>43614</v>
      </c>
      <c r="B1596" s="10" t="s">
        <v>1407</v>
      </c>
      <c r="C1596" s="11" t="s">
        <v>1828</v>
      </c>
      <c r="F1596" s="9">
        <v>300000</v>
      </c>
      <c r="G1596" s="6">
        <f t="shared" si="30"/>
        <v>-300000</v>
      </c>
      <c r="H1596" s="82" t="s">
        <v>5025</v>
      </c>
    </row>
    <row r="1597" spans="1:8" hidden="1" x14ac:dyDescent="0.25">
      <c r="A1597" s="116">
        <v>43617</v>
      </c>
      <c r="B1597" s="10" t="s">
        <v>2957</v>
      </c>
      <c r="C1597" s="11" t="s">
        <v>3738</v>
      </c>
      <c r="F1597" s="9">
        <v>100000</v>
      </c>
      <c r="G1597" s="6">
        <f t="shared" si="30"/>
        <v>-100000</v>
      </c>
      <c r="H1597" s="32" t="s">
        <v>5047</v>
      </c>
    </row>
    <row r="1598" spans="1:8" hidden="1" x14ac:dyDescent="0.25">
      <c r="A1598" s="116">
        <v>43617</v>
      </c>
      <c r="B1598" s="10" t="s">
        <v>2957</v>
      </c>
      <c r="C1598" s="11" t="s">
        <v>3738</v>
      </c>
      <c r="F1598" s="9">
        <v>100000</v>
      </c>
      <c r="G1598" s="6">
        <f t="shared" si="30"/>
        <v>-100000</v>
      </c>
      <c r="H1598" s="32" t="s">
        <v>5047</v>
      </c>
    </row>
    <row r="1599" spans="1:8" hidden="1" x14ac:dyDescent="0.25">
      <c r="A1599" s="116">
        <v>43619</v>
      </c>
      <c r="B1599" s="10" t="s">
        <v>2957</v>
      </c>
      <c r="C1599" s="11" t="s">
        <v>3039</v>
      </c>
      <c r="E1599" s="8">
        <v>135000</v>
      </c>
      <c r="G1599" s="6">
        <f t="shared" si="30"/>
        <v>135000</v>
      </c>
    </row>
    <row r="1600" spans="1:8" hidden="1" x14ac:dyDescent="0.25">
      <c r="A1600" s="116">
        <v>43628</v>
      </c>
      <c r="B1600" s="10" t="s">
        <v>2675</v>
      </c>
      <c r="C1600" s="11" t="s">
        <v>1816</v>
      </c>
      <c r="D1600" s="789"/>
      <c r="E1600" s="288">
        <v>240</v>
      </c>
      <c r="F1600" s="287"/>
      <c r="G1600" s="6">
        <f t="shared" si="30"/>
        <v>240</v>
      </c>
    </row>
    <row r="1601" spans="1:8" hidden="1" x14ac:dyDescent="0.25">
      <c r="A1601" s="116">
        <v>43628</v>
      </c>
      <c r="B1601" s="10" t="s">
        <v>2675</v>
      </c>
      <c r="C1601" s="11" t="s">
        <v>1816</v>
      </c>
      <c r="D1601" s="789"/>
      <c r="E1601" s="289">
        <v>3340</v>
      </c>
      <c r="F1601" s="287"/>
      <c r="G1601" s="6">
        <f t="shared" si="30"/>
        <v>3340</v>
      </c>
    </row>
    <row r="1602" spans="1:8" hidden="1" x14ac:dyDescent="0.25">
      <c r="A1602" s="116">
        <v>43628</v>
      </c>
      <c r="B1602" s="10" t="s">
        <v>2675</v>
      </c>
      <c r="C1602" s="11" t="s">
        <v>1816</v>
      </c>
      <c r="D1602" s="789"/>
      <c r="E1602" s="289">
        <v>5002</v>
      </c>
      <c r="F1602" s="287"/>
      <c r="G1602" s="6">
        <f t="shared" si="30"/>
        <v>5002</v>
      </c>
    </row>
    <row r="1603" spans="1:8" hidden="1" x14ac:dyDescent="0.25">
      <c r="A1603" s="116">
        <v>43628</v>
      </c>
      <c r="B1603" s="10" t="s">
        <v>2675</v>
      </c>
      <c r="C1603" s="11" t="s">
        <v>1816</v>
      </c>
      <c r="D1603" s="789"/>
      <c r="E1603" s="289">
        <v>11617</v>
      </c>
      <c r="F1603" s="287"/>
      <c r="G1603" s="6">
        <f t="shared" si="30"/>
        <v>11617</v>
      </c>
    </row>
    <row r="1604" spans="1:8" hidden="1" x14ac:dyDescent="0.25">
      <c r="A1604" s="116">
        <v>43628</v>
      </c>
      <c r="B1604" s="10" t="s">
        <v>1407</v>
      </c>
      <c r="C1604" s="11" t="s">
        <v>1816</v>
      </c>
      <c r="D1604" s="789"/>
      <c r="E1604" s="289">
        <v>15086</v>
      </c>
      <c r="F1604" s="287"/>
      <c r="G1604" s="6">
        <f t="shared" si="30"/>
        <v>15086</v>
      </c>
    </row>
    <row r="1605" spans="1:8" hidden="1" x14ac:dyDescent="0.25">
      <c r="A1605" s="116">
        <v>43628</v>
      </c>
      <c r="B1605" s="10" t="s">
        <v>1407</v>
      </c>
      <c r="C1605" s="11" t="s">
        <v>1816</v>
      </c>
      <c r="D1605" s="789"/>
      <c r="E1605" s="289">
        <v>93219</v>
      </c>
      <c r="F1605" s="287"/>
      <c r="G1605" s="6">
        <f t="shared" si="30"/>
        <v>93219</v>
      </c>
    </row>
    <row r="1606" spans="1:8" hidden="1" x14ac:dyDescent="0.25">
      <c r="A1606" s="116">
        <v>43628</v>
      </c>
      <c r="B1606" s="10" t="s">
        <v>1407</v>
      </c>
      <c r="C1606" s="11" t="s">
        <v>1816</v>
      </c>
      <c r="D1606" s="789"/>
      <c r="E1606" s="290">
        <v>4560</v>
      </c>
      <c r="F1606" s="287"/>
      <c r="G1606" s="6">
        <f t="shared" si="30"/>
        <v>4560</v>
      </c>
    </row>
    <row r="1607" spans="1:8" hidden="1" x14ac:dyDescent="0.25">
      <c r="A1607" s="116">
        <v>43628</v>
      </c>
      <c r="B1607" s="10" t="s">
        <v>1407</v>
      </c>
      <c r="C1607" s="11" t="s">
        <v>164</v>
      </c>
      <c r="E1607" s="290">
        <v>1193</v>
      </c>
      <c r="G1607" s="6">
        <f t="shared" si="30"/>
        <v>1193</v>
      </c>
    </row>
    <row r="1608" spans="1:8" hidden="1" x14ac:dyDescent="0.25">
      <c r="A1608" s="116">
        <v>43634</v>
      </c>
      <c r="B1608" s="10" t="s">
        <v>2675</v>
      </c>
      <c r="C1608" s="11" t="s">
        <v>1816</v>
      </c>
      <c r="F1608" s="9">
        <v>487500</v>
      </c>
      <c r="G1608" s="6">
        <f t="shared" si="30"/>
        <v>-487500</v>
      </c>
      <c r="H1608" s="7" t="s">
        <v>5082</v>
      </c>
    </row>
    <row r="1609" spans="1:8" hidden="1" x14ac:dyDescent="0.25">
      <c r="A1609" s="116">
        <v>43628</v>
      </c>
      <c r="B1609" s="10" t="s">
        <v>2675</v>
      </c>
      <c r="C1609" s="11" t="s">
        <v>169</v>
      </c>
      <c r="E1609" s="8">
        <v>55080</v>
      </c>
      <c r="G1609" s="6">
        <f t="shared" si="30"/>
        <v>55080</v>
      </c>
    </row>
    <row r="1610" spans="1:8" hidden="1" x14ac:dyDescent="0.25">
      <c r="A1610" s="116">
        <v>43634</v>
      </c>
      <c r="B1610" s="10" t="s">
        <v>2675</v>
      </c>
      <c r="C1610" s="11" t="s">
        <v>169</v>
      </c>
      <c r="E1610" s="8">
        <v>55687</v>
      </c>
      <c r="G1610" s="6">
        <f t="shared" si="30"/>
        <v>55687</v>
      </c>
    </row>
    <row r="1611" spans="1:8" hidden="1" x14ac:dyDescent="0.25">
      <c r="A1611" s="116">
        <v>43634</v>
      </c>
      <c r="B1611" s="10" t="s">
        <v>1407</v>
      </c>
      <c r="C1611" s="11" t="s">
        <v>164</v>
      </c>
      <c r="E1611" s="8">
        <v>34265</v>
      </c>
      <c r="G1611" s="6">
        <f t="shared" si="30"/>
        <v>34265</v>
      </c>
    </row>
    <row r="1612" spans="1:8" hidden="1" x14ac:dyDescent="0.25">
      <c r="A1612" s="116">
        <v>43634</v>
      </c>
      <c r="B1612" s="10" t="s">
        <v>1407</v>
      </c>
      <c r="C1612" s="11" t="s">
        <v>166</v>
      </c>
      <c r="E1612" s="8">
        <v>14600</v>
      </c>
      <c r="G1612" s="6">
        <f t="shared" si="30"/>
        <v>14600</v>
      </c>
    </row>
    <row r="1613" spans="1:8" hidden="1" x14ac:dyDescent="0.25">
      <c r="A1613" s="116">
        <v>43634</v>
      </c>
      <c r="B1613" s="10" t="s">
        <v>1407</v>
      </c>
      <c r="C1613" s="11" t="s">
        <v>166</v>
      </c>
      <c r="E1613" s="8">
        <v>6665</v>
      </c>
      <c r="G1613" s="6">
        <f t="shared" si="30"/>
        <v>6665</v>
      </c>
    </row>
    <row r="1614" spans="1:8" hidden="1" x14ac:dyDescent="0.25">
      <c r="A1614" s="116">
        <v>43634</v>
      </c>
      <c r="B1614" s="10" t="s">
        <v>1407</v>
      </c>
      <c r="C1614" s="11" t="s">
        <v>166</v>
      </c>
      <c r="E1614" s="8">
        <v>52800</v>
      </c>
      <c r="G1614" s="6">
        <f t="shared" si="30"/>
        <v>52800</v>
      </c>
    </row>
    <row r="1615" spans="1:8" hidden="1" x14ac:dyDescent="0.25">
      <c r="A1615" s="116">
        <v>43645</v>
      </c>
      <c r="B1615" s="10" t="s">
        <v>3765</v>
      </c>
      <c r="C1615" s="11" t="s">
        <v>166</v>
      </c>
      <c r="E1615" s="8">
        <v>4300</v>
      </c>
      <c r="G1615" s="6">
        <f t="shared" si="30"/>
        <v>4300</v>
      </c>
    </row>
    <row r="1616" spans="1:8" hidden="1" x14ac:dyDescent="0.25">
      <c r="A1616" s="116">
        <v>43645</v>
      </c>
      <c r="B1616" s="10" t="s">
        <v>1407</v>
      </c>
      <c r="C1616" s="11" t="s">
        <v>166</v>
      </c>
      <c r="E1616" s="8">
        <v>80000</v>
      </c>
      <c r="G1616" s="6">
        <f t="shared" si="30"/>
        <v>80000</v>
      </c>
    </row>
    <row r="1617" spans="1:8" hidden="1" x14ac:dyDescent="0.25">
      <c r="A1617" s="116">
        <v>43645</v>
      </c>
      <c r="B1617" s="356" t="s">
        <v>2675</v>
      </c>
      <c r="C1617" s="357" t="s">
        <v>1816</v>
      </c>
      <c r="E1617" s="358"/>
      <c r="F1617" s="359">
        <v>50000</v>
      </c>
      <c r="G1617" s="6">
        <f t="shared" si="30"/>
        <v>-50000</v>
      </c>
    </row>
    <row r="1618" spans="1:8" hidden="1" x14ac:dyDescent="0.25">
      <c r="A1618" s="116">
        <v>43649</v>
      </c>
      <c r="B1618" s="10" t="s">
        <v>2675</v>
      </c>
      <c r="C1618" s="11" t="s">
        <v>1816</v>
      </c>
      <c r="E1618" s="299">
        <v>3154</v>
      </c>
      <c r="G1618" s="6">
        <f t="shared" si="30"/>
        <v>3154</v>
      </c>
    </row>
    <row r="1619" spans="1:8" hidden="1" x14ac:dyDescent="0.25">
      <c r="A1619" s="116">
        <v>43649</v>
      </c>
      <c r="B1619" s="10" t="s">
        <v>2675</v>
      </c>
      <c r="C1619" s="11" t="s">
        <v>1816</v>
      </c>
      <c r="E1619" s="8">
        <v>4846</v>
      </c>
      <c r="G1619" s="6">
        <f t="shared" ref="G1619:G1782" si="31">E1619-F1619</f>
        <v>4846</v>
      </c>
    </row>
    <row r="1620" spans="1:8" hidden="1" x14ac:dyDescent="0.25">
      <c r="A1620" s="116">
        <v>43649</v>
      </c>
      <c r="B1620" s="10" t="s">
        <v>1407</v>
      </c>
      <c r="C1620" s="11" t="s">
        <v>1816</v>
      </c>
      <c r="E1620" s="8">
        <v>9090</v>
      </c>
      <c r="G1620" s="6">
        <f t="shared" si="31"/>
        <v>9090</v>
      </c>
    </row>
    <row r="1621" spans="1:8" hidden="1" x14ac:dyDescent="0.25">
      <c r="A1621" s="116">
        <v>43649</v>
      </c>
      <c r="B1621" s="10" t="s">
        <v>2675</v>
      </c>
      <c r="C1621" s="11" t="s">
        <v>1816</v>
      </c>
      <c r="E1621" s="8">
        <v>11775</v>
      </c>
      <c r="G1621" s="6">
        <f t="shared" si="31"/>
        <v>11775</v>
      </c>
    </row>
    <row r="1622" spans="1:8" ht="16.5" hidden="1" thickBot="1" x14ac:dyDescent="0.3">
      <c r="A1622" s="116">
        <v>43649</v>
      </c>
      <c r="B1622" s="10" t="s">
        <v>1407</v>
      </c>
      <c r="C1622" s="11" t="s">
        <v>1816</v>
      </c>
      <c r="E1622" s="300">
        <v>13142</v>
      </c>
      <c r="G1622" s="6">
        <f t="shared" si="31"/>
        <v>13142</v>
      </c>
    </row>
    <row r="1623" spans="1:8" hidden="1" x14ac:dyDescent="0.25">
      <c r="A1623" s="116">
        <v>43649</v>
      </c>
      <c r="B1623" s="10" t="s">
        <v>2957</v>
      </c>
      <c r="C1623" s="11" t="s">
        <v>5113</v>
      </c>
      <c r="E1623" s="299">
        <v>330000</v>
      </c>
      <c r="G1623" s="6">
        <f t="shared" si="31"/>
        <v>330000</v>
      </c>
    </row>
    <row r="1624" spans="1:8" ht="16.5" hidden="1" thickBot="1" x14ac:dyDescent="0.3">
      <c r="A1624" s="116">
        <v>43649</v>
      </c>
      <c r="B1624" s="10" t="s">
        <v>5095</v>
      </c>
      <c r="C1624" s="11" t="s">
        <v>166</v>
      </c>
      <c r="E1624" s="301">
        <v>9600</v>
      </c>
      <c r="G1624" s="6">
        <f t="shared" si="31"/>
        <v>9600</v>
      </c>
    </row>
    <row r="1625" spans="1:8" hidden="1" x14ac:dyDescent="0.25">
      <c r="A1625" s="116">
        <v>43649</v>
      </c>
      <c r="B1625" s="10" t="s">
        <v>1407</v>
      </c>
      <c r="C1625" s="11" t="s">
        <v>1828</v>
      </c>
      <c r="E1625" s="8">
        <v>2549</v>
      </c>
      <c r="G1625" s="6">
        <f t="shared" si="31"/>
        <v>2549</v>
      </c>
    </row>
    <row r="1626" spans="1:8" hidden="1" x14ac:dyDescent="0.25">
      <c r="A1626" s="116">
        <v>43649</v>
      </c>
      <c r="B1626" s="10" t="s">
        <v>1407</v>
      </c>
      <c r="C1626" s="11" t="s">
        <v>1828</v>
      </c>
      <c r="E1626" s="8">
        <v>103104</v>
      </c>
      <c r="G1626" s="6">
        <f t="shared" si="31"/>
        <v>103104</v>
      </c>
    </row>
    <row r="1627" spans="1:8" hidden="1" x14ac:dyDescent="0.25">
      <c r="A1627" s="116">
        <v>43649</v>
      </c>
      <c r="B1627" s="10" t="s">
        <v>2957</v>
      </c>
      <c r="C1627" s="11" t="s">
        <v>3039</v>
      </c>
      <c r="E1627" s="8">
        <v>15000</v>
      </c>
      <c r="G1627" s="6">
        <f t="shared" si="31"/>
        <v>15000</v>
      </c>
    </row>
    <row r="1628" spans="1:8" hidden="1" x14ac:dyDescent="0.25">
      <c r="A1628" s="116">
        <v>43649</v>
      </c>
      <c r="B1628" s="10" t="s">
        <v>5095</v>
      </c>
      <c r="C1628" s="11" t="s">
        <v>169</v>
      </c>
      <c r="E1628" s="299">
        <v>32000</v>
      </c>
      <c r="G1628" s="6">
        <f t="shared" si="31"/>
        <v>32000</v>
      </c>
    </row>
    <row r="1629" spans="1:8" hidden="1" x14ac:dyDescent="0.25">
      <c r="A1629" s="116">
        <v>43650</v>
      </c>
      <c r="B1629" s="10" t="s">
        <v>5095</v>
      </c>
      <c r="C1629" s="11" t="s">
        <v>169</v>
      </c>
      <c r="E1629" s="8">
        <v>32000</v>
      </c>
      <c r="G1629" s="6">
        <f t="shared" si="31"/>
        <v>32000</v>
      </c>
    </row>
    <row r="1630" spans="1:8" ht="16.5" hidden="1" thickBot="1" x14ac:dyDescent="0.3">
      <c r="A1630" s="116">
        <v>43650</v>
      </c>
      <c r="B1630" s="10" t="s">
        <v>5095</v>
      </c>
      <c r="C1630" s="11" t="s">
        <v>169</v>
      </c>
      <c r="E1630" s="300">
        <v>20544</v>
      </c>
      <c r="G1630" s="6">
        <f t="shared" si="31"/>
        <v>20544</v>
      </c>
    </row>
    <row r="1631" spans="1:8" hidden="1" x14ac:dyDescent="0.25">
      <c r="A1631" s="116">
        <v>43662</v>
      </c>
      <c r="B1631" s="10" t="s">
        <v>2957</v>
      </c>
      <c r="C1631" s="11" t="s">
        <v>4445</v>
      </c>
      <c r="F1631" s="9">
        <v>150000</v>
      </c>
      <c r="G1631" s="6">
        <f t="shared" si="31"/>
        <v>-150000</v>
      </c>
      <c r="H1631" s="7" t="s">
        <v>5131</v>
      </c>
    </row>
    <row r="1632" spans="1:8" hidden="1" x14ac:dyDescent="0.25">
      <c r="A1632" s="116">
        <v>43662</v>
      </c>
      <c r="B1632" s="10" t="s">
        <v>2957</v>
      </c>
      <c r="C1632" s="11" t="s">
        <v>4445</v>
      </c>
      <c r="F1632" s="9">
        <v>70000</v>
      </c>
      <c r="G1632" s="6">
        <f t="shared" si="31"/>
        <v>-70000</v>
      </c>
      <c r="H1632" s="7" t="s">
        <v>5132</v>
      </c>
    </row>
    <row r="1633" spans="1:8" hidden="1" x14ac:dyDescent="0.25">
      <c r="A1633" s="116">
        <v>43662</v>
      </c>
      <c r="B1633" s="10" t="s">
        <v>5095</v>
      </c>
      <c r="C1633" s="11" t="s">
        <v>166</v>
      </c>
      <c r="E1633" s="8">
        <v>26700</v>
      </c>
      <c r="G1633" s="6">
        <f t="shared" si="31"/>
        <v>26700</v>
      </c>
    </row>
    <row r="1634" spans="1:8" hidden="1" x14ac:dyDescent="0.25">
      <c r="A1634" s="116">
        <v>43662</v>
      </c>
      <c r="B1634" s="10" t="s">
        <v>1407</v>
      </c>
      <c r="C1634" s="11" t="s">
        <v>4853</v>
      </c>
      <c r="F1634" s="9">
        <v>160</v>
      </c>
      <c r="G1634" s="6">
        <f t="shared" si="31"/>
        <v>-160</v>
      </c>
      <c r="H1634" s="7" t="s">
        <v>5019</v>
      </c>
    </row>
    <row r="1635" spans="1:8" hidden="1" x14ac:dyDescent="0.25">
      <c r="A1635" s="116">
        <v>43662</v>
      </c>
      <c r="B1635" s="10" t="s">
        <v>1407</v>
      </c>
      <c r="C1635" s="11" t="s">
        <v>4853</v>
      </c>
      <c r="E1635" s="8">
        <v>6500</v>
      </c>
      <c r="G1635" s="6">
        <f t="shared" si="31"/>
        <v>6500</v>
      </c>
    </row>
    <row r="1636" spans="1:8" hidden="1" x14ac:dyDescent="0.25">
      <c r="A1636" s="116">
        <v>43662</v>
      </c>
      <c r="B1636" s="10" t="s">
        <v>5095</v>
      </c>
      <c r="C1636" s="11" t="s">
        <v>4853</v>
      </c>
      <c r="E1636" s="8">
        <v>39460</v>
      </c>
      <c r="G1636" s="6">
        <f t="shared" si="31"/>
        <v>39460</v>
      </c>
    </row>
    <row r="1637" spans="1:8" ht="23.45" hidden="1" customHeight="1" x14ac:dyDescent="0.25">
      <c r="A1637" s="116">
        <v>43662</v>
      </c>
      <c r="B1637" s="10" t="s">
        <v>5095</v>
      </c>
      <c r="C1637" s="11" t="s">
        <v>4853</v>
      </c>
      <c r="F1637" s="9">
        <v>39460</v>
      </c>
      <c r="G1637" s="6">
        <f t="shared" si="31"/>
        <v>-39460</v>
      </c>
      <c r="H1637" s="81" t="s">
        <v>5135</v>
      </c>
    </row>
    <row r="1638" spans="1:8" hidden="1" x14ac:dyDescent="0.25">
      <c r="A1638" s="116">
        <v>43662</v>
      </c>
      <c r="B1638" s="10" t="s">
        <v>1407</v>
      </c>
      <c r="C1638" s="11" t="s">
        <v>4853</v>
      </c>
      <c r="F1638" s="9">
        <f>50000-F1637</f>
        <v>10540</v>
      </c>
      <c r="G1638" s="6">
        <f t="shared" si="31"/>
        <v>-10540</v>
      </c>
      <c r="H1638" s="83" t="s">
        <v>5136</v>
      </c>
    </row>
    <row r="1639" spans="1:8" hidden="1" x14ac:dyDescent="0.25">
      <c r="A1639" s="116">
        <v>43662</v>
      </c>
      <c r="B1639" s="10" t="s">
        <v>4924</v>
      </c>
      <c r="C1639" s="11" t="s">
        <v>164</v>
      </c>
      <c r="F1639" s="9">
        <v>50000</v>
      </c>
      <c r="G1639" s="6">
        <f t="shared" si="31"/>
        <v>-50000</v>
      </c>
      <c r="H1639" s="127" t="s">
        <v>5145</v>
      </c>
    </row>
    <row r="1640" spans="1:8" hidden="1" x14ac:dyDescent="0.25">
      <c r="A1640" s="116">
        <v>43662</v>
      </c>
      <c r="B1640" s="10" t="s">
        <v>5095</v>
      </c>
      <c r="C1640" s="11" t="s">
        <v>169</v>
      </c>
      <c r="E1640" s="8">
        <v>81000</v>
      </c>
      <c r="G1640" s="6">
        <f t="shared" si="31"/>
        <v>81000</v>
      </c>
    </row>
    <row r="1641" spans="1:8" hidden="1" x14ac:dyDescent="0.25">
      <c r="A1641" s="116">
        <v>43662</v>
      </c>
      <c r="B1641" s="10" t="s">
        <v>1407</v>
      </c>
      <c r="C1641" s="11" t="s">
        <v>1828</v>
      </c>
      <c r="E1641" s="8">
        <v>113298</v>
      </c>
      <c r="G1641" s="6">
        <f t="shared" si="31"/>
        <v>113298</v>
      </c>
    </row>
    <row r="1642" spans="1:8" hidden="1" x14ac:dyDescent="0.25">
      <c r="A1642" s="116">
        <v>43662</v>
      </c>
      <c r="B1642" s="10" t="s">
        <v>5095</v>
      </c>
      <c r="C1642" s="11" t="s">
        <v>169</v>
      </c>
      <c r="F1642" s="9">
        <v>170644</v>
      </c>
      <c r="G1642" s="6">
        <f t="shared" si="31"/>
        <v>-170644</v>
      </c>
      <c r="H1642" s="81" t="s">
        <v>5153</v>
      </c>
    </row>
    <row r="1643" spans="1:8" hidden="1" x14ac:dyDescent="0.25">
      <c r="A1643" s="116">
        <v>43662</v>
      </c>
      <c r="B1643" s="10" t="s">
        <v>1407</v>
      </c>
      <c r="C1643" s="11" t="s">
        <v>169</v>
      </c>
      <c r="F1643" s="9">
        <v>18333</v>
      </c>
      <c r="G1643" s="6">
        <f t="shared" si="31"/>
        <v>-18333</v>
      </c>
      <c r="H1643" s="82"/>
    </row>
    <row r="1644" spans="1:8" hidden="1" x14ac:dyDescent="0.25">
      <c r="A1644" s="116">
        <v>43662</v>
      </c>
      <c r="B1644" s="10" t="s">
        <v>2675</v>
      </c>
      <c r="C1644" s="11" t="s">
        <v>169</v>
      </c>
      <c r="F1644" s="9">
        <f>300000-F1642-F1643</f>
        <v>111023</v>
      </c>
      <c r="G1644" s="6">
        <f t="shared" si="31"/>
        <v>-111023</v>
      </c>
      <c r="H1644" s="83" t="s">
        <v>5154</v>
      </c>
    </row>
    <row r="1645" spans="1:8" hidden="1" x14ac:dyDescent="0.25">
      <c r="A1645" s="116">
        <v>43668</v>
      </c>
      <c r="B1645" s="13" t="s">
        <v>4854</v>
      </c>
      <c r="C1645" s="11" t="s">
        <v>161</v>
      </c>
      <c r="E1645" s="8">
        <v>15712</v>
      </c>
      <c r="G1645" s="6">
        <f t="shared" si="31"/>
        <v>15712</v>
      </c>
    </row>
    <row r="1646" spans="1:8" hidden="1" x14ac:dyDescent="0.25">
      <c r="A1646" s="116">
        <v>43669</v>
      </c>
      <c r="B1646" s="10" t="s">
        <v>2810</v>
      </c>
      <c r="C1646" s="11" t="s">
        <v>161</v>
      </c>
      <c r="F1646" s="9">
        <v>148899</v>
      </c>
      <c r="G1646" s="6">
        <f t="shared" si="31"/>
        <v>-148899</v>
      </c>
    </row>
    <row r="1647" spans="1:8" hidden="1" x14ac:dyDescent="0.25">
      <c r="A1647" s="116">
        <v>43669</v>
      </c>
      <c r="B1647" s="10" t="s">
        <v>4854</v>
      </c>
      <c r="C1647" s="11" t="s">
        <v>161</v>
      </c>
      <c r="F1647" s="9">
        <v>15712</v>
      </c>
      <c r="G1647" s="6">
        <f t="shared" si="31"/>
        <v>-15712</v>
      </c>
    </row>
    <row r="1648" spans="1:8" hidden="1" x14ac:dyDescent="0.25">
      <c r="A1648" s="116">
        <v>43669</v>
      </c>
      <c r="B1648" s="10" t="s">
        <v>3765</v>
      </c>
      <c r="C1648" s="11" t="s">
        <v>161</v>
      </c>
      <c r="F1648" s="9">
        <v>35376</v>
      </c>
      <c r="G1648" s="6">
        <f t="shared" si="31"/>
        <v>-35376</v>
      </c>
    </row>
    <row r="1649" spans="1:8" hidden="1" x14ac:dyDescent="0.25">
      <c r="A1649" s="116">
        <v>43669</v>
      </c>
      <c r="B1649" s="10" t="s">
        <v>40</v>
      </c>
      <c r="C1649" s="11" t="s">
        <v>161</v>
      </c>
      <c r="F1649" s="9">
        <f>200000-F1648-F1647-F1646</f>
        <v>13</v>
      </c>
      <c r="G1649" s="6">
        <f t="shared" si="31"/>
        <v>-13</v>
      </c>
    </row>
    <row r="1650" spans="1:8" hidden="1" x14ac:dyDescent="0.25">
      <c r="A1650" s="116">
        <v>43669</v>
      </c>
      <c r="B1650" s="10" t="s">
        <v>2957</v>
      </c>
      <c r="C1650" s="11" t="s">
        <v>180</v>
      </c>
      <c r="F1650" s="9">
        <v>130000</v>
      </c>
      <c r="G1650" s="6">
        <f t="shared" si="31"/>
        <v>-130000</v>
      </c>
      <c r="H1650" s="7" t="s">
        <v>5165</v>
      </c>
    </row>
    <row r="1651" spans="1:8" hidden="1" x14ac:dyDescent="0.25">
      <c r="A1651" s="116">
        <v>43671</v>
      </c>
      <c r="B1651" s="10" t="s">
        <v>2675</v>
      </c>
      <c r="C1651" s="11" t="s">
        <v>1816</v>
      </c>
      <c r="F1651" s="9">
        <f>500000+316250</f>
        <v>816250</v>
      </c>
      <c r="G1651" s="6">
        <f t="shared" si="31"/>
        <v>-816250</v>
      </c>
      <c r="H1651" s="32" t="s">
        <v>5587</v>
      </c>
    </row>
    <row r="1652" spans="1:8" hidden="1" x14ac:dyDescent="0.25">
      <c r="A1652" s="116">
        <v>43672</v>
      </c>
      <c r="B1652" s="10" t="s">
        <v>1407</v>
      </c>
      <c r="C1652" s="11" t="s">
        <v>166</v>
      </c>
      <c r="E1652" s="8">
        <v>25600</v>
      </c>
      <c r="G1652" s="6">
        <f t="shared" si="31"/>
        <v>25600</v>
      </c>
    </row>
    <row r="1653" spans="1:8" hidden="1" x14ac:dyDescent="0.25">
      <c r="A1653" s="116">
        <v>43672</v>
      </c>
      <c r="B1653" s="10" t="s">
        <v>2675</v>
      </c>
      <c r="C1653" s="11" t="s">
        <v>166</v>
      </c>
      <c r="E1653" s="8">
        <v>28500</v>
      </c>
      <c r="G1653" s="6">
        <f t="shared" si="31"/>
        <v>28500</v>
      </c>
    </row>
    <row r="1654" spans="1:8" hidden="1" x14ac:dyDescent="0.25">
      <c r="A1654" s="116">
        <v>43672</v>
      </c>
      <c r="B1654" s="10" t="s">
        <v>5095</v>
      </c>
      <c r="C1654" s="11" t="s">
        <v>169</v>
      </c>
      <c r="E1654" s="8">
        <v>5100</v>
      </c>
      <c r="G1654" s="6">
        <f t="shared" si="31"/>
        <v>5100</v>
      </c>
    </row>
    <row r="1655" spans="1:8" hidden="1" x14ac:dyDescent="0.25">
      <c r="A1655" s="116">
        <v>43679</v>
      </c>
      <c r="B1655" s="10" t="s">
        <v>2675</v>
      </c>
      <c r="C1655" s="11" t="s">
        <v>3039</v>
      </c>
      <c r="E1655" s="8">
        <v>137898</v>
      </c>
      <c r="G1655" s="6">
        <f t="shared" si="31"/>
        <v>137898</v>
      </c>
    </row>
    <row r="1656" spans="1:8" hidden="1" x14ac:dyDescent="0.25">
      <c r="A1656" s="116">
        <v>43680</v>
      </c>
      <c r="B1656" s="10" t="s">
        <v>1407</v>
      </c>
      <c r="C1656" s="11" t="s">
        <v>1828</v>
      </c>
      <c r="E1656" s="8">
        <v>198234</v>
      </c>
      <c r="G1656" s="6">
        <f t="shared" si="31"/>
        <v>198234</v>
      </c>
    </row>
    <row r="1657" spans="1:8" hidden="1" x14ac:dyDescent="0.25">
      <c r="A1657" s="116">
        <v>43680</v>
      </c>
      <c r="B1657" s="10" t="s">
        <v>1407</v>
      </c>
      <c r="C1657" s="11" t="s">
        <v>1816</v>
      </c>
      <c r="E1657" s="8">
        <v>1344</v>
      </c>
      <c r="G1657" s="6">
        <f t="shared" si="31"/>
        <v>1344</v>
      </c>
    </row>
    <row r="1658" spans="1:8" hidden="1" x14ac:dyDescent="0.25">
      <c r="A1658" s="116">
        <v>43680</v>
      </c>
      <c r="B1658" s="10" t="s">
        <v>1407</v>
      </c>
      <c r="C1658" s="11" t="s">
        <v>1816</v>
      </c>
      <c r="E1658" s="8">
        <v>3395</v>
      </c>
      <c r="G1658" s="6">
        <f t="shared" si="31"/>
        <v>3395</v>
      </c>
      <c r="H1658" s="7" t="s">
        <v>5215</v>
      </c>
    </row>
    <row r="1659" spans="1:8" hidden="1" x14ac:dyDescent="0.25">
      <c r="A1659" s="116">
        <v>43680</v>
      </c>
      <c r="B1659" s="10" t="s">
        <v>18</v>
      </c>
      <c r="C1659" s="11" t="s">
        <v>1816</v>
      </c>
      <c r="E1659" s="8">
        <v>755</v>
      </c>
      <c r="G1659" s="6">
        <f t="shared" si="31"/>
        <v>755</v>
      </c>
    </row>
    <row r="1660" spans="1:8" hidden="1" x14ac:dyDescent="0.25">
      <c r="A1660" s="116">
        <v>43680</v>
      </c>
      <c r="B1660" s="10" t="s">
        <v>1407</v>
      </c>
      <c r="C1660" s="11" t="s">
        <v>1816</v>
      </c>
      <c r="E1660" s="8">
        <v>1614</v>
      </c>
      <c r="G1660" s="6">
        <f t="shared" si="31"/>
        <v>1614</v>
      </c>
    </row>
    <row r="1661" spans="1:8" hidden="1" x14ac:dyDescent="0.25">
      <c r="A1661" s="116">
        <v>43680</v>
      </c>
      <c r="B1661" s="10" t="s">
        <v>2672</v>
      </c>
      <c r="C1661" s="11" t="s">
        <v>1816</v>
      </c>
      <c r="E1661" s="8">
        <v>8402</v>
      </c>
      <c r="G1661" s="6">
        <f t="shared" si="31"/>
        <v>8402</v>
      </c>
    </row>
    <row r="1662" spans="1:8" hidden="1" x14ac:dyDescent="0.25">
      <c r="A1662" s="116">
        <v>43680</v>
      </c>
      <c r="B1662" s="10" t="s">
        <v>1407</v>
      </c>
      <c r="C1662" s="11" t="s">
        <v>1816</v>
      </c>
      <c r="E1662" s="8">
        <v>2706</v>
      </c>
      <c r="G1662" s="6">
        <f t="shared" si="31"/>
        <v>2706</v>
      </c>
    </row>
    <row r="1663" spans="1:8" hidden="1" x14ac:dyDescent="0.25">
      <c r="A1663" s="116">
        <v>43680</v>
      </c>
      <c r="B1663" s="10" t="s">
        <v>1407</v>
      </c>
      <c r="C1663" s="11" t="s">
        <v>1816</v>
      </c>
      <c r="E1663" s="8">
        <v>4059</v>
      </c>
      <c r="G1663" s="6">
        <f t="shared" si="31"/>
        <v>4059</v>
      </c>
    </row>
    <row r="1664" spans="1:8" hidden="1" x14ac:dyDescent="0.25">
      <c r="A1664" s="116">
        <v>43680</v>
      </c>
      <c r="B1664" s="10" t="s">
        <v>2675</v>
      </c>
      <c r="C1664" s="11" t="s">
        <v>1816</v>
      </c>
      <c r="E1664" s="8">
        <v>103903</v>
      </c>
      <c r="G1664" s="6">
        <f t="shared" si="31"/>
        <v>103903</v>
      </c>
    </row>
    <row r="1665" spans="1:8" hidden="1" x14ac:dyDescent="0.25">
      <c r="A1665" s="116">
        <v>43680</v>
      </c>
      <c r="B1665" s="10" t="s">
        <v>1407</v>
      </c>
      <c r="C1665" s="11" t="s">
        <v>1816</v>
      </c>
      <c r="E1665" s="8">
        <v>6048</v>
      </c>
      <c r="G1665" s="6">
        <f t="shared" si="31"/>
        <v>6048</v>
      </c>
    </row>
    <row r="1666" spans="1:8" hidden="1" x14ac:dyDescent="0.25">
      <c r="A1666" s="116">
        <v>43680</v>
      </c>
      <c r="B1666" s="10" t="s">
        <v>1407</v>
      </c>
      <c r="C1666" s="11" t="s">
        <v>1816</v>
      </c>
      <c r="E1666" s="8">
        <v>204327</v>
      </c>
      <c r="G1666" s="6">
        <f t="shared" si="31"/>
        <v>204327</v>
      </c>
    </row>
    <row r="1667" spans="1:8" hidden="1" x14ac:dyDescent="0.25">
      <c r="A1667" s="116">
        <v>43680</v>
      </c>
      <c r="B1667" s="10" t="s">
        <v>1407</v>
      </c>
      <c r="C1667" s="11" t="s">
        <v>1816</v>
      </c>
      <c r="E1667" s="8">
        <v>2707</v>
      </c>
      <c r="G1667" s="6">
        <f t="shared" si="31"/>
        <v>2707</v>
      </c>
    </row>
    <row r="1668" spans="1:8" hidden="1" x14ac:dyDescent="0.25">
      <c r="A1668" s="116">
        <v>43680</v>
      </c>
      <c r="B1668" s="10" t="s">
        <v>2957</v>
      </c>
      <c r="C1668" s="11" t="s">
        <v>3039</v>
      </c>
      <c r="F1668" s="9">
        <f>80000+135000+15000</f>
        <v>230000</v>
      </c>
      <c r="G1668" s="6">
        <f t="shared" si="31"/>
        <v>-230000</v>
      </c>
      <c r="H1668" s="81"/>
    </row>
    <row r="1669" spans="1:8" hidden="1" x14ac:dyDescent="0.25">
      <c r="A1669" s="116">
        <v>43680</v>
      </c>
      <c r="B1669" s="10" t="s">
        <v>2675</v>
      </c>
      <c r="C1669" s="11" t="s">
        <v>3039</v>
      </c>
      <c r="F1669" s="9">
        <v>85000</v>
      </c>
      <c r="G1669" s="6">
        <f t="shared" si="31"/>
        <v>-85000</v>
      </c>
      <c r="H1669" s="83" t="s">
        <v>5217</v>
      </c>
    </row>
    <row r="1670" spans="1:8" hidden="1" x14ac:dyDescent="0.25">
      <c r="A1670" s="116">
        <v>43683</v>
      </c>
      <c r="B1670" s="10" t="s">
        <v>1407</v>
      </c>
      <c r="C1670" s="11" t="s">
        <v>1828</v>
      </c>
      <c r="E1670" s="8">
        <v>86214</v>
      </c>
      <c r="G1670" s="6">
        <f t="shared" si="31"/>
        <v>86214</v>
      </c>
    </row>
    <row r="1671" spans="1:8" hidden="1" x14ac:dyDescent="0.25">
      <c r="A1671" s="116">
        <v>43697</v>
      </c>
      <c r="B1671" s="10" t="s">
        <v>2675</v>
      </c>
      <c r="C1671" s="11" t="s">
        <v>169</v>
      </c>
      <c r="E1671" s="8">
        <v>58875</v>
      </c>
      <c r="G1671" s="6">
        <f t="shared" si="31"/>
        <v>58875</v>
      </c>
    </row>
    <row r="1672" spans="1:8" hidden="1" x14ac:dyDescent="0.25">
      <c r="A1672" s="116">
        <v>43701</v>
      </c>
      <c r="B1672" s="10" t="s">
        <v>1407</v>
      </c>
      <c r="C1672" s="11" t="s">
        <v>166</v>
      </c>
      <c r="E1672" s="8">
        <v>38400</v>
      </c>
      <c r="G1672" s="6">
        <f t="shared" si="31"/>
        <v>38400</v>
      </c>
    </row>
    <row r="1673" spans="1:8" hidden="1" x14ac:dyDescent="0.25">
      <c r="A1673" s="116">
        <v>43682</v>
      </c>
      <c r="B1673" s="10" t="s">
        <v>2957</v>
      </c>
      <c r="C1673" s="11" t="s">
        <v>5113</v>
      </c>
      <c r="F1673" s="9">
        <v>100000</v>
      </c>
      <c r="G1673" s="6">
        <f t="shared" si="31"/>
        <v>-100000</v>
      </c>
      <c r="H1673" s="7" t="s">
        <v>5229</v>
      </c>
    </row>
    <row r="1674" spans="1:8" hidden="1" x14ac:dyDescent="0.25">
      <c r="A1674" s="116">
        <v>43682</v>
      </c>
      <c r="B1674" s="10" t="s">
        <v>2957</v>
      </c>
      <c r="C1674" s="11" t="s">
        <v>5113</v>
      </c>
      <c r="F1674" s="9">
        <v>100000</v>
      </c>
      <c r="G1674" s="6">
        <f t="shared" si="31"/>
        <v>-100000</v>
      </c>
      <c r="H1674" s="7" t="s">
        <v>5230</v>
      </c>
    </row>
    <row r="1675" spans="1:8" hidden="1" x14ac:dyDescent="0.25">
      <c r="A1675" s="116">
        <v>43682</v>
      </c>
      <c r="B1675" s="10" t="s">
        <v>2957</v>
      </c>
      <c r="C1675" s="11" t="s">
        <v>5113</v>
      </c>
      <c r="F1675" s="9">
        <v>100000</v>
      </c>
      <c r="G1675" s="6">
        <f t="shared" si="31"/>
        <v>-100000</v>
      </c>
      <c r="H1675" s="7" t="s">
        <v>5231</v>
      </c>
    </row>
    <row r="1676" spans="1:8" hidden="1" x14ac:dyDescent="0.25">
      <c r="A1676" s="116">
        <v>43704</v>
      </c>
      <c r="B1676" s="10" t="s">
        <v>1407</v>
      </c>
      <c r="C1676" s="11" t="s">
        <v>1828</v>
      </c>
      <c r="F1676" s="9">
        <v>403500</v>
      </c>
      <c r="G1676" s="6">
        <f t="shared" si="31"/>
        <v>-403500</v>
      </c>
      <c r="H1676" s="7" t="s">
        <v>5286</v>
      </c>
    </row>
    <row r="1677" spans="1:8" hidden="1" x14ac:dyDescent="0.25">
      <c r="A1677" s="116">
        <v>43704</v>
      </c>
      <c r="B1677" s="10" t="s">
        <v>2675</v>
      </c>
      <c r="C1677" s="11" t="s">
        <v>169</v>
      </c>
      <c r="F1677" s="9">
        <v>59345</v>
      </c>
      <c r="G1677" s="6">
        <f t="shared" si="31"/>
        <v>-59345</v>
      </c>
      <c r="H1677" s="7" t="s">
        <v>5287</v>
      </c>
    </row>
    <row r="1678" spans="1:8" hidden="1" x14ac:dyDescent="0.25">
      <c r="A1678" s="116">
        <v>43704</v>
      </c>
      <c r="B1678" s="10" t="s">
        <v>2957</v>
      </c>
      <c r="C1678" s="11" t="s">
        <v>166</v>
      </c>
      <c r="D1678" s="789"/>
      <c r="E1678" s="22">
        <v>18960</v>
      </c>
      <c r="F1678" s="287"/>
      <c r="G1678" s="6">
        <f t="shared" si="31"/>
        <v>18960</v>
      </c>
    </row>
    <row r="1679" spans="1:8" hidden="1" x14ac:dyDescent="0.25">
      <c r="A1679" s="116">
        <v>43704</v>
      </c>
      <c r="B1679" s="10" t="s">
        <v>3765</v>
      </c>
      <c r="C1679" s="11" t="s">
        <v>166</v>
      </c>
      <c r="E1679" s="112"/>
      <c r="F1679" s="113">
        <v>4300</v>
      </c>
      <c r="G1679" s="6">
        <f t="shared" si="31"/>
        <v>-4300</v>
      </c>
      <c r="H1679" s="81"/>
    </row>
    <row r="1680" spans="1:8" hidden="1" x14ac:dyDescent="0.25">
      <c r="A1680" s="116">
        <v>43704</v>
      </c>
      <c r="B1680" s="10" t="s">
        <v>1407</v>
      </c>
      <c r="C1680" s="11" t="s">
        <v>166</v>
      </c>
      <c r="E1680" s="112"/>
      <c r="F1680" s="114">
        <f>14489+38400</f>
        <v>52889</v>
      </c>
      <c r="G1680" s="6">
        <f t="shared" si="31"/>
        <v>-52889</v>
      </c>
      <c r="H1680" s="82"/>
    </row>
    <row r="1681" spans="1:8" hidden="1" x14ac:dyDescent="0.25">
      <c r="A1681" s="116">
        <v>43704</v>
      </c>
      <c r="B1681" s="10" t="s">
        <v>5095</v>
      </c>
      <c r="C1681" s="11" t="s">
        <v>166</v>
      </c>
      <c r="E1681" s="112"/>
      <c r="F1681" s="114">
        <v>36300</v>
      </c>
      <c r="G1681" s="6">
        <f t="shared" si="31"/>
        <v>-36300</v>
      </c>
      <c r="H1681" s="82" t="s">
        <v>5288</v>
      </c>
    </row>
    <row r="1682" spans="1:8" hidden="1" x14ac:dyDescent="0.25">
      <c r="A1682" s="116">
        <v>43704</v>
      </c>
      <c r="B1682" s="10" t="s">
        <v>2957</v>
      </c>
      <c r="C1682" s="11" t="s">
        <v>166</v>
      </c>
      <c r="E1682" s="112"/>
      <c r="F1682" s="115">
        <f>100000-F1681-F1680-F1679</f>
        <v>6511</v>
      </c>
      <c r="G1682" s="6">
        <f t="shared" si="31"/>
        <v>-6511</v>
      </c>
      <c r="H1682" s="83"/>
    </row>
    <row r="1683" spans="1:8" hidden="1" x14ac:dyDescent="0.25">
      <c r="A1683" s="116">
        <v>43704</v>
      </c>
      <c r="B1683" s="10" t="s">
        <v>2957</v>
      </c>
      <c r="C1683" s="11" t="s">
        <v>166</v>
      </c>
      <c r="D1683" s="789"/>
      <c r="E1683" s="22">
        <v>13000</v>
      </c>
      <c r="F1683" s="287"/>
      <c r="G1683" s="6">
        <f t="shared" si="31"/>
        <v>13000</v>
      </c>
    </row>
    <row r="1684" spans="1:8" hidden="1" x14ac:dyDescent="0.25">
      <c r="A1684" s="116">
        <v>43704</v>
      </c>
      <c r="B1684" s="10" t="s">
        <v>1407</v>
      </c>
      <c r="C1684" s="11" t="s">
        <v>166</v>
      </c>
      <c r="D1684" s="789"/>
      <c r="E1684" s="308">
        <v>3200</v>
      </c>
      <c r="F1684" s="287"/>
      <c r="G1684" s="6">
        <f t="shared" si="31"/>
        <v>3200</v>
      </c>
    </row>
    <row r="1685" spans="1:8" hidden="1" x14ac:dyDescent="0.25">
      <c r="A1685" s="116">
        <v>43714</v>
      </c>
      <c r="B1685" s="10" t="s">
        <v>5274</v>
      </c>
      <c r="C1685" s="11" t="s">
        <v>169</v>
      </c>
      <c r="E1685" s="8">
        <v>162425</v>
      </c>
      <c r="G1685" s="6">
        <f t="shared" si="31"/>
        <v>162425</v>
      </c>
    </row>
    <row r="1686" spans="1:8" hidden="1" x14ac:dyDescent="0.25">
      <c r="A1686" s="116">
        <v>43714</v>
      </c>
      <c r="B1686" s="10" t="s">
        <v>2957</v>
      </c>
      <c r="C1686" s="11" t="s">
        <v>3039</v>
      </c>
      <c r="E1686" s="8">
        <v>103497</v>
      </c>
      <c r="G1686" s="6">
        <f t="shared" si="31"/>
        <v>103497</v>
      </c>
    </row>
    <row r="1687" spans="1:8" hidden="1" x14ac:dyDescent="0.25">
      <c r="A1687" s="116">
        <v>43714</v>
      </c>
      <c r="B1687" s="10" t="s">
        <v>2675</v>
      </c>
      <c r="C1687" s="11" t="s">
        <v>3039</v>
      </c>
      <c r="E1687" s="8">
        <v>7052</v>
      </c>
      <c r="G1687" s="6">
        <f t="shared" si="31"/>
        <v>7052</v>
      </c>
    </row>
    <row r="1688" spans="1:8" hidden="1" x14ac:dyDescent="0.25">
      <c r="A1688" s="116">
        <v>43720</v>
      </c>
      <c r="B1688" s="10" t="s">
        <v>5274</v>
      </c>
      <c r="C1688" s="11" t="s">
        <v>169</v>
      </c>
      <c r="E1688" s="8">
        <v>129340</v>
      </c>
      <c r="G1688" s="6">
        <f t="shared" si="31"/>
        <v>129340</v>
      </c>
    </row>
    <row r="1689" spans="1:8" hidden="1" x14ac:dyDescent="0.25">
      <c r="A1689" s="116">
        <v>43720</v>
      </c>
      <c r="B1689" s="10" t="s">
        <v>1407</v>
      </c>
      <c r="C1689" s="156" t="s">
        <v>1816</v>
      </c>
      <c r="E1689" s="8">
        <v>20115</v>
      </c>
      <c r="G1689" s="6">
        <f t="shared" si="31"/>
        <v>20115</v>
      </c>
    </row>
    <row r="1690" spans="1:8" hidden="1" x14ac:dyDescent="0.25">
      <c r="A1690" s="116">
        <v>43720</v>
      </c>
      <c r="B1690" s="10" t="s">
        <v>2675</v>
      </c>
      <c r="C1690" s="11" t="s">
        <v>1816</v>
      </c>
      <c r="E1690" s="8">
        <v>1789</v>
      </c>
      <c r="G1690" s="6">
        <f t="shared" si="31"/>
        <v>1789</v>
      </c>
    </row>
    <row r="1691" spans="1:8" hidden="1" x14ac:dyDescent="0.25">
      <c r="A1691" s="116">
        <v>43720</v>
      </c>
      <c r="B1691" s="10" t="s">
        <v>2675</v>
      </c>
      <c r="C1691" s="11" t="s">
        <v>1816</v>
      </c>
      <c r="E1691" s="8">
        <v>2174</v>
      </c>
      <c r="G1691" s="6">
        <f t="shared" si="31"/>
        <v>2174</v>
      </c>
    </row>
    <row r="1692" spans="1:8" hidden="1" x14ac:dyDescent="0.25">
      <c r="A1692" s="116">
        <v>43720</v>
      </c>
      <c r="B1692" s="10" t="s">
        <v>2675</v>
      </c>
      <c r="C1692" s="11" t="s">
        <v>1816</v>
      </c>
      <c r="E1692" s="8">
        <v>3559</v>
      </c>
      <c r="G1692" s="6">
        <f t="shared" si="31"/>
        <v>3559</v>
      </c>
    </row>
    <row r="1693" spans="1:8" hidden="1" x14ac:dyDescent="0.25">
      <c r="A1693" s="116">
        <v>43720</v>
      </c>
      <c r="B1693" s="10" t="s">
        <v>2675</v>
      </c>
      <c r="C1693" s="11" t="s">
        <v>1816</v>
      </c>
      <c r="E1693" s="8">
        <v>19080</v>
      </c>
      <c r="G1693" s="6">
        <f t="shared" si="31"/>
        <v>19080</v>
      </c>
    </row>
    <row r="1694" spans="1:8" hidden="1" x14ac:dyDescent="0.25">
      <c r="A1694" s="116">
        <v>43720</v>
      </c>
      <c r="B1694" s="10" t="s">
        <v>1407</v>
      </c>
      <c r="C1694" s="11" t="s">
        <v>1816</v>
      </c>
      <c r="E1694" s="8">
        <v>3408</v>
      </c>
      <c r="G1694" s="6">
        <f t="shared" si="31"/>
        <v>3408</v>
      </c>
    </row>
    <row r="1695" spans="1:8" hidden="1" x14ac:dyDescent="0.25">
      <c r="A1695" s="116">
        <v>43724</v>
      </c>
      <c r="B1695" s="10" t="s">
        <v>5274</v>
      </c>
      <c r="C1695" s="11" t="s">
        <v>169</v>
      </c>
      <c r="E1695" s="8">
        <v>258180</v>
      </c>
      <c r="G1695" s="6">
        <f t="shared" si="31"/>
        <v>258180</v>
      </c>
    </row>
    <row r="1696" spans="1:8" hidden="1" x14ac:dyDescent="0.25">
      <c r="A1696" s="116">
        <v>43724</v>
      </c>
      <c r="B1696" s="10" t="s">
        <v>5274</v>
      </c>
      <c r="C1696" s="11" t="s">
        <v>169</v>
      </c>
      <c r="E1696" s="8">
        <v>65170</v>
      </c>
      <c r="G1696" s="6">
        <f t="shared" si="31"/>
        <v>65170</v>
      </c>
    </row>
    <row r="1697" spans="1:8" hidden="1" x14ac:dyDescent="0.25">
      <c r="A1697" s="116">
        <v>43724</v>
      </c>
      <c r="B1697" s="10" t="s">
        <v>5274</v>
      </c>
      <c r="C1697" s="11" t="s">
        <v>169</v>
      </c>
      <c r="E1697" s="8">
        <v>45027</v>
      </c>
      <c r="G1697" s="6">
        <f t="shared" si="31"/>
        <v>45027</v>
      </c>
    </row>
    <row r="1698" spans="1:8" hidden="1" x14ac:dyDescent="0.25">
      <c r="A1698" s="116">
        <v>43724</v>
      </c>
      <c r="B1698" s="10" t="s">
        <v>5274</v>
      </c>
      <c r="C1698" s="11" t="s">
        <v>169</v>
      </c>
      <c r="E1698" s="8">
        <v>13100</v>
      </c>
      <c r="G1698" s="6">
        <f t="shared" si="31"/>
        <v>13100</v>
      </c>
    </row>
    <row r="1699" spans="1:8" hidden="1" x14ac:dyDescent="0.25">
      <c r="A1699" s="116">
        <v>43724</v>
      </c>
      <c r="B1699" s="10" t="s">
        <v>1407</v>
      </c>
      <c r="C1699" s="11" t="s">
        <v>166</v>
      </c>
      <c r="D1699" s="789"/>
      <c r="E1699" s="22">
        <v>27320</v>
      </c>
      <c r="F1699" s="287"/>
      <c r="G1699" s="6">
        <f t="shared" si="31"/>
        <v>27320</v>
      </c>
    </row>
    <row r="1700" spans="1:8" hidden="1" x14ac:dyDescent="0.25">
      <c r="A1700" s="116">
        <v>43724</v>
      </c>
      <c r="B1700" s="10" t="s">
        <v>2675</v>
      </c>
      <c r="C1700" s="11" t="s">
        <v>166</v>
      </c>
      <c r="D1700" s="789"/>
      <c r="E1700" s="22">
        <v>9600</v>
      </c>
      <c r="F1700" s="287"/>
      <c r="G1700" s="6">
        <f t="shared" si="31"/>
        <v>9600</v>
      </c>
    </row>
    <row r="1701" spans="1:8" hidden="1" x14ac:dyDescent="0.25">
      <c r="A1701" s="116">
        <v>43724</v>
      </c>
      <c r="B1701" s="10" t="s">
        <v>5274</v>
      </c>
      <c r="C1701" s="11" t="s">
        <v>3039</v>
      </c>
      <c r="E1701" s="8">
        <v>42936</v>
      </c>
      <c r="G1701" s="6">
        <f t="shared" si="31"/>
        <v>42936</v>
      </c>
    </row>
    <row r="1702" spans="1:8" hidden="1" x14ac:dyDescent="0.25">
      <c r="A1702" s="116">
        <v>43724</v>
      </c>
      <c r="B1702" s="10" t="s">
        <v>2675</v>
      </c>
      <c r="C1702" s="11" t="s">
        <v>3039</v>
      </c>
      <c r="E1702" s="8">
        <v>54712</v>
      </c>
      <c r="G1702" s="6">
        <f t="shared" si="31"/>
        <v>54712</v>
      </c>
    </row>
    <row r="1703" spans="1:8" hidden="1" x14ac:dyDescent="0.25">
      <c r="A1703" s="116">
        <v>43729</v>
      </c>
      <c r="B1703" s="10" t="s">
        <v>2675</v>
      </c>
      <c r="C1703" s="11" t="s">
        <v>3039</v>
      </c>
      <c r="F1703" s="9">
        <v>200000</v>
      </c>
      <c r="G1703" s="6">
        <f t="shared" si="31"/>
        <v>-200000</v>
      </c>
      <c r="H1703" s="81" t="s">
        <v>5349</v>
      </c>
    </row>
    <row r="1704" spans="1:8" hidden="1" x14ac:dyDescent="0.25">
      <c r="A1704" s="116">
        <v>43729</v>
      </c>
      <c r="B1704" s="10" t="s">
        <v>2957</v>
      </c>
      <c r="C1704" s="11" t="s">
        <v>3039</v>
      </c>
      <c r="F1704" s="9">
        <v>50000</v>
      </c>
      <c r="G1704" s="6">
        <f t="shared" si="31"/>
        <v>-50000</v>
      </c>
      <c r="H1704" s="83"/>
    </row>
    <row r="1705" spans="1:8" hidden="1" x14ac:dyDescent="0.25">
      <c r="A1705" s="116">
        <v>43729</v>
      </c>
      <c r="B1705" s="10" t="s">
        <v>2957</v>
      </c>
      <c r="C1705" s="11" t="s">
        <v>3039</v>
      </c>
      <c r="F1705" s="9">
        <v>16000</v>
      </c>
      <c r="G1705" s="6">
        <f t="shared" si="31"/>
        <v>-16000</v>
      </c>
      <c r="H1705" s="32" t="s">
        <v>5356</v>
      </c>
    </row>
    <row r="1706" spans="1:8" hidden="1" x14ac:dyDescent="0.25">
      <c r="A1706" s="116">
        <v>43732</v>
      </c>
      <c r="B1706" s="10" t="s">
        <v>5274</v>
      </c>
      <c r="C1706" s="11" t="s">
        <v>169</v>
      </c>
      <c r="E1706" s="8">
        <v>10850</v>
      </c>
      <c r="G1706" s="6">
        <f t="shared" si="31"/>
        <v>10850</v>
      </c>
    </row>
    <row r="1707" spans="1:8" hidden="1" x14ac:dyDescent="0.25">
      <c r="A1707" s="116">
        <v>43728</v>
      </c>
      <c r="B1707" s="10" t="s">
        <v>5274</v>
      </c>
      <c r="C1707" s="11" t="s">
        <v>169</v>
      </c>
      <c r="E1707" s="8">
        <v>65170</v>
      </c>
      <c r="G1707" s="6">
        <f t="shared" si="31"/>
        <v>65170</v>
      </c>
    </row>
    <row r="1708" spans="1:8" hidden="1" x14ac:dyDescent="0.25">
      <c r="A1708" s="116">
        <v>43732</v>
      </c>
      <c r="B1708" s="10" t="s">
        <v>5274</v>
      </c>
      <c r="C1708" s="11" t="s">
        <v>169</v>
      </c>
      <c r="E1708" s="8">
        <v>17844</v>
      </c>
      <c r="G1708" s="6">
        <f t="shared" si="31"/>
        <v>17844</v>
      </c>
    </row>
    <row r="1709" spans="1:8" hidden="1" x14ac:dyDescent="0.25">
      <c r="A1709" s="116">
        <v>43734</v>
      </c>
      <c r="B1709" s="10" t="s">
        <v>2957</v>
      </c>
      <c r="C1709" s="11" t="s">
        <v>5113</v>
      </c>
      <c r="E1709" s="8">
        <f>366000-36000</f>
        <v>330000</v>
      </c>
      <c r="G1709" s="6">
        <f t="shared" si="31"/>
        <v>330000</v>
      </c>
    </row>
    <row r="1710" spans="1:8" hidden="1" x14ac:dyDescent="0.25">
      <c r="A1710" s="116">
        <v>43734</v>
      </c>
      <c r="B1710" s="10" t="s">
        <v>2957</v>
      </c>
      <c r="C1710" s="11" t="s">
        <v>5113</v>
      </c>
      <c r="E1710" s="8">
        <v>130000</v>
      </c>
      <c r="G1710" s="6">
        <f t="shared" si="31"/>
        <v>130000</v>
      </c>
    </row>
    <row r="1711" spans="1:8" hidden="1" x14ac:dyDescent="0.25">
      <c r="A1711" s="116">
        <v>43714</v>
      </c>
      <c r="B1711" s="10" t="s">
        <v>5274</v>
      </c>
      <c r="C1711" s="11" t="s">
        <v>166</v>
      </c>
      <c r="E1711" s="8">
        <v>6400</v>
      </c>
      <c r="G1711" s="6">
        <f t="shared" si="31"/>
        <v>6400</v>
      </c>
    </row>
    <row r="1712" spans="1:8" hidden="1" x14ac:dyDescent="0.25">
      <c r="A1712" s="116">
        <v>43736</v>
      </c>
      <c r="B1712" s="10" t="s">
        <v>1407</v>
      </c>
      <c r="C1712" s="11" t="s">
        <v>1828</v>
      </c>
      <c r="E1712" s="8">
        <v>64879</v>
      </c>
      <c r="G1712" s="6">
        <f t="shared" si="31"/>
        <v>64879</v>
      </c>
    </row>
    <row r="1713" spans="1:7" hidden="1" x14ac:dyDescent="0.25">
      <c r="A1713" s="116">
        <v>43745</v>
      </c>
      <c r="B1713" s="10" t="s">
        <v>2675</v>
      </c>
      <c r="C1713" s="11" t="s">
        <v>1816</v>
      </c>
      <c r="E1713" s="8">
        <v>5699</v>
      </c>
      <c r="G1713" s="6">
        <f t="shared" si="31"/>
        <v>5699</v>
      </c>
    </row>
    <row r="1714" spans="1:7" hidden="1" x14ac:dyDescent="0.25">
      <c r="A1714" s="116">
        <v>43745</v>
      </c>
      <c r="B1714" s="10" t="s">
        <v>2957</v>
      </c>
      <c r="C1714" s="11" t="s">
        <v>1816</v>
      </c>
      <c r="E1714" s="8">
        <v>22119</v>
      </c>
      <c r="G1714" s="6">
        <f t="shared" si="31"/>
        <v>22119</v>
      </c>
    </row>
    <row r="1715" spans="1:7" hidden="1" x14ac:dyDescent="0.25">
      <c r="A1715" s="116">
        <v>43745</v>
      </c>
      <c r="B1715" s="10" t="s">
        <v>1407</v>
      </c>
      <c r="C1715" s="11" t="s">
        <v>1816</v>
      </c>
      <c r="E1715" s="8">
        <v>2259</v>
      </c>
      <c r="G1715" s="6">
        <f t="shared" si="31"/>
        <v>2259</v>
      </c>
    </row>
    <row r="1716" spans="1:7" hidden="1" x14ac:dyDescent="0.25">
      <c r="A1716" s="116">
        <v>43745</v>
      </c>
      <c r="B1716" s="10" t="s">
        <v>2675</v>
      </c>
      <c r="C1716" s="11" t="s">
        <v>1816</v>
      </c>
      <c r="E1716" s="8">
        <v>3802</v>
      </c>
      <c r="G1716" s="6">
        <f t="shared" si="31"/>
        <v>3802</v>
      </c>
    </row>
    <row r="1717" spans="1:7" hidden="1" x14ac:dyDescent="0.25">
      <c r="A1717" s="116">
        <v>43745</v>
      </c>
      <c r="B1717" s="10" t="s">
        <v>1407</v>
      </c>
      <c r="C1717" s="11" t="s">
        <v>1816</v>
      </c>
      <c r="E1717" s="8">
        <v>7250</v>
      </c>
      <c r="G1717" s="6">
        <f t="shared" si="31"/>
        <v>7250</v>
      </c>
    </row>
    <row r="1718" spans="1:7" hidden="1" x14ac:dyDescent="0.25">
      <c r="A1718" s="116">
        <v>43745</v>
      </c>
      <c r="B1718" s="10" t="s">
        <v>5367</v>
      </c>
      <c r="C1718" s="11" t="s">
        <v>1816</v>
      </c>
      <c r="E1718" s="8">
        <v>42521</v>
      </c>
      <c r="G1718" s="6">
        <f t="shared" si="31"/>
        <v>42521</v>
      </c>
    </row>
    <row r="1719" spans="1:7" hidden="1" x14ac:dyDescent="0.25">
      <c r="A1719" s="116">
        <v>43745</v>
      </c>
      <c r="B1719" s="10" t="s">
        <v>2675</v>
      </c>
      <c r="C1719" s="11" t="s">
        <v>1816</v>
      </c>
      <c r="E1719" s="8">
        <v>1510</v>
      </c>
      <c r="G1719" s="6">
        <f t="shared" si="31"/>
        <v>1510</v>
      </c>
    </row>
    <row r="1720" spans="1:7" hidden="1" x14ac:dyDescent="0.25">
      <c r="A1720" s="116">
        <v>43745</v>
      </c>
      <c r="B1720" s="10" t="s">
        <v>1407</v>
      </c>
      <c r="C1720" s="11" t="s">
        <v>1816</v>
      </c>
      <c r="E1720" s="8">
        <v>1790</v>
      </c>
      <c r="G1720" s="6">
        <f t="shared" si="31"/>
        <v>1790</v>
      </c>
    </row>
    <row r="1721" spans="1:7" hidden="1" x14ac:dyDescent="0.25">
      <c r="A1721" s="116">
        <v>43745</v>
      </c>
      <c r="B1721" s="10" t="s">
        <v>1407</v>
      </c>
      <c r="C1721" s="11" t="s">
        <v>1816</v>
      </c>
      <c r="E1721" s="8">
        <v>18596</v>
      </c>
      <c r="G1721" s="6">
        <f t="shared" si="31"/>
        <v>18596</v>
      </c>
    </row>
    <row r="1722" spans="1:7" hidden="1" x14ac:dyDescent="0.25">
      <c r="A1722" s="116">
        <v>43745</v>
      </c>
      <c r="B1722" s="10" t="s">
        <v>2675</v>
      </c>
      <c r="C1722" s="11" t="s">
        <v>1816</v>
      </c>
      <c r="E1722" s="8">
        <v>14805</v>
      </c>
      <c r="G1722" s="6">
        <f t="shared" si="31"/>
        <v>14805</v>
      </c>
    </row>
    <row r="1723" spans="1:7" hidden="1" x14ac:dyDescent="0.25">
      <c r="A1723" s="116">
        <v>43745</v>
      </c>
      <c r="B1723" s="10" t="s">
        <v>5367</v>
      </c>
      <c r="C1723" s="11" t="s">
        <v>1816</v>
      </c>
      <c r="E1723" s="8">
        <v>10158</v>
      </c>
      <c r="G1723" s="6">
        <f t="shared" si="31"/>
        <v>10158</v>
      </c>
    </row>
    <row r="1724" spans="1:7" hidden="1" x14ac:dyDescent="0.25">
      <c r="A1724" s="116">
        <v>43745</v>
      </c>
      <c r="B1724" s="10" t="s">
        <v>18</v>
      </c>
      <c r="C1724" s="11" t="s">
        <v>1816</v>
      </c>
      <c r="E1724" s="8">
        <v>998</v>
      </c>
      <c r="G1724" s="6">
        <f t="shared" si="31"/>
        <v>998</v>
      </c>
    </row>
    <row r="1725" spans="1:7" hidden="1" x14ac:dyDescent="0.25">
      <c r="A1725" s="116">
        <v>43748</v>
      </c>
      <c r="B1725" s="10" t="s">
        <v>5274</v>
      </c>
      <c r="C1725" s="11" t="s">
        <v>169</v>
      </c>
      <c r="E1725" s="8">
        <v>46332</v>
      </c>
      <c r="G1725" s="6">
        <f t="shared" si="31"/>
        <v>46332</v>
      </c>
    </row>
    <row r="1726" spans="1:7" hidden="1" x14ac:dyDescent="0.25">
      <c r="A1726" s="116">
        <v>43748</v>
      </c>
      <c r="B1726" s="10" t="s">
        <v>2957</v>
      </c>
      <c r="C1726" s="11" t="s">
        <v>169</v>
      </c>
      <c r="E1726" s="8">
        <v>1190</v>
      </c>
      <c r="G1726" s="6">
        <f t="shared" si="31"/>
        <v>1190</v>
      </c>
    </row>
    <row r="1727" spans="1:7" hidden="1" x14ac:dyDescent="0.25">
      <c r="A1727" s="116">
        <v>43748</v>
      </c>
      <c r="B1727" s="10" t="s">
        <v>2675</v>
      </c>
      <c r="C1727" s="11" t="s">
        <v>3039</v>
      </c>
      <c r="E1727" s="8">
        <v>7080</v>
      </c>
      <c r="G1727" s="6">
        <f t="shared" si="31"/>
        <v>7080</v>
      </c>
    </row>
    <row r="1728" spans="1:7" hidden="1" x14ac:dyDescent="0.25">
      <c r="A1728" s="116">
        <v>43748</v>
      </c>
      <c r="B1728" s="10" t="s">
        <v>2957</v>
      </c>
      <c r="C1728" s="11" t="s">
        <v>3039</v>
      </c>
      <c r="E1728" s="8">
        <v>63900</v>
      </c>
      <c r="G1728" s="6">
        <f t="shared" si="31"/>
        <v>63900</v>
      </c>
    </row>
    <row r="1729" spans="1:8" hidden="1" x14ac:dyDescent="0.25">
      <c r="A1729" s="116">
        <v>43748</v>
      </c>
      <c r="B1729" s="10" t="s">
        <v>2957</v>
      </c>
      <c r="C1729" s="11" t="s">
        <v>5113</v>
      </c>
      <c r="F1729" s="9">
        <v>155000</v>
      </c>
      <c r="G1729" s="6">
        <f t="shared" si="31"/>
        <v>-155000</v>
      </c>
      <c r="H1729" s="7" t="s">
        <v>5460</v>
      </c>
    </row>
    <row r="1730" spans="1:8" hidden="1" x14ac:dyDescent="0.25">
      <c r="A1730" s="116">
        <v>43748</v>
      </c>
      <c r="B1730" s="10" t="s">
        <v>2957</v>
      </c>
      <c r="C1730" s="11" t="s">
        <v>5113</v>
      </c>
      <c r="F1730" s="9">
        <v>155000</v>
      </c>
      <c r="G1730" s="6">
        <f t="shared" si="31"/>
        <v>-155000</v>
      </c>
      <c r="H1730" s="7" t="s">
        <v>5460</v>
      </c>
    </row>
    <row r="1731" spans="1:8" hidden="1" x14ac:dyDescent="0.25">
      <c r="A1731" s="116">
        <v>43748</v>
      </c>
      <c r="B1731" s="10" t="s">
        <v>2957</v>
      </c>
      <c r="C1731" s="11" t="s">
        <v>3039</v>
      </c>
      <c r="F1731" s="9">
        <v>75</v>
      </c>
      <c r="G1731" s="6">
        <f t="shared" si="31"/>
        <v>-75</v>
      </c>
      <c r="H1731" s="7" t="s">
        <v>3951</v>
      </c>
    </row>
    <row r="1732" spans="1:8" hidden="1" x14ac:dyDescent="0.25">
      <c r="A1732" s="116">
        <v>43753</v>
      </c>
      <c r="B1732" s="10" t="s">
        <v>2675</v>
      </c>
      <c r="C1732" s="11" t="s">
        <v>3039</v>
      </c>
      <c r="F1732" s="9">
        <v>6742</v>
      </c>
      <c r="G1732" s="6">
        <f t="shared" si="31"/>
        <v>-6742</v>
      </c>
      <c r="H1732" s="81"/>
    </row>
    <row r="1733" spans="1:8" hidden="1" x14ac:dyDescent="0.25">
      <c r="A1733" s="116">
        <v>43753</v>
      </c>
      <c r="B1733" s="10" t="s">
        <v>2957</v>
      </c>
      <c r="C1733" s="11" t="s">
        <v>3039</v>
      </c>
      <c r="F1733" s="9">
        <v>101322</v>
      </c>
      <c r="G1733" s="6">
        <f t="shared" si="31"/>
        <v>-101322</v>
      </c>
      <c r="H1733" s="82" t="s">
        <v>5611</v>
      </c>
    </row>
    <row r="1734" spans="1:8" hidden="1" x14ac:dyDescent="0.25">
      <c r="A1734" s="116">
        <v>43753</v>
      </c>
      <c r="B1734" s="10" t="s">
        <v>5274</v>
      </c>
      <c r="C1734" s="11" t="s">
        <v>3039</v>
      </c>
      <c r="F1734" s="9">
        <v>42936</v>
      </c>
      <c r="G1734" s="6">
        <f t="shared" si="31"/>
        <v>-42936</v>
      </c>
      <c r="H1734" s="83" t="s">
        <v>5612</v>
      </c>
    </row>
    <row r="1735" spans="1:8" hidden="1" x14ac:dyDescent="0.25">
      <c r="A1735" s="116">
        <v>43755</v>
      </c>
      <c r="B1735" s="10" t="s">
        <v>2675</v>
      </c>
      <c r="C1735" s="11" t="s">
        <v>3039</v>
      </c>
      <c r="E1735" s="8">
        <v>16272</v>
      </c>
      <c r="G1735" s="6">
        <f t="shared" si="31"/>
        <v>16272</v>
      </c>
    </row>
    <row r="1736" spans="1:8" hidden="1" x14ac:dyDescent="0.25">
      <c r="A1736" s="116">
        <v>43767</v>
      </c>
      <c r="B1736" s="10" t="s">
        <v>1407</v>
      </c>
      <c r="C1736" s="11" t="s">
        <v>1828</v>
      </c>
      <c r="E1736" s="8">
        <v>386932</v>
      </c>
      <c r="G1736" s="6">
        <f t="shared" si="31"/>
        <v>386932</v>
      </c>
    </row>
    <row r="1737" spans="1:8" hidden="1" x14ac:dyDescent="0.25">
      <c r="A1737" s="116">
        <v>43769</v>
      </c>
      <c r="B1737" s="10" t="s">
        <v>2957</v>
      </c>
      <c r="C1737" s="11" t="s">
        <v>166</v>
      </c>
      <c r="E1737" s="8">
        <v>13000</v>
      </c>
      <c r="G1737" s="6">
        <f t="shared" si="31"/>
        <v>13000</v>
      </c>
    </row>
    <row r="1738" spans="1:8" hidden="1" x14ac:dyDescent="0.25">
      <c r="A1738" s="116">
        <v>43769</v>
      </c>
      <c r="B1738" s="10" t="s">
        <v>1407</v>
      </c>
      <c r="C1738" s="11" t="s">
        <v>166</v>
      </c>
      <c r="E1738" s="8">
        <v>10700</v>
      </c>
      <c r="G1738" s="6">
        <f t="shared" si="31"/>
        <v>10700</v>
      </c>
    </row>
    <row r="1739" spans="1:8" hidden="1" x14ac:dyDescent="0.25">
      <c r="A1739" s="116">
        <v>43769</v>
      </c>
      <c r="B1739" s="10" t="s">
        <v>1407</v>
      </c>
      <c r="C1739" s="11" t="s">
        <v>166</v>
      </c>
      <c r="E1739" s="8">
        <v>65221</v>
      </c>
      <c r="G1739" s="6">
        <f t="shared" si="31"/>
        <v>65221</v>
      </c>
    </row>
    <row r="1740" spans="1:8" hidden="1" x14ac:dyDescent="0.25">
      <c r="A1740" s="116">
        <v>43769</v>
      </c>
      <c r="B1740" s="10" t="s">
        <v>1407</v>
      </c>
      <c r="C1740" s="11" t="s">
        <v>166</v>
      </c>
      <c r="E1740" s="8">
        <v>92400</v>
      </c>
      <c r="G1740" s="6">
        <f t="shared" si="31"/>
        <v>92400</v>
      </c>
    </row>
    <row r="1741" spans="1:8" hidden="1" x14ac:dyDescent="0.25">
      <c r="A1741" s="116">
        <v>43769</v>
      </c>
      <c r="B1741" s="10" t="s">
        <v>1407</v>
      </c>
      <c r="C1741" s="11" t="s">
        <v>166</v>
      </c>
      <c r="E1741" s="8">
        <v>61600</v>
      </c>
      <c r="G1741" s="6">
        <f t="shared" si="31"/>
        <v>61600</v>
      </c>
    </row>
    <row r="1742" spans="1:8" hidden="1" x14ac:dyDescent="0.25">
      <c r="A1742" s="116">
        <v>43605</v>
      </c>
      <c r="B1742" s="10" t="s">
        <v>2675</v>
      </c>
      <c r="C1742" s="11" t="s">
        <v>2281</v>
      </c>
      <c r="E1742" s="8">
        <v>655212</v>
      </c>
      <c r="G1742" s="6">
        <f t="shared" si="31"/>
        <v>655212</v>
      </c>
      <c r="H1742" s="7" t="s">
        <v>5513</v>
      </c>
    </row>
    <row r="1743" spans="1:8" hidden="1" x14ac:dyDescent="0.25">
      <c r="A1743" s="116">
        <v>43601</v>
      </c>
      <c r="B1743" s="10" t="s">
        <v>2957</v>
      </c>
      <c r="C1743" s="11" t="s">
        <v>2281</v>
      </c>
      <c r="E1743" s="8">
        <v>94820</v>
      </c>
      <c r="G1743" s="6">
        <f t="shared" si="31"/>
        <v>94820</v>
      </c>
      <c r="H1743" s="7" t="s">
        <v>5513</v>
      </c>
    </row>
    <row r="1744" spans="1:8" hidden="1" x14ac:dyDescent="0.25">
      <c r="A1744" s="116">
        <v>43601</v>
      </c>
      <c r="B1744" s="10" t="s">
        <v>1407</v>
      </c>
      <c r="C1744" s="11" t="s">
        <v>2281</v>
      </c>
      <c r="E1744" s="8">
        <v>10200</v>
      </c>
      <c r="G1744" s="6">
        <f t="shared" si="31"/>
        <v>10200</v>
      </c>
      <c r="H1744" s="7" t="s">
        <v>5513</v>
      </c>
    </row>
    <row r="1745" spans="1:8" hidden="1" x14ac:dyDescent="0.25">
      <c r="A1745" s="116">
        <v>43601</v>
      </c>
      <c r="B1745" s="10" t="s">
        <v>1407</v>
      </c>
      <c r="C1745" s="11" t="s">
        <v>2281</v>
      </c>
      <c r="E1745" s="8">
        <v>25500</v>
      </c>
      <c r="G1745" s="6">
        <f t="shared" si="31"/>
        <v>25500</v>
      </c>
      <c r="H1745" s="7" t="s">
        <v>5513</v>
      </c>
    </row>
    <row r="1746" spans="1:8" hidden="1" x14ac:dyDescent="0.25">
      <c r="A1746" s="116">
        <v>43577</v>
      </c>
      <c r="B1746" s="10" t="s">
        <v>2957</v>
      </c>
      <c r="C1746" s="11" t="s">
        <v>2281</v>
      </c>
      <c r="E1746" s="8">
        <v>174500</v>
      </c>
      <c r="G1746" s="6">
        <f t="shared" si="31"/>
        <v>174500</v>
      </c>
      <c r="H1746" s="7" t="s">
        <v>5513</v>
      </c>
    </row>
    <row r="1747" spans="1:8" hidden="1" x14ac:dyDescent="0.25">
      <c r="A1747" s="116">
        <v>43622</v>
      </c>
      <c r="B1747" s="10" t="s">
        <v>1407</v>
      </c>
      <c r="C1747" s="11" t="s">
        <v>2281</v>
      </c>
      <c r="E1747" s="8">
        <v>63440</v>
      </c>
      <c r="G1747" s="6">
        <f t="shared" si="31"/>
        <v>63440</v>
      </c>
      <c r="H1747" s="7" t="s">
        <v>5513</v>
      </c>
    </row>
    <row r="1748" spans="1:8" hidden="1" x14ac:dyDescent="0.25">
      <c r="A1748" s="116">
        <v>43629</v>
      </c>
      <c r="B1748" s="10" t="s">
        <v>2675</v>
      </c>
      <c r="C1748" s="11" t="s">
        <v>2281</v>
      </c>
      <c r="E1748" s="8">
        <v>284969</v>
      </c>
      <c r="G1748" s="6">
        <f t="shared" si="31"/>
        <v>284969</v>
      </c>
      <c r="H1748" s="7" t="s">
        <v>5513</v>
      </c>
    </row>
    <row r="1749" spans="1:8" hidden="1" x14ac:dyDescent="0.25">
      <c r="A1749" s="116">
        <v>43763</v>
      </c>
      <c r="B1749" s="10" t="s">
        <v>2675</v>
      </c>
      <c r="C1749" s="11" t="s">
        <v>1816</v>
      </c>
      <c r="E1749" s="8">
        <v>49612</v>
      </c>
      <c r="G1749" s="6">
        <f t="shared" si="31"/>
        <v>49612</v>
      </c>
      <c r="H1749" s="7" t="s">
        <v>5513</v>
      </c>
    </row>
    <row r="1750" spans="1:8" hidden="1" x14ac:dyDescent="0.25">
      <c r="A1750" s="116">
        <v>43763</v>
      </c>
      <c r="B1750" s="10" t="s">
        <v>1407</v>
      </c>
      <c r="C1750" s="11" t="s">
        <v>1816</v>
      </c>
      <c r="E1750" s="8">
        <v>7099</v>
      </c>
      <c r="G1750" s="6">
        <f t="shared" si="31"/>
        <v>7099</v>
      </c>
    </row>
    <row r="1751" spans="1:8" hidden="1" x14ac:dyDescent="0.25">
      <c r="A1751" s="116">
        <v>43763</v>
      </c>
      <c r="B1751" s="10" t="s">
        <v>1407</v>
      </c>
      <c r="C1751" s="11" t="s">
        <v>1816</v>
      </c>
      <c r="E1751" s="8">
        <v>17180</v>
      </c>
      <c r="G1751" s="6">
        <f t="shared" si="31"/>
        <v>17180</v>
      </c>
    </row>
    <row r="1752" spans="1:8" hidden="1" x14ac:dyDescent="0.25">
      <c r="A1752" s="116">
        <v>43763</v>
      </c>
      <c r="B1752" s="10" t="s">
        <v>2675</v>
      </c>
      <c r="C1752" s="11" t="s">
        <v>1816</v>
      </c>
      <c r="E1752" s="8">
        <v>150448</v>
      </c>
      <c r="G1752" s="6">
        <f t="shared" si="31"/>
        <v>150448</v>
      </c>
    </row>
    <row r="1753" spans="1:8" hidden="1" x14ac:dyDescent="0.25">
      <c r="A1753" s="116">
        <v>43763</v>
      </c>
      <c r="B1753" s="10" t="s">
        <v>2675</v>
      </c>
      <c r="C1753" s="11" t="s">
        <v>1816</v>
      </c>
      <c r="E1753" s="8">
        <v>7570</v>
      </c>
      <c r="G1753" s="6">
        <f t="shared" si="31"/>
        <v>7570</v>
      </c>
    </row>
    <row r="1754" spans="1:8" hidden="1" x14ac:dyDescent="0.25">
      <c r="A1754" s="116">
        <v>43763</v>
      </c>
      <c r="B1754" s="10" t="s">
        <v>1407</v>
      </c>
      <c r="C1754" s="11" t="s">
        <v>1816</v>
      </c>
      <c r="E1754" s="8">
        <v>7422</v>
      </c>
      <c r="G1754" s="6">
        <f t="shared" si="31"/>
        <v>7422</v>
      </c>
    </row>
    <row r="1755" spans="1:8" hidden="1" x14ac:dyDescent="0.25">
      <c r="A1755" s="116">
        <v>43763</v>
      </c>
      <c r="B1755" s="10" t="s">
        <v>2675</v>
      </c>
      <c r="C1755" s="11" t="s">
        <v>1816</v>
      </c>
      <c r="E1755" s="8">
        <v>25000</v>
      </c>
      <c r="G1755" s="6">
        <f t="shared" si="31"/>
        <v>25000</v>
      </c>
    </row>
    <row r="1756" spans="1:8" hidden="1" x14ac:dyDescent="0.25">
      <c r="A1756" s="116">
        <v>43775</v>
      </c>
      <c r="B1756" s="10" t="s">
        <v>5274</v>
      </c>
      <c r="C1756" s="11" t="s">
        <v>169</v>
      </c>
      <c r="E1756" s="112"/>
      <c r="F1756" s="383">
        <v>500000</v>
      </c>
      <c r="G1756" s="6">
        <f t="shared" si="31"/>
        <v>-500000</v>
      </c>
      <c r="H1756" s="385" t="s">
        <v>5552</v>
      </c>
    </row>
    <row r="1757" spans="1:8" hidden="1" x14ac:dyDescent="0.25">
      <c r="A1757" s="116">
        <v>43775</v>
      </c>
      <c r="B1757" s="10" t="s">
        <v>2957</v>
      </c>
      <c r="C1757" s="11" t="s">
        <v>166</v>
      </c>
      <c r="E1757" s="112"/>
      <c r="F1757" s="383">
        <v>38449</v>
      </c>
      <c r="G1757" s="6">
        <f t="shared" si="31"/>
        <v>-38449</v>
      </c>
      <c r="H1757" s="386"/>
    </row>
    <row r="1758" spans="1:8" hidden="1" x14ac:dyDescent="0.25">
      <c r="A1758" s="116">
        <v>43775</v>
      </c>
      <c r="B1758" s="10" t="s">
        <v>1407</v>
      </c>
      <c r="C1758" s="11" t="s">
        <v>166</v>
      </c>
      <c r="E1758" s="112"/>
      <c r="F1758" s="384">
        <f>260441-14890</f>
        <v>245551</v>
      </c>
      <c r="G1758" s="6">
        <f t="shared" si="31"/>
        <v>-245551</v>
      </c>
      <c r="H1758" s="387"/>
    </row>
    <row r="1759" spans="1:8" hidden="1" x14ac:dyDescent="0.25">
      <c r="A1759" s="116">
        <v>43775</v>
      </c>
      <c r="B1759" s="10" t="s">
        <v>2675</v>
      </c>
      <c r="C1759" s="11" t="s">
        <v>166</v>
      </c>
      <c r="E1759" s="112"/>
      <c r="F1759" s="384">
        <v>9600</v>
      </c>
      <c r="G1759" s="6">
        <f t="shared" si="31"/>
        <v>-9600</v>
      </c>
      <c r="H1759" s="387" t="s">
        <v>5553</v>
      </c>
    </row>
    <row r="1760" spans="1:8" hidden="1" x14ac:dyDescent="0.25">
      <c r="A1760" s="116">
        <v>43775</v>
      </c>
      <c r="B1760" s="10" t="s">
        <v>5274</v>
      </c>
      <c r="C1760" s="11" t="s">
        <v>166</v>
      </c>
      <c r="E1760" s="112"/>
      <c r="F1760" s="384">
        <v>6400</v>
      </c>
      <c r="G1760" s="6">
        <f t="shared" si="31"/>
        <v>-6400</v>
      </c>
      <c r="H1760" s="387"/>
    </row>
    <row r="1761" spans="1:8" hidden="1" x14ac:dyDescent="0.25">
      <c r="A1761" s="116">
        <v>43775</v>
      </c>
      <c r="B1761" s="10" t="s">
        <v>2957</v>
      </c>
      <c r="C1761" s="11" t="s">
        <v>161</v>
      </c>
      <c r="E1761" s="8">
        <v>158880</v>
      </c>
      <c r="G1761" s="6">
        <f t="shared" si="31"/>
        <v>158880</v>
      </c>
    </row>
    <row r="1762" spans="1:8" hidden="1" x14ac:dyDescent="0.25">
      <c r="A1762" s="116">
        <v>43775</v>
      </c>
      <c r="B1762" s="10" t="s">
        <v>2957</v>
      </c>
      <c r="C1762" s="11" t="s">
        <v>161</v>
      </c>
      <c r="F1762" s="9">
        <v>443</v>
      </c>
      <c r="G1762" s="6">
        <f t="shared" si="31"/>
        <v>-443</v>
      </c>
      <c r="H1762" s="7" t="s">
        <v>3951</v>
      </c>
    </row>
    <row r="1763" spans="1:8" ht="31.5" hidden="1" x14ac:dyDescent="0.25">
      <c r="A1763" s="116">
        <v>43781</v>
      </c>
      <c r="B1763" s="10" t="s">
        <v>1407</v>
      </c>
      <c r="C1763" s="11" t="s">
        <v>3255</v>
      </c>
      <c r="F1763" s="9">
        <v>1400000</v>
      </c>
      <c r="G1763" s="6">
        <f t="shared" si="31"/>
        <v>-1400000</v>
      </c>
      <c r="H1763" s="254" t="s">
        <v>5580</v>
      </c>
    </row>
    <row r="1764" spans="1:8" hidden="1" x14ac:dyDescent="0.25">
      <c r="A1764" s="116">
        <v>43781</v>
      </c>
      <c r="B1764" s="10" t="s">
        <v>1407</v>
      </c>
      <c r="C1764" s="11" t="s">
        <v>3255</v>
      </c>
      <c r="F1764" s="9">
        <v>200000</v>
      </c>
      <c r="G1764" s="6">
        <f t="shared" si="31"/>
        <v>-200000</v>
      </c>
      <c r="H1764" s="32" t="s">
        <v>5830</v>
      </c>
    </row>
    <row r="1765" spans="1:8" hidden="1" x14ac:dyDescent="0.25">
      <c r="A1765" s="116">
        <v>43781</v>
      </c>
      <c r="B1765" s="10" t="s">
        <v>1407</v>
      </c>
      <c r="C1765" s="11" t="s">
        <v>3255</v>
      </c>
      <c r="F1765" s="9">
        <v>200000</v>
      </c>
      <c r="G1765" s="6">
        <f t="shared" si="31"/>
        <v>-200000</v>
      </c>
      <c r="H1765" s="32" t="s">
        <v>5829</v>
      </c>
    </row>
    <row r="1766" spans="1:8" hidden="1" x14ac:dyDescent="0.25">
      <c r="A1766" s="116">
        <v>43781</v>
      </c>
      <c r="B1766" s="10" t="s">
        <v>1407</v>
      </c>
      <c r="C1766" s="11" t="s">
        <v>3255</v>
      </c>
      <c r="F1766" s="9">
        <v>200000</v>
      </c>
      <c r="G1766" s="6">
        <f t="shared" si="31"/>
        <v>-200000</v>
      </c>
      <c r="H1766" s="32" t="s">
        <v>5828</v>
      </c>
    </row>
    <row r="1767" spans="1:8" hidden="1" x14ac:dyDescent="0.25">
      <c r="A1767" s="116">
        <v>43781</v>
      </c>
      <c r="B1767" s="10" t="s">
        <v>1407</v>
      </c>
      <c r="C1767" s="11" t="s">
        <v>3255</v>
      </c>
      <c r="F1767" s="9">
        <v>130000</v>
      </c>
      <c r="G1767" s="6">
        <f t="shared" si="31"/>
        <v>-130000</v>
      </c>
      <c r="H1767" s="32" t="s">
        <v>5581</v>
      </c>
    </row>
    <row r="1768" spans="1:8" hidden="1" x14ac:dyDescent="0.25">
      <c r="A1768" s="116">
        <v>43781</v>
      </c>
      <c r="B1768" s="10" t="s">
        <v>1407</v>
      </c>
      <c r="C1768" s="11" t="s">
        <v>3255</v>
      </c>
      <c r="E1768" s="8">
        <v>200000</v>
      </c>
      <c r="G1768" s="6">
        <f t="shared" si="31"/>
        <v>200000</v>
      </c>
      <c r="H1768" s="441" t="s">
        <v>5884</v>
      </c>
    </row>
    <row r="1769" spans="1:8" hidden="1" x14ac:dyDescent="0.25">
      <c r="A1769" s="116">
        <v>43781</v>
      </c>
      <c r="B1769" s="10" t="s">
        <v>2957</v>
      </c>
      <c r="C1769" s="11" t="s">
        <v>3738</v>
      </c>
      <c r="F1769" s="9">
        <v>100000</v>
      </c>
      <c r="G1769" s="6">
        <f t="shared" si="31"/>
        <v>-100000</v>
      </c>
      <c r="H1769" s="32" t="s">
        <v>5594</v>
      </c>
    </row>
    <row r="1770" spans="1:8" hidden="1" x14ac:dyDescent="0.25">
      <c r="A1770" s="116">
        <v>43781</v>
      </c>
      <c r="B1770" s="10" t="s">
        <v>5598</v>
      </c>
      <c r="C1770" s="11" t="s">
        <v>169</v>
      </c>
      <c r="E1770" s="8">
        <v>2500</v>
      </c>
      <c r="G1770" s="6">
        <f t="shared" si="31"/>
        <v>2500</v>
      </c>
    </row>
    <row r="1771" spans="1:8" hidden="1" x14ac:dyDescent="0.25">
      <c r="A1771" s="116">
        <v>43781</v>
      </c>
      <c r="B1771" s="10" t="s">
        <v>5598</v>
      </c>
      <c r="C1771" s="11" t="s">
        <v>169</v>
      </c>
      <c r="E1771" s="8">
        <v>3450</v>
      </c>
      <c r="G1771" s="6">
        <f t="shared" si="31"/>
        <v>3450</v>
      </c>
    </row>
    <row r="1772" spans="1:8" hidden="1" x14ac:dyDescent="0.25">
      <c r="A1772" s="116">
        <v>43781</v>
      </c>
      <c r="B1772" s="10" t="s">
        <v>1407</v>
      </c>
      <c r="C1772" s="11" t="s">
        <v>1828</v>
      </c>
      <c r="E1772" s="8">
        <v>154606</v>
      </c>
      <c r="G1772" s="6">
        <f t="shared" si="31"/>
        <v>154606</v>
      </c>
    </row>
    <row r="1773" spans="1:8" hidden="1" x14ac:dyDescent="0.25">
      <c r="A1773" s="116">
        <v>43781</v>
      </c>
      <c r="B1773" s="10" t="s">
        <v>1407</v>
      </c>
      <c r="C1773" s="11" t="s">
        <v>1828</v>
      </c>
      <c r="E1773" s="8">
        <v>43839</v>
      </c>
      <c r="G1773" s="6">
        <f t="shared" si="31"/>
        <v>43839</v>
      </c>
    </row>
    <row r="1774" spans="1:8" hidden="1" x14ac:dyDescent="0.25">
      <c r="A1774" s="116">
        <v>43781</v>
      </c>
      <c r="B1774" s="10" t="s">
        <v>2957</v>
      </c>
      <c r="C1774" s="11" t="s">
        <v>4445</v>
      </c>
      <c r="F1774" s="9">
        <v>150000</v>
      </c>
      <c r="G1774" s="6">
        <f t="shared" si="31"/>
        <v>-150000</v>
      </c>
      <c r="H1774" s="425" t="s">
        <v>5604</v>
      </c>
    </row>
    <row r="1775" spans="1:8" hidden="1" x14ac:dyDescent="0.25">
      <c r="A1775" s="116">
        <v>43781</v>
      </c>
      <c r="B1775" s="10" t="s">
        <v>2957</v>
      </c>
      <c r="C1775" s="11" t="s">
        <v>3039</v>
      </c>
      <c r="E1775" s="8">
        <v>22656</v>
      </c>
      <c r="G1775" s="6">
        <f t="shared" si="31"/>
        <v>22656</v>
      </c>
    </row>
    <row r="1776" spans="1:8" hidden="1" x14ac:dyDescent="0.25">
      <c r="A1776" s="116">
        <v>43781</v>
      </c>
      <c r="B1776" s="10" t="s">
        <v>2675</v>
      </c>
      <c r="C1776" s="11" t="s">
        <v>3039</v>
      </c>
      <c r="E1776" s="8">
        <v>71887</v>
      </c>
      <c r="G1776" s="6">
        <f t="shared" si="31"/>
        <v>71887</v>
      </c>
    </row>
    <row r="1777" spans="1:8" hidden="1" x14ac:dyDescent="0.25">
      <c r="A1777" s="116">
        <v>43781</v>
      </c>
      <c r="B1777" s="10" t="s">
        <v>2675</v>
      </c>
      <c r="C1777" s="11" t="s">
        <v>3039</v>
      </c>
      <c r="E1777" s="8">
        <v>114000</v>
      </c>
      <c r="G1777" s="6">
        <f t="shared" si="31"/>
        <v>114000</v>
      </c>
    </row>
    <row r="1778" spans="1:8" hidden="1" x14ac:dyDescent="0.25">
      <c r="A1778" s="116">
        <v>43781</v>
      </c>
      <c r="B1778" s="10" t="s">
        <v>3765</v>
      </c>
      <c r="C1778" s="11" t="s">
        <v>3039</v>
      </c>
      <c r="E1778" s="8">
        <v>10278</v>
      </c>
      <c r="G1778" s="6">
        <f t="shared" si="31"/>
        <v>10278</v>
      </c>
    </row>
    <row r="1779" spans="1:8" hidden="1" x14ac:dyDescent="0.25">
      <c r="A1779" s="116">
        <v>43781</v>
      </c>
      <c r="B1779" s="10" t="s">
        <v>1407</v>
      </c>
      <c r="C1779" s="11" t="s">
        <v>3039</v>
      </c>
      <c r="E1779" s="8">
        <v>14000</v>
      </c>
      <c r="G1779" s="6">
        <f t="shared" si="31"/>
        <v>14000</v>
      </c>
    </row>
    <row r="1780" spans="1:8" hidden="1" x14ac:dyDescent="0.25">
      <c r="A1780" s="116">
        <v>43781</v>
      </c>
      <c r="B1780" s="10" t="s">
        <v>2675</v>
      </c>
      <c r="C1780" s="11" t="s">
        <v>3039</v>
      </c>
      <c r="F1780" s="9">
        <v>100000</v>
      </c>
      <c r="G1780" s="6">
        <f t="shared" si="31"/>
        <v>-100000</v>
      </c>
    </row>
    <row r="1781" spans="1:8" hidden="1" x14ac:dyDescent="0.25">
      <c r="A1781" s="116">
        <v>43781</v>
      </c>
      <c r="B1781" s="10" t="s">
        <v>2957</v>
      </c>
      <c r="C1781" s="11" t="s">
        <v>161</v>
      </c>
      <c r="F1781" s="9">
        <v>158880</v>
      </c>
      <c r="G1781" s="6">
        <f t="shared" si="31"/>
        <v>-158880</v>
      </c>
      <c r="H1781" s="32" t="s">
        <v>5614</v>
      </c>
    </row>
    <row r="1782" spans="1:8" hidden="1" x14ac:dyDescent="0.25">
      <c r="A1782" s="116">
        <v>43782</v>
      </c>
      <c r="B1782" s="10" t="s">
        <v>2675</v>
      </c>
      <c r="C1782" s="11" t="s">
        <v>1816</v>
      </c>
      <c r="E1782" s="8">
        <v>23543</v>
      </c>
      <c r="G1782" s="6">
        <f t="shared" si="31"/>
        <v>23543</v>
      </c>
    </row>
    <row r="1783" spans="1:8" hidden="1" x14ac:dyDescent="0.25">
      <c r="A1783" s="116">
        <v>43812</v>
      </c>
      <c r="B1783" s="10" t="s">
        <v>5598</v>
      </c>
      <c r="C1783" s="11" t="s">
        <v>1816</v>
      </c>
      <c r="E1783" s="8">
        <v>41183</v>
      </c>
      <c r="G1783" s="6">
        <f t="shared" ref="G1783:G1891" si="32">E1783-F1783</f>
        <v>41183</v>
      </c>
    </row>
    <row r="1784" spans="1:8" hidden="1" x14ac:dyDescent="0.25">
      <c r="A1784" s="116">
        <v>43812</v>
      </c>
      <c r="B1784" s="10" t="s">
        <v>5598</v>
      </c>
      <c r="C1784" s="11" t="s">
        <v>1816</v>
      </c>
      <c r="E1784" s="8">
        <v>58230</v>
      </c>
      <c r="G1784" s="6">
        <f t="shared" si="32"/>
        <v>58230</v>
      </c>
    </row>
    <row r="1785" spans="1:8" hidden="1" x14ac:dyDescent="0.25">
      <c r="A1785" s="116">
        <v>43812</v>
      </c>
      <c r="B1785" s="10" t="s">
        <v>5598</v>
      </c>
      <c r="C1785" s="11" t="s">
        <v>1816</v>
      </c>
      <c r="E1785" s="8">
        <v>2926</v>
      </c>
      <c r="G1785" s="6">
        <f t="shared" si="32"/>
        <v>2926</v>
      </c>
    </row>
    <row r="1786" spans="1:8" hidden="1" x14ac:dyDescent="0.25">
      <c r="A1786" s="116">
        <v>43812</v>
      </c>
      <c r="B1786" s="10" t="s">
        <v>1407</v>
      </c>
      <c r="C1786" s="11" t="s">
        <v>1816</v>
      </c>
      <c r="E1786" s="8">
        <v>17270</v>
      </c>
      <c r="G1786" s="6">
        <f t="shared" si="32"/>
        <v>17270</v>
      </c>
    </row>
    <row r="1787" spans="1:8" hidden="1" x14ac:dyDescent="0.25">
      <c r="A1787" s="116">
        <v>43812</v>
      </c>
      <c r="B1787" s="10" t="s">
        <v>2675</v>
      </c>
      <c r="C1787" s="11" t="s">
        <v>1816</v>
      </c>
      <c r="E1787" s="8">
        <v>15882</v>
      </c>
      <c r="G1787" s="6">
        <f t="shared" si="32"/>
        <v>15882</v>
      </c>
    </row>
    <row r="1788" spans="1:8" hidden="1" x14ac:dyDescent="0.25">
      <c r="A1788" s="116">
        <v>43812</v>
      </c>
      <c r="B1788" s="10" t="s">
        <v>2675</v>
      </c>
      <c r="C1788" s="11" t="s">
        <v>1816</v>
      </c>
      <c r="E1788" s="8">
        <v>21770</v>
      </c>
      <c r="G1788" s="6">
        <f t="shared" si="32"/>
        <v>21770</v>
      </c>
    </row>
    <row r="1789" spans="1:8" hidden="1" x14ac:dyDescent="0.25">
      <c r="A1789" s="116">
        <v>43812</v>
      </c>
      <c r="B1789" s="10" t="s">
        <v>2675</v>
      </c>
      <c r="C1789" s="11" t="s">
        <v>1816</v>
      </c>
      <c r="E1789" s="8">
        <v>3427</v>
      </c>
      <c r="G1789" s="6">
        <f t="shared" si="32"/>
        <v>3427</v>
      </c>
    </row>
    <row r="1790" spans="1:8" hidden="1" x14ac:dyDescent="0.25">
      <c r="A1790" s="116">
        <v>43812</v>
      </c>
      <c r="B1790" s="10" t="s">
        <v>1407</v>
      </c>
      <c r="C1790" s="11" t="s">
        <v>1816</v>
      </c>
      <c r="E1790" s="8">
        <v>3296</v>
      </c>
      <c r="G1790" s="6">
        <f t="shared" si="32"/>
        <v>3296</v>
      </c>
    </row>
    <row r="1791" spans="1:8" hidden="1" x14ac:dyDescent="0.25">
      <c r="A1791" s="116">
        <v>43812</v>
      </c>
      <c r="B1791" s="10" t="s">
        <v>1407</v>
      </c>
      <c r="C1791" s="11" t="s">
        <v>1816</v>
      </c>
      <c r="E1791" s="8">
        <v>20063</v>
      </c>
      <c r="G1791" s="6">
        <f t="shared" si="32"/>
        <v>20063</v>
      </c>
    </row>
    <row r="1792" spans="1:8" hidden="1" x14ac:dyDescent="0.25">
      <c r="A1792" s="116">
        <v>43812</v>
      </c>
      <c r="B1792" s="10" t="s">
        <v>2675</v>
      </c>
      <c r="C1792" s="11" t="s">
        <v>1816</v>
      </c>
      <c r="E1792" s="8">
        <v>60884</v>
      </c>
      <c r="G1792" s="6">
        <f t="shared" si="32"/>
        <v>60884</v>
      </c>
    </row>
    <row r="1793" spans="1:8" hidden="1" x14ac:dyDescent="0.25">
      <c r="A1793" s="116">
        <v>43812</v>
      </c>
      <c r="B1793" s="10" t="s">
        <v>1407</v>
      </c>
      <c r="C1793" s="11" t="s">
        <v>166</v>
      </c>
      <c r="E1793" s="8">
        <v>92400</v>
      </c>
      <c r="G1793" s="6">
        <f t="shared" si="32"/>
        <v>92400</v>
      </c>
    </row>
    <row r="1794" spans="1:8" hidden="1" x14ac:dyDescent="0.25">
      <c r="A1794" s="116">
        <v>43812</v>
      </c>
      <c r="B1794" s="10" t="s">
        <v>2957</v>
      </c>
      <c r="C1794" s="11" t="s">
        <v>169</v>
      </c>
      <c r="E1794" s="8">
        <v>3498</v>
      </c>
      <c r="G1794" s="6">
        <f t="shared" si="32"/>
        <v>3498</v>
      </c>
    </row>
    <row r="1795" spans="1:8" hidden="1" x14ac:dyDescent="0.25">
      <c r="A1795" s="116">
        <v>43812</v>
      </c>
      <c r="B1795" s="10" t="s">
        <v>1407</v>
      </c>
      <c r="C1795" s="11" t="s">
        <v>164</v>
      </c>
      <c r="E1795" s="8">
        <v>31827</v>
      </c>
      <c r="G1795" s="6">
        <f t="shared" si="32"/>
        <v>31827</v>
      </c>
    </row>
    <row r="1796" spans="1:8" hidden="1" x14ac:dyDescent="0.25">
      <c r="A1796" s="116">
        <v>43819</v>
      </c>
      <c r="B1796" s="10" t="s">
        <v>2675</v>
      </c>
      <c r="C1796" s="11" t="s">
        <v>1816</v>
      </c>
      <c r="D1796" s="789"/>
      <c r="E1796" s="288">
        <v>1900</v>
      </c>
      <c r="F1796" s="287"/>
      <c r="G1796" s="6">
        <f t="shared" si="32"/>
        <v>1900</v>
      </c>
    </row>
    <row r="1797" spans="1:8" hidden="1" x14ac:dyDescent="0.25">
      <c r="A1797" s="116">
        <v>43819</v>
      </c>
      <c r="B1797" s="10" t="s">
        <v>2675</v>
      </c>
      <c r="C1797" s="11" t="s">
        <v>1816</v>
      </c>
      <c r="D1797" s="789"/>
      <c r="E1797" s="289">
        <v>1560</v>
      </c>
      <c r="F1797" s="287"/>
      <c r="G1797" s="6">
        <f t="shared" si="32"/>
        <v>1560</v>
      </c>
    </row>
    <row r="1798" spans="1:8" hidden="1" x14ac:dyDescent="0.25">
      <c r="A1798" s="116">
        <v>43819</v>
      </c>
      <c r="B1798" s="10" t="s">
        <v>5598</v>
      </c>
      <c r="C1798" s="11" t="s">
        <v>1816</v>
      </c>
      <c r="D1798" s="789"/>
      <c r="E1798" s="289">
        <v>8354</v>
      </c>
      <c r="F1798" s="287"/>
      <c r="G1798" s="6">
        <f t="shared" si="32"/>
        <v>8354</v>
      </c>
    </row>
    <row r="1799" spans="1:8" hidden="1" x14ac:dyDescent="0.25">
      <c r="A1799" s="116">
        <v>43819</v>
      </c>
      <c r="B1799" s="10" t="s">
        <v>2675</v>
      </c>
      <c r="C1799" s="11" t="s">
        <v>1816</v>
      </c>
      <c r="D1799" s="789"/>
      <c r="E1799" s="289">
        <v>16142</v>
      </c>
      <c r="F1799" s="287"/>
      <c r="G1799" s="6">
        <f t="shared" si="32"/>
        <v>16142</v>
      </c>
    </row>
    <row r="1800" spans="1:8" hidden="1" x14ac:dyDescent="0.25">
      <c r="A1800" s="116">
        <v>43819</v>
      </c>
      <c r="B1800" s="10" t="s">
        <v>5598</v>
      </c>
      <c r="C1800" s="11" t="s">
        <v>1816</v>
      </c>
      <c r="D1800" s="789"/>
      <c r="E1800" s="289">
        <v>12115</v>
      </c>
      <c r="F1800" s="287"/>
      <c r="G1800" s="6">
        <f t="shared" si="32"/>
        <v>12115</v>
      </c>
    </row>
    <row r="1801" spans="1:8" hidden="1" x14ac:dyDescent="0.25">
      <c r="A1801" s="116">
        <v>43819</v>
      </c>
      <c r="B1801" s="10" t="s">
        <v>5598</v>
      </c>
      <c r="C1801" s="11" t="s">
        <v>1816</v>
      </c>
      <c r="D1801" s="789"/>
      <c r="E1801" s="289">
        <v>18371</v>
      </c>
      <c r="F1801" s="287"/>
      <c r="G1801" s="6">
        <f t="shared" si="32"/>
        <v>18371</v>
      </c>
    </row>
    <row r="1802" spans="1:8" hidden="1" x14ac:dyDescent="0.25">
      <c r="A1802" s="116">
        <v>43819</v>
      </c>
      <c r="B1802" s="10" t="s">
        <v>5598</v>
      </c>
      <c r="C1802" s="11" t="s">
        <v>1816</v>
      </c>
      <c r="D1802" s="789"/>
      <c r="E1802" s="289">
        <v>2706</v>
      </c>
      <c r="F1802" s="287"/>
      <c r="G1802" s="6">
        <f t="shared" si="32"/>
        <v>2706</v>
      </c>
    </row>
    <row r="1803" spans="1:8" hidden="1" x14ac:dyDescent="0.25">
      <c r="A1803" s="116">
        <v>43819</v>
      </c>
      <c r="B1803" s="10" t="s">
        <v>5598</v>
      </c>
      <c r="C1803" s="11" t="s">
        <v>1816</v>
      </c>
      <c r="D1803" s="789"/>
      <c r="E1803" s="290">
        <v>6442</v>
      </c>
      <c r="F1803" s="287"/>
      <c r="G1803" s="6">
        <f t="shared" si="32"/>
        <v>6442</v>
      </c>
    </row>
    <row r="1804" spans="1:8" hidden="1" x14ac:dyDescent="0.25">
      <c r="A1804" s="116">
        <v>43823</v>
      </c>
      <c r="B1804" s="10" t="s">
        <v>1407</v>
      </c>
      <c r="C1804" s="11" t="s">
        <v>166</v>
      </c>
      <c r="F1804" s="9">
        <f>107290+31200+92400</f>
        <v>230890</v>
      </c>
      <c r="G1804" s="6">
        <f t="shared" si="32"/>
        <v>-230890</v>
      </c>
      <c r="H1804" s="32" t="s">
        <v>5656</v>
      </c>
    </row>
    <row r="1805" spans="1:8" hidden="1" x14ac:dyDescent="0.25">
      <c r="A1805" s="116">
        <v>43823</v>
      </c>
      <c r="B1805" s="10" t="s">
        <v>1407</v>
      </c>
      <c r="C1805" s="11" t="s">
        <v>166</v>
      </c>
      <c r="F1805" s="9">
        <f>250000-F1804</f>
        <v>19110</v>
      </c>
      <c r="G1805" s="6">
        <f t="shared" si="32"/>
        <v>-19110</v>
      </c>
      <c r="H1805" s="32" t="s">
        <v>5656</v>
      </c>
    </row>
    <row r="1806" spans="1:8" hidden="1" x14ac:dyDescent="0.25">
      <c r="A1806" s="116">
        <v>43823</v>
      </c>
      <c r="B1806" s="10" t="s">
        <v>1407</v>
      </c>
      <c r="C1806" s="11" t="s">
        <v>1828</v>
      </c>
      <c r="F1806" s="9">
        <v>250000</v>
      </c>
      <c r="G1806" s="6">
        <f t="shared" si="32"/>
        <v>-250000</v>
      </c>
      <c r="H1806" s="32" t="s">
        <v>5656</v>
      </c>
    </row>
    <row r="1807" spans="1:8" hidden="1" x14ac:dyDescent="0.25">
      <c r="A1807" s="116">
        <v>43823</v>
      </c>
      <c r="B1807" s="10" t="s">
        <v>2957</v>
      </c>
      <c r="C1807" s="11" t="s">
        <v>3738</v>
      </c>
      <c r="E1807" s="8">
        <v>130000</v>
      </c>
      <c r="G1807" s="6">
        <f t="shared" si="32"/>
        <v>130000</v>
      </c>
    </row>
    <row r="1808" spans="1:8" hidden="1" x14ac:dyDescent="0.25">
      <c r="A1808" s="116">
        <v>43823</v>
      </c>
      <c r="B1808" s="10" t="s">
        <v>2957</v>
      </c>
      <c r="C1808" s="11" t="s">
        <v>3738</v>
      </c>
      <c r="E1808" s="8">
        <v>8400</v>
      </c>
      <c r="G1808" s="6">
        <f t="shared" si="32"/>
        <v>8400</v>
      </c>
    </row>
    <row r="1809" spans="1:8" hidden="1" x14ac:dyDescent="0.25">
      <c r="A1809" s="116">
        <v>43823</v>
      </c>
      <c r="B1809" s="10" t="s">
        <v>2957</v>
      </c>
      <c r="C1809" s="11" t="s">
        <v>180</v>
      </c>
      <c r="E1809" s="8">
        <v>88000</v>
      </c>
      <c r="G1809" s="6">
        <f t="shared" si="32"/>
        <v>88000</v>
      </c>
    </row>
    <row r="1810" spans="1:8" hidden="1" x14ac:dyDescent="0.25">
      <c r="A1810" s="116">
        <v>43823</v>
      </c>
      <c r="B1810" s="10" t="s">
        <v>2957</v>
      </c>
      <c r="C1810" s="11" t="s">
        <v>180</v>
      </c>
      <c r="F1810" s="9">
        <v>188000</v>
      </c>
      <c r="G1810" s="6">
        <f t="shared" si="32"/>
        <v>-188000</v>
      </c>
      <c r="H1810" s="7" t="s">
        <v>5607</v>
      </c>
    </row>
    <row r="1811" spans="1:8" hidden="1" x14ac:dyDescent="0.25">
      <c r="A1811" s="116">
        <v>43823</v>
      </c>
      <c r="B1811" s="10" t="s">
        <v>2957</v>
      </c>
      <c r="C1811" s="11" t="s">
        <v>180</v>
      </c>
      <c r="F1811" s="9">
        <v>256</v>
      </c>
      <c r="G1811" s="6">
        <f t="shared" si="32"/>
        <v>-256</v>
      </c>
      <c r="H1811" s="7" t="s">
        <v>3951</v>
      </c>
    </row>
    <row r="1812" spans="1:8" hidden="1" x14ac:dyDescent="0.25">
      <c r="A1812" s="116">
        <v>43823</v>
      </c>
      <c r="B1812" s="10" t="s">
        <v>2957</v>
      </c>
      <c r="C1812" s="11" t="s">
        <v>180</v>
      </c>
      <c r="E1812" s="8">
        <v>71000</v>
      </c>
      <c r="G1812" s="6">
        <f t="shared" si="32"/>
        <v>71000</v>
      </c>
    </row>
    <row r="1813" spans="1:8" hidden="1" x14ac:dyDescent="0.25">
      <c r="A1813" s="116">
        <v>43823</v>
      </c>
      <c r="B1813" s="10" t="s">
        <v>3765</v>
      </c>
      <c r="C1813" s="11" t="s">
        <v>3039</v>
      </c>
      <c r="F1813" s="9">
        <v>10278</v>
      </c>
      <c r="G1813" s="6">
        <f t="shared" si="32"/>
        <v>-10278</v>
      </c>
      <c r="H1813" s="7" t="s">
        <v>3951</v>
      </c>
    </row>
    <row r="1814" spans="1:8" hidden="1" x14ac:dyDescent="0.25">
      <c r="A1814" s="116">
        <v>43823</v>
      </c>
      <c r="B1814" s="10" t="s">
        <v>2957</v>
      </c>
      <c r="C1814" s="11" t="s">
        <v>3039</v>
      </c>
      <c r="F1814" s="9">
        <v>22656</v>
      </c>
      <c r="G1814" s="6">
        <f t="shared" si="32"/>
        <v>-22656</v>
      </c>
      <c r="H1814" s="7" t="s">
        <v>3951</v>
      </c>
    </row>
    <row r="1815" spans="1:8" hidden="1" x14ac:dyDescent="0.25">
      <c r="A1815" s="116">
        <v>43823</v>
      </c>
      <c r="B1815" s="10" t="s">
        <v>1407</v>
      </c>
      <c r="C1815" s="11" t="s">
        <v>3039</v>
      </c>
      <c r="F1815" s="9">
        <v>14000</v>
      </c>
      <c r="G1815" s="6">
        <f t="shared" si="32"/>
        <v>-14000</v>
      </c>
      <c r="H1815" s="7" t="s">
        <v>3951</v>
      </c>
    </row>
    <row r="1816" spans="1:8" hidden="1" x14ac:dyDescent="0.25">
      <c r="A1816" s="116">
        <v>43823</v>
      </c>
      <c r="B1816" s="10" t="s">
        <v>2675</v>
      </c>
      <c r="C1816" s="11" t="s">
        <v>3039</v>
      </c>
      <c r="F1816" s="9">
        <v>102159</v>
      </c>
      <c r="G1816" s="6">
        <f t="shared" si="32"/>
        <v>-102159</v>
      </c>
      <c r="H1816" s="7" t="s">
        <v>3951</v>
      </c>
    </row>
    <row r="1817" spans="1:8" hidden="1" x14ac:dyDescent="0.25">
      <c r="A1817" s="116">
        <v>43833</v>
      </c>
      <c r="B1817" s="10" t="s">
        <v>1407</v>
      </c>
      <c r="C1817" s="11" t="s">
        <v>1816</v>
      </c>
      <c r="E1817" s="8">
        <v>21120</v>
      </c>
      <c r="G1817" s="6">
        <f t="shared" si="32"/>
        <v>21120</v>
      </c>
    </row>
    <row r="1818" spans="1:8" hidden="1" x14ac:dyDescent="0.25">
      <c r="A1818" s="116">
        <v>43841</v>
      </c>
      <c r="B1818" s="10" t="s">
        <v>1407</v>
      </c>
      <c r="C1818" s="11" t="s">
        <v>166</v>
      </c>
      <c r="E1818" s="8">
        <v>31200</v>
      </c>
      <c r="G1818" s="6">
        <f t="shared" si="32"/>
        <v>31200</v>
      </c>
    </row>
    <row r="1819" spans="1:8" hidden="1" x14ac:dyDescent="0.25">
      <c r="A1819" s="116">
        <v>43841</v>
      </c>
      <c r="B1819" s="10" t="s">
        <v>1407</v>
      </c>
      <c r="C1819" s="11" t="s">
        <v>166</v>
      </c>
      <c r="E1819" s="8">
        <v>92400</v>
      </c>
      <c r="G1819" s="6">
        <f t="shared" si="32"/>
        <v>92400</v>
      </c>
    </row>
    <row r="1820" spans="1:8" hidden="1" x14ac:dyDescent="0.25">
      <c r="A1820" s="116">
        <v>43841</v>
      </c>
      <c r="B1820" s="10" t="s">
        <v>2957</v>
      </c>
      <c r="C1820" s="11" t="s">
        <v>3738</v>
      </c>
      <c r="F1820" s="9">
        <v>105000</v>
      </c>
      <c r="G1820" s="6">
        <f t="shared" si="32"/>
        <v>-105000</v>
      </c>
      <c r="H1820" s="32" t="s">
        <v>5683</v>
      </c>
    </row>
    <row r="1821" spans="1:8" hidden="1" x14ac:dyDescent="0.25">
      <c r="A1821" s="116">
        <v>43850</v>
      </c>
      <c r="B1821" s="10" t="s">
        <v>5274</v>
      </c>
      <c r="C1821" s="11" t="s">
        <v>169</v>
      </c>
      <c r="F1821" s="9">
        <v>200000</v>
      </c>
      <c r="G1821" s="6">
        <f t="shared" si="32"/>
        <v>-200000</v>
      </c>
      <c r="H1821" s="32" t="s">
        <v>5738</v>
      </c>
    </row>
    <row r="1822" spans="1:8" hidden="1" x14ac:dyDescent="0.25">
      <c r="A1822" s="116">
        <v>43853</v>
      </c>
      <c r="B1822" s="10" t="s">
        <v>1407</v>
      </c>
      <c r="C1822" s="11" t="s">
        <v>166</v>
      </c>
      <c r="E1822" s="8">
        <v>26000</v>
      </c>
      <c r="G1822" s="6">
        <f t="shared" si="32"/>
        <v>26000</v>
      </c>
    </row>
    <row r="1823" spans="1:8" hidden="1" x14ac:dyDescent="0.25">
      <c r="A1823" s="116">
        <v>43855</v>
      </c>
      <c r="B1823" s="10" t="s">
        <v>5598</v>
      </c>
      <c r="C1823" s="11" t="s">
        <v>1816</v>
      </c>
      <c r="D1823" s="789"/>
      <c r="E1823" s="288">
        <v>3960</v>
      </c>
      <c r="F1823" s="287"/>
      <c r="G1823" s="6">
        <f t="shared" si="32"/>
        <v>3960</v>
      </c>
    </row>
    <row r="1824" spans="1:8" hidden="1" x14ac:dyDescent="0.25">
      <c r="A1824" s="116">
        <v>43855</v>
      </c>
      <c r="B1824" s="10" t="s">
        <v>2675</v>
      </c>
      <c r="C1824" s="11" t="s">
        <v>1816</v>
      </c>
      <c r="D1824" s="789"/>
      <c r="E1824" s="289">
        <v>11472</v>
      </c>
      <c r="F1824" s="287"/>
      <c r="G1824" s="6">
        <f t="shared" si="32"/>
        <v>11472</v>
      </c>
    </row>
    <row r="1825" spans="1:7" hidden="1" x14ac:dyDescent="0.25">
      <c r="A1825" s="116">
        <v>43855</v>
      </c>
      <c r="B1825" s="10" t="s">
        <v>2675</v>
      </c>
      <c r="C1825" s="11" t="s">
        <v>1816</v>
      </c>
      <c r="D1825" s="789"/>
      <c r="E1825" s="289">
        <v>7192</v>
      </c>
      <c r="F1825" s="287"/>
      <c r="G1825" s="6">
        <f t="shared" si="32"/>
        <v>7192</v>
      </c>
    </row>
    <row r="1826" spans="1:7" hidden="1" x14ac:dyDescent="0.25">
      <c r="A1826" s="116">
        <v>43855</v>
      </c>
      <c r="B1826" s="10" t="s">
        <v>18</v>
      </c>
      <c r="C1826" s="11" t="s">
        <v>1816</v>
      </c>
      <c r="D1826" s="789"/>
      <c r="E1826" s="289">
        <v>6222</v>
      </c>
      <c r="F1826" s="287"/>
      <c r="G1826" s="6">
        <f t="shared" si="32"/>
        <v>6222</v>
      </c>
    </row>
    <row r="1827" spans="1:7" hidden="1" x14ac:dyDescent="0.25">
      <c r="A1827" s="116">
        <v>43855</v>
      </c>
      <c r="B1827" s="10" t="s">
        <v>1407</v>
      </c>
      <c r="C1827" s="11" t="s">
        <v>1816</v>
      </c>
      <c r="D1827" s="789"/>
      <c r="E1827" s="289">
        <v>501</v>
      </c>
      <c r="F1827" s="287"/>
      <c r="G1827" s="6">
        <f t="shared" si="32"/>
        <v>501</v>
      </c>
    </row>
    <row r="1828" spans="1:7" hidden="1" x14ac:dyDescent="0.25">
      <c r="A1828" s="116">
        <v>43855</v>
      </c>
      <c r="B1828" s="10" t="s">
        <v>2675</v>
      </c>
      <c r="C1828" s="11" t="s">
        <v>1816</v>
      </c>
      <c r="D1828" s="789"/>
      <c r="E1828" s="289">
        <v>10893</v>
      </c>
      <c r="F1828" s="287"/>
      <c r="G1828" s="6">
        <f t="shared" si="32"/>
        <v>10893</v>
      </c>
    </row>
    <row r="1829" spans="1:7" hidden="1" x14ac:dyDescent="0.25">
      <c r="A1829" s="116">
        <v>43855</v>
      </c>
      <c r="B1829" s="10" t="s">
        <v>5598</v>
      </c>
      <c r="C1829" s="11" t="s">
        <v>1816</v>
      </c>
      <c r="D1829" s="789"/>
      <c r="E1829" s="289">
        <v>2510</v>
      </c>
      <c r="F1829" s="287"/>
      <c r="G1829" s="6">
        <f t="shared" si="32"/>
        <v>2510</v>
      </c>
    </row>
    <row r="1830" spans="1:7" hidden="1" x14ac:dyDescent="0.25">
      <c r="A1830" s="116">
        <v>43855</v>
      </c>
      <c r="B1830" s="10" t="s">
        <v>5598</v>
      </c>
      <c r="C1830" s="11" t="s">
        <v>1816</v>
      </c>
      <c r="D1830" s="789"/>
      <c r="E1830" s="289">
        <v>2244</v>
      </c>
      <c r="F1830" s="287"/>
      <c r="G1830" s="6">
        <f t="shared" si="32"/>
        <v>2244</v>
      </c>
    </row>
    <row r="1831" spans="1:7" hidden="1" x14ac:dyDescent="0.25">
      <c r="A1831" s="116">
        <v>43855</v>
      </c>
      <c r="B1831" s="10" t="s">
        <v>2675</v>
      </c>
      <c r="C1831" s="11" t="s">
        <v>1816</v>
      </c>
      <c r="D1831" s="789"/>
      <c r="E1831" s="289">
        <v>57342</v>
      </c>
      <c r="F1831" s="287"/>
      <c r="G1831" s="6">
        <f t="shared" si="32"/>
        <v>57342</v>
      </c>
    </row>
    <row r="1832" spans="1:7" hidden="1" x14ac:dyDescent="0.25">
      <c r="A1832" s="116">
        <v>43855</v>
      </c>
      <c r="B1832" s="10" t="s">
        <v>1407</v>
      </c>
      <c r="C1832" s="11" t="s">
        <v>1816</v>
      </c>
      <c r="D1832" s="789"/>
      <c r="E1832" s="289">
        <v>96824</v>
      </c>
      <c r="F1832" s="287"/>
      <c r="G1832" s="6">
        <f t="shared" si="32"/>
        <v>96824</v>
      </c>
    </row>
    <row r="1833" spans="1:7" hidden="1" x14ac:dyDescent="0.25">
      <c r="A1833" s="116">
        <v>43855</v>
      </c>
      <c r="B1833" s="10" t="s">
        <v>2675</v>
      </c>
      <c r="C1833" s="11" t="s">
        <v>1816</v>
      </c>
      <c r="D1833" s="789"/>
      <c r="E1833" s="289">
        <v>10548</v>
      </c>
      <c r="F1833" s="287"/>
      <c r="G1833" s="6">
        <f t="shared" si="32"/>
        <v>10548</v>
      </c>
    </row>
    <row r="1834" spans="1:7" hidden="1" x14ac:dyDescent="0.25">
      <c r="A1834" s="116">
        <v>43855</v>
      </c>
      <c r="B1834" s="10" t="s">
        <v>2675</v>
      </c>
      <c r="C1834" s="11" t="s">
        <v>1816</v>
      </c>
      <c r="D1834" s="789"/>
      <c r="E1834" s="289">
        <v>106146</v>
      </c>
      <c r="F1834" s="287"/>
      <c r="G1834" s="6">
        <f t="shared" si="32"/>
        <v>106146</v>
      </c>
    </row>
    <row r="1835" spans="1:7" hidden="1" x14ac:dyDescent="0.25">
      <c r="A1835" s="116">
        <v>43855</v>
      </c>
      <c r="B1835" s="10" t="s">
        <v>1407</v>
      </c>
      <c r="C1835" s="11" t="s">
        <v>1816</v>
      </c>
      <c r="D1835" s="789"/>
      <c r="E1835" s="289">
        <v>7356</v>
      </c>
      <c r="F1835" s="287"/>
      <c r="G1835" s="6">
        <f t="shared" si="32"/>
        <v>7356</v>
      </c>
    </row>
    <row r="1836" spans="1:7" hidden="1" x14ac:dyDescent="0.25">
      <c r="A1836" s="116">
        <v>43855</v>
      </c>
      <c r="B1836" s="10" t="s">
        <v>1407</v>
      </c>
      <c r="C1836" s="11" t="s">
        <v>1816</v>
      </c>
      <c r="D1836" s="789"/>
      <c r="E1836" s="290">
        <v>3422</v>
      </c>
      <c r="F1836" s="287"/>
      <c r="G1836" s="6">
        <f t="shared" si="32"/>
        <v>3422</v>
      </c>
    </row>
    <row r="1837" spans="1:7" hidden="1" x14ac:dyDescent="0.25">
      <c r="A1837" s="116">
        <v>43857</v>
      </c>
      <c r="B1837" s="10" t="s">
        <v>5759</v>
      </c>
      <c r="C1837" s="11" t="s">
        <v>169</v>
      </c>
      <c r="E1837" s="8">
        <v>2980</v>
      </c>
      <c r="G1837" s="6">
        <f t="shared" si="32"/>
        <v>2980</v>
      </c>
    </row>
    <row r="1838" spans="1:7" hidden="1" x14ac:dyDescent="0.25">
      <c r="A1838" s="116">
        <v>43857</v>
      </c>
      <c r="B1838" s="10" t="s">
        <v>1407</v>
      </c>
      <c r="C1838" s="11" t="s">
        <v>166</v>
      </c>
      <c r="E1838" s="8">
        <v>98175</v>
      </c>
      <c r="G1838" s="6">
        <f t="shared" si="32"/>
        <v>98175</v>
      </c>
    </row>
    <row r="1839" spans="1:7" hidden="1" x14ac:dyDescent="0.25">
      <c r="A1839" s="116">
        <v>43857</v>
      </c>
      <c r="B1839" s="10" t="s">
        <v>5770</v>
      </c>
      <c r="C1839" s="11" t="s">
        <v>169</v>
      </c>
      <c r="E1839" s="8">
        <v>5831</v>
      </c>
      <c r="G1839" s="6">
        <f t="shared" si="32"/>
        <v>5831</v>
      </c>
    </row>
    <row r="1840" spans="1:7" hidden="1" x14ac:dyDescent="0.25">
      <c r="A1840" s="116">
        <v>43857</v>
      </c>
      <c r="B1840" s="10" t="s">
        <v>5759</v>
      </c>
      <c r="C1840" s="11" t="s">
        <v>169</v>
      </c>
      <c r="E1840" s="8">
        <v>1546</v>
      </c>
      <c r="G1840" s="6">
        <f t="shared" si="32"/>
        <v>1546</v>
      </c>
    </row>
    <row r="1841" spans="1:8" hidden="1" x14ac:dyDescent="0.25">
      <c r="A1841" s="116">
        <v>43869</v>
      </c>
      <c r="B1841" s="10" t="s">
        <v>2675</v>
      </c>
      <c r="C1841" s="11" t="s">
        <v>1816</v>
      </c>
      <c r="F1841" s="8">
        <v>289763</v>
      </c>
      <c r="G1841" s="6">
        <f t="shared" si="32"/>
        <v>-289763</v>
      </c>
      <c r="H1841" s="7" t="s">
        <v>4505</v>
      </c>
    </row>
    <row r="1842" spans="1:8" hidden="1" x14ac:dyDescent="0.25">
      <c r="A1842" s="116">
        <v>43869</v>
      </c>
      <c r="B1842" s="10" t="s">
        <v>5770</v>
      </c>
      <c r="C1842" s="11" t="s">
        <v>166</v>
      </c>
      <c r="E1842" s="8">
        <v>3200</v>
      </c>
      <c r="G1842" s="6">
        <f t="shared" si="32"/>
        <v>3200</v>
      </c>
    </row>
    <row r="1843" spans="1:8" hidden="1" x14ac:dyDescent="0.25">
      <c r="A1843" s="116">
        <v>43872</v>
      </c>
      <c r="B1843" s="10" t="s">
        <v>5759</v>
      </c>
      <c r="C1843" s="11" t="s">
        <v>166</v>
      </c>
      <c r="E1843" s="8">
        <f>57130/2</f>
        <v>28565</v>
      </c>
      <c r="G1843" s="6">
        <f t="shared" si="32"/>
        <v>28565</v>
      </c>
      <c r="H1843" s="7" t="s">
        <v>5809</v>
      </c>
    </row>
    <row r="1844" spans="1:8" hidden="1" x14ac:dyDescent="0.25">
      <c r="A1844" s="116">
        <v>43872</v>
      </c>
      <c r="B1844" s="10" t="s">
        <v>5770</v>
      </c>
      <c r="C1844" s="11" t="s">
        <v>166</v>
      </c>
      <c r="E1844" s="8">
        <f>57130/2</f>
        <v>28565</v>
      </c>
      <c r="G1844" s="6">
        <f t="shared" si="32"/>
        <v>28565</v>
      </c>
      <c r="H1844" s="7" t="s">
        <v>5809</v>
      </c>
    </row>
    <row r="1845" spans="1:8" hidden="1" x14ac:dyDescent="0.25">
      <c r="A1845" s="116">
        <v>43873</v>
      </c>
      <c r="B1845" s="10" t="s">
        <v>5770</v>
      </c>
      <c r="C1845" s="11" t="s">
        <v>3039</v>
      </c>
      <c r="E1845" s="8">
        <v>79080</v>
      </c>
      <c r="G1845" s="6">
        <f t="shared" si="32"/>
        <v>79080</v>
      </c>
    </row>
    <row r="1846" spans="1:8" hidden="1" x14ac:dyDescent="0.25">
      <c r="A1846" s="116">
        <v>43875</v>
      </c>
      <c r="B1846" s="10" t="s">
        <v>2957</v>
      </c>
      <c r="C1846" s="11" t="s">
        <v>5113</v>
      </c>
      <c r="F1846" s="9">
        <v>180000</v>
      </c>
      <c r="G1846" s="6">
        <f t="shared" si="32"/>
        <v>-180000</v>
      </c>
      <c r="H1846" s="127" t="s">
        <v>5818</v>
      </c>
    </row>
    <row r="1847" spans="1:8" hidden="1" x14ac:dyDescent="0.25">
      <c r="A1847" s="116">
        <v>43875</v>
      </c>
      <c r="B1847" s="10" t="s">
        <v>5759</v>
      </c>
      <c r="C1847" s="11" t="s">
        <v>166</v>
      </c>
      <c r="E1847" s="112"/>
      <c r="F1847" s="113">
        <v>28565</v>
      </c>
      <c r="G1847" s="6">
        <f t="shared" si="32"/>
        <v>-28565</v>
      </c>
      <c r="H1847" s="81"/>
    </row>
    <row r="1848" spans="1:8" hidden="1" x14ac:dyDescent="0.25">
      <c r="A1848" s="116">
        <v>43875</v>
      </c>
      <c r="B1848" s="10" t="s">
        <v>5770</v>
      </c>
      <c r="C1848" s="11" t="s">
        <v>166</v>
      </c>
      <c r="E1848" s="112"/>
      <c r="F1848" s="114">
        <v>31765</v>
      </c>
      <c r="G1848" s="6">
        <f t="shared" si="32"/>
        <v>-31765</v>
      </c>
      <c r="H1848" s="82"/>
    </row>
    <row r="1849" spans="1:8" hidden="1" x14ac:dyDescent="0.25">
      <c r="A1849" s="116">
        <v>43875</v>
      </c>
      <c r="B1849" s="10" t="s">
        <v>1407</v>
      </c>
      <c r="C1849" s="11" t="s">
        <v>166</v>
      </c>
      <c r="E1849" s="112"/>
      <c r="F1849" s="114">
        <f>105065+74980+8640+9385</f>
        <v>198070</v>
      </c>
      <c r="G1849" s="6">
        <f t="shared" si="32"/>
        <v>-198070</v>
      </c>
      <c r="H1849" s="82"/>
    </row>
    <row r="1850" spans="1:8" ht="31.5" hidden="1" x14ac:dyDescent="0.25">
      <c r="A1850" s="116">
        <v>43875</v>
      </c>
      <c r="B1850" s="10" t="s">
        <v>5759</v>
      </c>
      <c r="C1850" s="11" t="s">
        <v>166</v>
      </c>
      <c r="E1850" s="112"/>
      <c r="F1850" s="114">
        <v>20800</v>
      </c>
      <c r="G1850" s="6">
        <f t="shared" si="32"/>
        <v>-20800</v>
      </c>
      <c r="H1850" s="248" t="s">
        <v>5819</v>
      </c>
    </row>
    <row r="1851" spans="1:8" hidden="1" x14ac:dyDescent="0.25">
      <c r="A1851" s="116">
        <v>43875</v>
      </c>
      <c r="B1851" s="10" t="s">
        <v>5779</v>
      </c>
      <c r="C1851" s="11" t="s">
        <v>166</v>
      </c>
      <c r="E1851" s="112"/>
      <c r="F1851" s="115">
        <v>20800</v>
      </c>
      <c r="G1851" s="6">
        <f t="shared" si="32"/>
        <v>-20800</v>
      </c>
      <c r="H1851" s="82"/>
    </row>
    <row r="1852" spans="1:8" hidden="1" x14ac:dyDescent="0.25">
      <c r="A1852" s="116">
        <v>43878</v>
      </c>
      <c r="B1852" s="10" t="s">
        <v>5759</v>
      </c>
      <c r="C1852" s="11" t="s">
        <v>166</v>
      </c>
      <c r="E1852" s="8">
        <v>20800</v>
      </c>
      <c r="G1852" s="6">
        <f t="shared" si="32"/>
        <v>20800</v>
      </c>
    </row>
    <row r="1853" spans="1:8" hidden="1" x14ac:dyDescent="0.25">
      <c r="A1853" s="116">
        <v>43878</v>
      </c>
      <c r="B1853" s="10" t="s">
        <v>5779</v>
      </c>
      <c r="C1853" s="11" t="s">
        <v>166</v>
      </c>
      <c r="E1853" s="8">
        <v>20800</v>
      </c>
      <c r="G1853" s="6">
        <f t="shared" si="32"/>
        <v>20800</v>
      </c>
    </row>
    <row r="1854" spans="1:8" hidden="1" x14ac:dyDescent="0.25">
      <c r="A1854" s="116">
        <v>43878</v>
      </c>
      <c r="B1854" s="10" t="s">
        <v>5770</v>
      </c>
      <c r="C1854" s="11" t="s">
        <v>3039</v>
      </c>
      <c r="F1854" s="9">
        <v>80000</v>
      </c>
      <c r="G1854" s="6">
        <f t="shared" si="32"/>
        <v>-80000</v>
      </c>
      <c r="H1854" s="7" t="s">
        <v>1164</v>
      </c>
    </row>
    <row r="1855" spans="1:8" hidden="1" x14ac:dyDescent="0.25">
      <c r="A1855" s="116">
        <v>43878</v>
      </c>
      <c r="B1855" s="10" t="s">
        <v>1407</v>
      </c>
      <c r="C1855" s="11" t="s">
        <v>166</v>
      </c>
      <c r="E1855" s="8">
        <v>44000</v>
      </c>
      <c r="G1855" s="6">
        <f t="shared" si="32"/>
        <v>44000</v>
      </c>
    </row>
    <row r="1856" spans="1:8" hidden="1" x14ac:dyDescent="0.25">
      <c r="A1856" s="116">
        <v>43878</v>
      </c>
      <c r="B1856" s="10" t="s">
        <v>1407</v>
      </c>
      <c r="C1856" s="11" t="s">
        <v>166</v>
      </c>
      <c r="E1856" s="8">
        <v>88000</v>
      </c>
      <c r="G1856" s="6">
        <f t="shared" si="32"/>
        <v>88000</v>
      </c>
    </row>
    <row r="1857" spans="1:8" hidden="1" x14ac:dyDescent="0.25">
      <c r="A1857" s="116">
        <v>43878</v>
      </c>
      <c r="B1857" s="10" t="s">
        <v>1407</v>
      </c>
      <c r="C1857" s="11" t="s">
        <v>166</v>
      </c>
      <c r="E1857" s="8">
        <v>74980</v>
      </c>
      <c r="G1857" s="6">
        <f t="shared" si="32"/>
        <v>74980</v>
      </c>
    </row>
    <row r="1858" spans="1:8" hidden="1" x14ac:dyDescent="0.25">
      <c r="A1858" s="116">
        <v>43878</v>
      </c>
      <c r="B1858" s="10" t="s">
        <v>1407</v>
      </c>
      <c r="C1858" s="11" t="s">
        <v>166</v>
      </c>
      <c r="E1858" s="8">
        <v>8640</v>
      </c>
      <c r="G1858" s="6">
        <f t="shared" si="32"/>
        <v>8640</v>
      </c>
    </row>
    <row r="1859" spans="1:8" hidden="1" x14ac:dyDescent="0.25">
      <c r="A1859" s="116">
        <v>43880</v>
      </c>
      <c r="B1859" s="10" t="s">
        <v>2675</v>
      </c>
      <c r="C1859" s="11" t="s">
        <v>1816</v>
      </c>
      <c r="E1859" s="299">
        <v>7008</v>
      </c>
      <c r="G1859" s="6">
        <f t="shared" si="32"/>
        <v>7008</v>
      </c>
    </row>
    <row r="1860" spans="1:8" hidden="1" x14ac:dyDescent="0.25">
      <c r="A1860" s="116">
        <v>43880</v>
      </c>
      <c r="B1860" s="10" t="s">
        <v>5770</v>
      </c>
      <c r="C1860" s="11" t="s">
        <v>1816</v>
      </c>
      <c r="E1860" s="8">
        <v>16116</v>
      </c>
      <c r="G1860" s="6">
        <f t="shared" si="32"/>
        <v>16116</v>
      </c>
    </row>
    <row r="1861" spans="1:8" hidden="1" x14ac:dyDescent="0.25">
      <c r="A1861" s="116">
        <v>43880</v>
      </c>
      <c r="B1861" s="10" t="s">
        <v>2675</v>
      </c>
      <c r="C1861" s="11" t="s">
        <v>1816</v>
      </c>
      <c r="E1861" s="8">
        <v>18171</v>
      </c>
      <c r="G1861" s="6">
        <f t="shared" si="32"/>
        <v>18171</v>
      </c>
    </row>
    <row r="1862" spans="1:8" hidden="1" x14ac:dyDescent="0.25">
      <c r="A1862" s="116">
        <v>43880</v>
      </c>
      <c r="B1862" s="10" t="s">
        <v>2675</v>
      </c>
      <c r="C1862" s="11" t="s">
        <v>1816</v>
      </c>
      <c r="E1862" s="8">
        <v>12395</v>
      </c>
      <c r="G1862" s="6">
        <f t="shared" si="32"/>
        <v>12395</v>
      </c>
    </row>
    <row r="1863" spans="1:8" hidden="1" x14ac:dyDescent="0.25">
      <c r="A1863" s="116">
        <v>43880</v>
      </c>
      <c r="B1863" s="10" t="s">
        <v>1407</v>
      </c>
      <c r="C1863" s="11" t="s">
        <v>1816</v>
      </c>
      <c r="E1863" s="8">
        <v>1465</v>
      </c>
      <c r="G1863" s="6">
        <f t="shared" si="32"/>
        <v>1465</v>
      </c>
    </row>
    <row r="1864" spans="1:8" hidden="1" x14ac:dyDescent="0.25">
      <c r="A1864" s="116">
        <v>43880</v>
      </c>
      <c r="B1864" s="10" t="s">
        <v>2675</v>
      </c>
      <c r="C1864" s="11" t="s">
        <v>1816</v>
      </c>
      <c r="E1864" s="8">
        <v>6605</v>
      </c>
      <c r="G1864" s="6">
        <f t="shared" si="32"/>
        <v>6605</v>
      </c>
    </row>
    <row r="1865" spans="1:8" hidden="1" x14ac:dyDescent="0.25">
      <c r="A1865" s="116">
        <v>43880</v>
      </c>
      <c r="B1865" s="10" t="s">
        <v>1407</v>
      </c>
      <c r="C1865" s="11" t="s">
        <v>1816</v>
      </c>
      <c r="E1865" s="8">
        <v>26412</v>
      </c>
      <c r="G1865" s="6">
        <f t="shared" si="32"/>
        <v>26412</v>
      </c>
    </row>
    <row r="1866" spans="1:8" hidden="1" x14ac:dyDescent="0.25">
      <c r="A1866" s="116">
        <v>43880</v>
      </c>
      <c r="B1866" s="10" t="s">
        <v>5770</v>
      </c>
      <c r="C1866" s="11" t="s">
        <v>1816</v>
      </c>
      <c r="E1866" s="8">
        <v>7845</v>
      </c>
      <c r="G1866" s="6">
        <f t="shared" si="32"/>
        <v>7845</v>
      </c>
    </row>
    <row r="1867" spans="1:8" hidden="1" x14ac:dyDescent="0.25">
      <c r="A1867" s="116">
        <v>43880</v>
      </c>
      <c r="B1867" s="10" t="s">
        <v>2675</v>
      </c>
      <c r="C1867" s="11" t="s">
        <v>1816</v>
      </c>
      <c r="E1867" s="8">
        <v>15733</v>
      </c>
      <c r="G1867" s="6">
        <f t="shared" si="32"/>
        <v>15733</v>
      </c>
    </row>
    <row r="1868" spans="1:8" hidden="1" x14ac:dyDescent="0.25">
      <c r="A1868" s="116">
        <v>43880</v>
      </c>
      <c r="B1868" s="10" t="s">
        <v>5770</v>
      </c>
      <c r="C1868" s="11" t="s">
        <v>1816</v>
      </c>
      <c r="E1868" s="8">
        <v>40261</v>
      </c>
      <c r="G1868" s="6">
        <f t="shared" si="32"/>
        <v>40261</v>
      </c>
    </row>
    <row r="1869" spans="1:8" ht="16.5" hidden="1" thickBot="1" x14ac:dyDescent="0.3">
      <c r="A1869" s="116">
        <v>43880</v>
      </c>
      <c r="B1869" s="10" t="s">
        <v>1407</v>
      </c>
      <c r="C1869" s="11" t="s">
        <v>1816</v>
      </c>
      <c r="E1869" s="300">
        <v>3718</v>
      </c>
      <c r="G1869" s="6">
        <f t="shared" si="32"/>
        <v>3718</v>
      </c>
    </row>
    <row r="1870" spans="1:8" hidden="1" x14ac:dyDescent="0.25">
      <c r="A1870" s="116">
        <v>43886</v>
      </c>
      <c r="B1870" s="10" t="s">
        <v>1407</v>
      </c>
      <c r="C1870" s="11" t="s">
        <v>1828</v>
      </c>
      <c r="F1870" s="9">
        <v>300000</v>
      </c>
      <c r="G1870" s="6">
        <f t="shared" si="32"/>
        <v>-300000</v>
      </c>
      <c r="H1870" s="32" t="s">
        <v>5852</v>
      </c>
    </row>
    <row r="1871" spans="1:8" hidden="1" x14ac:dyDescent="0.25">
      <c r="A1871" s="116">
        <v>43886</v>
      </c>
      <c r="B1871" s="10" t="s">
        <v>5770</v>
      </c>
      <c r="C1871" s="11" t="s">
        <v>3039</v>
      </c>
      <c r="E1871" s="8">
        <v>920</v>
      </c>
      <c r="G1871" s="6">
        <f t="shared" si="32"/>
        <v>920</v>
      </c>
      <c r="H1871" s="7" t="s">
        <v>3951</v>
      </c>
    </row>
    <row r="1872" spans="1:8" hidden="1" x14ac:dyDescent="0.25">
      <c r="A1872" s="116">
        <v>43886</v>
      </c>
      <c r="B1872" s="10" t="s">
        <v>5759</v>
      </c>
      <c r="C1872" s="11" t="s">
        <v>3039</v>
      </c>
      <c r="E1872" s="8">
        <v>115300</v>
      </c>
      <c r="G1872" s="6">
        <f t="shared" si="32"/>
        <v>115300</v>
      </c>
    </row>
    <row r="1873" spans="1:7" hidden="1" x14ac:dyDescent="0.25">
      <c r="A1873" s="116">
        <v>43886</v>
      </c>
      <c r="B1873" s="10" t="s">
        <v>5862</v>
      </c>
      <c r="C1873" s="11" t="s">
        <v>169</v>
      </c>
      <c r="E1873" s="8">
        <v>103471</v>
      </c>
      <c r="G1873" s="6">
        <f t="shared" si="32"/>
        <v>103471</v>
      </c>
    </row>
    <row r="1874" spans="1:7" hidden="1" x14ac:dyDescent="0.25">
      <c r="A1874" s="116">
        <v>43893</v>
      </c>
      <c r="B1874" s="10" t="s">
        <v>5862</v>
      </c>
      <c r="C1874" s="11" t="s">
        <v>164</v>
      </c>
      <c r="E1874" s="8">
        <v>28689</v>
      </c>
      <c r="G1874" s="6">
        <f t="shared" si="32"/>
        <v>28689</v>
      </c>
    </row>
    <row r="1875" spans="1:7" hidden="1" x14ac:dyDescent="0.25">
      <c r="A1875" s="116">
        <v>43893</v>
      </c>
      <c r="B1875" s="10" t="s">
        <v>1407</v>
      </c>
      <c r="C1875" s="11" t="s">
        <v>1816</v>
      </c>
      <c r="E1875" s="299">
        <v>45312</v>
      </c>
      <c r="G1875" s="6">
        <f t="shared" si="32"/>
        <v>45312</v>
      </c>
    </row>
    <row r="1876" spans="1:7" hidden="1" x14ac:dyDescent="0.25">
      <c r="A1876" s="116">
        <v>43893</v>
      </c>
      <c r="B1876" s="10" t="s">
        <v>5598</v>
      </c>
      <c r="C1876" s="11" t="s">
        <v>1816</v>
      </c>
      <c r="E1876" s="8">
        <v>10590</v>
      </c>
      <c r="G1876" s="6">
        <f t="shared" si="32"/>
        <v>10590</v>
      </c>
    </row>
    <row r="1877" spans="1:7" hidden="1" x14ac:dyDescent="0.25">
      <c r="A1877" s="116">
        <v>43893</v>
      </c>
      <c r="B1877" s="10" t="s">
        <v>5598</v>
      </c>
      <c r="C1877" s="11" t="s">
        <v>1816</v>
      </c>
      <c r="E1877" s="8">
        <v>16657</v>
      </c>
      <c r="G1877" s="6">
        <f t="shared" si="32"/>
        <v>16657</v>
      </c>
    </row>
    <row r="1878" spans="1:7" hidden="1" x14ac:dyDescent="0.25">
      <c r="A1878" s="116">
        <v>43893</v>
      </c>
      <c r="B1878" s="10" t="s">
        <v>2675</v>
      </c>
      <c r="C1878" s="11" t="s">
        <v>1816</v>
      </c>
      <c r="E1878" s="8">
        <v>4316</v>
      </c>
      <c r="G1878" s="6">
        <f t="shared" si="32"/>
        <v>4316</v>
      </c>
    </row>
    <row r="1879" spans="1:7" hidden="1" x14ac:dyDescent="0.25">
      <c r="A1879" s="116">
        <v>43893</v>
      </c>
      <c r="B1879" s="10" t="s">
        <v>1407</v>
      </c>
      <c r="C1879" s="11" t="s">
        <v>1816</v>
      </c>
      <c r="E1879" s="8">
        <v>16407</v>
      </c>
      <c r="G1879" s="6">
        <f t="shared" si="32"/>
        <v>16407</v>
      </c>
    </row>
    <row r="1880" spans="1:7" hidden="1" x14ac:dyDescent="0.25">
      <c r="A1880" s="116">
        <v>43893</v>
      </c>
      <c r="B1880" s="10" t="s">
        <v>2675</v>
      </c>
      <c r="C1880" s="11" t="s">
        <v>1816</v>
      </c>
      <c r="E1880" s="8">
        <v>27472</v>
      </c>
      <c r="G1880" s="6">
        <f t="shared" si="32"/>
        <v>27472</v>
      </c>
    </row>
    <row r="1881" spans="1:7" hidden="1" x14ac:dyDescent="0.25">
      <c r="A1881" s="116">
        <v>43893</v>
      </c>
      <c r="B1881" s="10" t="s">
        <v>1407</v>
      </c>
      <c r="C1881" s="11" t="s">
        <v>1816</v>
      </c>
      <c r="E1881" s="8">
        <v>7255</v>
      </c>
      <c r="G1881" s="6">
        <f t="shared" si="32"/>
        <v>7255</v>
      </c>
    </row>
    <row r="1882" spans="1:7" hidden="1" x14ac:dyDescent="0.25">
      <c r="A1882" s="116">
        <v>43893</v>
      </c>
      <c r="B1882" s="10" t="s">
        <v>2675</v>
      </c>
      <c r="C1882" s="11" t="s">
        <v>1816</v>
      </c>
      <c r="E1882" s="8">
        <v>52622</v>
      </c>
      <c r="G1882" s="6">
        <f t="shared" si="32"/>
        <v>52622</v>
      </c>
    </row>
    <row r="1883" spans="1:7" hidden="1" x14ac:dyDescent="0.25">
      <c r="A1883" s="116">
        <v>43893</v>
      </c>
      <c r="B1883" s="10" t="s">
        <v>2675</v>
      </c>
      <c r="C1883" s="11" t="s">
        <v>1816</v>
      </c>
      <c r="E1883" s="8">
        <v>18053</v>
      </c>
      <c r="G1883" s="6">
        <f t="shared" si="32"/>
        <v>18053</v>
      </c>
    </row>
    <row r="1884" spans="1:7" hidden="1" x14ac:dyDescent="0.25">
      <c r="A1884" s="116">
        <v>43893</v>
      </c>
      <c r="B1884" s="10" t="s">
        <v>1407</v>
      </c>
      <c r="C1884" s="11" t="s">
        <v>1816</v>
      </c>
      <c r="E1884" s="8">
        <v>4147</v>
      </c>
      <c r="G1884" s="6">
        <f t="shared" si="32"/>
        <v>4147</v>
      </c>
    </row>
    <row r="1885" spans="1:7" hidden="1" x14ac:dyDescent="0.25">
      <c r="A1885" s="116">
        <v>43893</v>
      </c>
      <c r="B1885" s="10" t="s">
        <v>2675</v>
      </c>
      <c r="C1885" s="11" t="s">
        <v>1816</v>
      </c>
      <c r="E1885" s="8">
        <v>137612</v>
      </c>
      <c r="G1885" s="6">
        <f t="shared" si="32"/>
        <v>137612</v>
      </c>
    </row>
    <row r="1886" spans="1:7" hidden="1" x14ac:dyDescent="0.25">
      <c r="A1886" s="116">
        <v>43893</v>
      </c>
      <c r="B1886" s="10" t="s">
        <v>1407</v>
      </c>
      <c r="C1886" s="11" t="s">
        <v>1816</v>
      </c>
      <c r="E1886" s="8">
        <v>6912</v>
      </c>
      <c r="G1886" s="6">
        <f t="shared" si="32"/>
        <v>6912</v>
      </c>
    </row>
    <row r="1887" spans="1:7" hidden="1" x14ac:dyDescent="0.25">
      <c r="A1887" s="116">
        <v>43893</v>
      </c>
      <c r="B1887" s="10" t="s">
        <v>1407</v>
      </c>
      <c r="C1887" s="11" t="s">
        <v>1816</v>
      </c>
      <c r="E1887" s="8">
        <v>13712</v>
      </c>
      <c r="G1887" s="6">
        <f t="shared" si="32"/>
        <v>13712</v>
      </c>
    </row>
    <row r="1888" spans="1:7" hidden="1" x14ac:dyDescent="0.25">
      <c r="A1888" s="116">
        <v>43893</v>
      </c>
      <c r="B1888" s="10" t="s">
        <v>5598</v>
      </c>
      <c r="C1888" s="11" t="s">
        <v>1816</v>
      </c>
      <c r="E1888" s="8">
        <v>1150</v>
      </c>
      <c r="G1888" s="6">
        <f t="shared" si="32"/>
        <v>1150</v>
      </c>
    </row>
    <row r="1889" spans="1:8" ht="16.5" hidden="1" thickBot="1" x14ac:dyDescent="0.3">
      <c r="A1889" s="116">
        <v>43893</v>
      </c>
      <c r="B1889" s="10" t="s">
        <v>2675</v>
      </c>
      <c r="C1889" s="11" t="s">
        <v>1816</v>
      </c>
      <c r="E1889" s="300">
        <v>67832</v>
      </c>
      <c r="G1889" s="6">
        <f t="shared" si="32"/>
        <v>67832</v>
      </c>
    </row>
    <row r="1890" spans="1:8" hidden="1" x14ac:dyDescent="0.25">
      <c r="A1890" s="116">
        <v>43893</v>
      </c>
      <c r="B1890" s="10" t="s">
        <v>1407</v>
      </c>
      <c r="C1890" s="11" t="s">
        <v>166</v>
      </c>
      <c r="E1890" s="8">
        <v>49600</v>
      </c>
      <c r="G1890" s="6">
        <f t="shared" si="32"/>
        <v>49600</v>
      </c>
    </row>
    <row r="1891" spans="1:8" hidden="1" x14ac:dyDescent="0.25">
      <c r="A1891" s="116">
        <v>43895</v>
      </c>
      <c r="B1891" s="10" t="s">
        <v>3765</v>
      </c>
      <c r="C1891" s="11" t="s">
        <v>2281</v>
      </c>
      <c r="F1891" s="9">
        <v>136700</v>
      </c>
      <c r="G1891" s="6">
        <f t="shared" si="32"/>
        <v>-136700</v>
      </c>
      <c r="H1891" s="7" t="s">
        <v>5881</v>
      </c>
    </row>
    <row r="1892" spans="1:8" hidden="1" x14ac:dyDescent="0.25">
      <c r="A1892" s="116">
        <v>43895</v>
      </c>
      <c r="B1892" s="10" t="s">
        <v>2957</v>
      </c>
      <c r="C1892" s="11" t="s">
        <v>2281</v>
      </c>
      <c r="F1892" s="9">
        <v>1459790</v>
      </c>
      <c r="G1892" s="6">
        <f t="shared" ref="G1892:G1966" si="33">E1892-F1892</f>
        <v>-1459790</v>
      </c>
      <c r="H1892" s="7" t="s">
        <v>5881</v>
      </c>
    </row>
    <row r="1893" spans="1:8" hidden="1" x14ac:dyDescent="0.25">
      <c r="A1893" s="116">
        <v>43895</v>
      </c>
      <c r="B1893" s="10" t="s">
        <v>1407</v>
      </c>
      <c r="C1893" s="11" t="s">
        <v>2281</v>
      </c>
      <c r="F1893" s="9">
        <v>325480</v>
      </c>
      <c r="G1893" s="6">
        <f t="shared" si="33"/>
        <v>-325480</v>
      </c>
      <c r="H1893" s="7" t="s">
        <v>5881</v>
      </c>
    </row>
    <row r="1894" spans="1:8" hidden="1" x14ac:dyDescent="0.25">
      <c r="A1894" s="116">
        <v>43895</v>
      </c>
      <c r="B1894" s="10" t="s">
        <v>2675</v>
      </c>
      <c r="C1894" s="11" t="s">
        <v>2281</v>
      </c>
      <c r="F1894" s="9">
        <v>1272081</v>
      </c>
      <c r="G1894" s="6">
        <f t="shared" si="33"/>
        <v>-1272081</v>
      </c>
      <c r="H1894" s="7" t="s">
        <v>5881</v>
      </c>
    </row>
    <row r="1895" spans="1:8" hidden="1" x14ac:dyDescent="0.25">
      <c r="A1895" s="116">
        <v>43895</v>
      </c>
      <c r="B1895" s="10" t="s">
        <v>2957</v>
      </c>
      <c r="C1895" s="11" t="s">
        <v>137</v>
      </c>
      <c r="F1895" s="9">
        <v>202500</v>
      </c>
      <c r="G1895" s="6">
        <f t="shared" si="33"/>
        <v>-202500</v>
      </c>
      <c r="H1895" s="7" t="s">
        <v>5881</v>
      </c>
    </row>
    <row r="1896" spans="1:8" hidden="1" x14ac:dyDescent="0.25">
      <c r="A1896" s="116">
        <v>43895</v>
      </c>
      <c r="B1896" s="10" t="s">
        <v>2957</v>
      </c>
      <c r="C1896" s="11" t="s">
        <v>3738</v>
      </c>
      <c r="F1896" s="9">
        <v>158400</v>
      </c>
      <c r="G1896" s="6">
        <f t="shared" si="33"/>
        <v>-158400</v>
      </c>
      <c r="H1896" s="7" t="s">
        <v>5881</v>
      </c>
    </row>
    <row r="1897" spans="1:8" hidden="1" x14ac:dyDescent="0.25">
      <c r="A1897" s="116">
        <v>43895</v>
      </c>
      <c r="B1897" s="10" t="s">
        <v>2957</v>
      </c>
      <c r="C1897" s="11" t="s">
        <v>4445</v>
      </c>
      <c r="G1897" s="6">
        <f t="shared" si="33"/>
        <v>0</v>
      </c>
      <c r="H1897" s="7" t="s">
        <v>5881</v>
      </c>
    </row>
    <row r="1898" spans="1:8" hidden="1" x14ac:dyDescent="0.25">
      <c r="A1898" s="116">
        <v>43902</v>
      </c>
      <c r="B1898" s="10" t="s">
        <v>1407</v>
      </c>
      <c r="C1898" s="11" t="s">
        <v>4853</v>
      </c>
      <c r="E1898" s="8">
        <v>6750</v>
      </c>
      <c r="G1898" s="6">
        <f t="shared" si="33"/>
        <v>6750</v>
      </c>
    </row>
    <row r="1899" spans="1:8" hidden="1" x14ac:dyDescent="0.25">
      <c r="A1899" s="116">
        <v>43902</v>
      </c>
      <c r="B1899" s="10" t="s">
        <v>1407</v>
      </c>
      <c r="C1899" s="11" t="s">
        <v>4853</v>
      </c>
      <c r="E1899" s="8">
        <v>4400</v>
      </c>
      <c r="G1899" s="6">
        <f t="shared" si="33"/>
        <v>4400</v>
      </c>
    </row>
    <row r="1900" spans="1:8" hidden="1" x14ac:dyDescent="0.25">
      <c r="A1900" s="116">
        <v>43902</v>
      </c>
      <c r="B1900" s="10" t="s">
        <v>1407</v>
      </c>
      <c r="C1900" s="11" t="s">
        <v>4853</v>
      </c>
      <c r="E1900" s="8">
        <v>60390</v>
      </c>
      <c r="G1900" s="6">
        <f t="shared" si="33"/>
        <v>60390</v>
      </c>
    </row>
    <row r="1901" spans="1:8" hidden="1" x14ac:dyDescent="0.25">
      <c r="A1901" s="116">
        <v>43902</v>
      </c>
      <c r="B1901" s="10" t="s">
        <v>5759</v>
      </c>
      <c r="C1901" s="11" t="s">
        <v>4853</v>
      </c>
      <c r="E1901" s="8">
        <v>13922</v>
      </c>
      <c r="G1901" s="6">
        <f t="shared" si="33"/>
        <v>13922</v>
      </c>
    </row>
    <row r="1902" spans="1:8" hidden="1"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hidden="1" x14ac:dyDescent="0.25">
      <c r="A1904" s="116">
        <v>43904</v>
      </c>
      <c r="B1904" s="10" t="s">
        <v>1407</v>
      </c>
      <c r="C1904" s="11" t="s">
        <v>166</v>
      </c>
      <c r="D1904" s="789"/>
      <c r="E1904" s="288">
        <v>102000</v>
      </c>
      <c r="F1904" s="287"/>
      <c r="G1904" s="6">
        <f t="shared" si="33"/>
        <v>102000</v>
      </c>
    </row>
    <row r="1905" spans="1:8" hidden="1" x14ac:dyDescent="0.25">
      <c r="A1905" s="116">
        <v>43904</v>
      </c>
      <c r="B1905" s="10" t="s">
        <v>1407</v>
      </c>
      <c r="C1905" s="11" t="s">
        <v>166</v>
      </c>
      <c r="D1905" s="789"/>
      <c r="E1905" s="290">
        <v>31200</v>
      </c>
      <c r="F1905" s="287"/>
      <c r="G1905" s="6">
        <f t="shared" si="33"/>
        <v>31200</v>
      </c>
    </row>
    <row r="1906" spans="1:8" hidden="1" x14ac:dyDescent="0.25">
      <c r="A1906" s="116">
        <v>43907</v>
      </c>
      <c r="B1906" s="10" t="s">
        <v>2957</v>
      </c>
      <c r="C1906" s="11" t="s">
        <v>180</v>
      </c>
      <c r="F1906" s="9">
        <v>71000</v>
      </c>
      <c r="G1906" s="6">
        <f t="shared" si="33"/>
        <v>-71000</v>
      </c>
      <c r="H1906" s="7" t="s">
        <v>1164</v>
      </c>
    </row>
    <row r="1907" spans="1:8" hidden="1" x14ac:dyDescent="0.25">
      <c r="A1907" s="116">
        <v>43941</v>
      </c>
      <c r="B1907" s="10" t="s">
        <v>5770</v>
      </c>
      <c r="C1907" s="11" t="s">
        <v>3039</v>
      </c>
      <c r="E1907" s="8">
        <v>32240</v>
      </c>
      <c r="G1907" s="6">
        <f t="shared" si="33"/>
        <v>32240</v>
      </c>
    </row>
    <row r="1908" spans="1:8" hidden="1" x14ac:dyDescent="0.25">
      <c r="A1908" s="116">
        <v>43941</v>
      </c>
      <c r="B1908" s="10" t="s">
        <v>5759</v>
      </c>
      <c r="C1908" s="11" t="s">
        <v>3039</v>
      </c>
      <c r="E1908" s="8">
        <v>5640</v>
      </c>
      <c r="G1908" s="6">
        <f t="shared" si="33"/>
        <v>5640</v>
      </c>
    </row>
    <row r="1909" spans="1:8" hidden="1" x14ac:dyDescent="0.25">
      <c r="A1909" s="116">
        <v>43941</v>
      </c>
      <c r="B1909" s="10" t="s">
        <v>5759</v>
      </c>
      <c r="C1909" s="11" t="s">
        <v>3039</v>
      </c>
      <c r="F1909" s="9">
        <v>50000</v>
      </c>
      <c r="G1909" s="6">
        <f t="shared" si="33"/>
        <v>-50000</v>
      </c>
      <c r="H1909" s="7" t="s">
        <v>1164</v>
      </c>
    </row>
    <row r="1910" spans="1:8" hidden="1" x14ac:dyDescent="0.25">
      <c r="A1910" s="116">
        <v>43948</v>
      </c>
      <c r="B1910" s="10" t="s">
        <v>1407</v>
      </c>
      <c r="C1910" s="11" t="s">
        <v>4853</v>
      </c>
      <c r="E1910" s="8">
        <v>103542</v>
      </c>
      <c r="G1910" s="6">
        <f t="shared" si="33"/>
        <v>103542</v>
      </c>
    </row>
    <row r="1911" spans="1:8" hidden="1" x14ac:dyDescent="0.25">
      <c r="A1911" s="116">
        <v>43948</v>
      </c>
      <c r="B1911" s="10" t="s">
        <v>5862</v>
      </c>
      <c r="C1911" s="11" t="s">
        <v>169</v>
      </c>
      <c r="E1911" s="8">
        <v>16081</v>
      </c>
      <c r="G1911" s="6">
        <f t="shared" si="33"/>
        <v>16081</v>
      </c>
    </row>
    <row r="1912" spans="1:8" hidden="1" x14ac:dyDescent="0.25">
      <c r="A1912" s="116">
        <v>43949</v>
      </c>
      <c r="B1912" s="10" t="s">
        <v>2957</v>
      </c>
      <c r="C1912" s="11" t="s">
        <v>1816</v>
      </c>
      <c r="E1912" s="112"/>
      <c r="F1912" s="113">
        <v>22119</v>
      </c>
      <c r="G1912" s="6">
        <f t="shared" si="33"/>
        <v>-22119</v>
      </c>
      <c r="H1912" s="526"/>
    </row>
    <row r="1913" spans="1:8" hidden="1" x14ac:dyDescent="0.25">
      <c r="A1913" s="116">
        <v>43949</v>
      </c>
      <c r="B1913" s="10" t="s">
        <v>5367</v>
      </c>
      <c r="C1913" s="11" t="s">
        <v>1816</v>
      </c>
      <c r="E1913" s="112"/>
      <c r="F1913" s="114">
        <v>52679</v>
      </c>
      <c r="G1913" s="6">
        <f t="shared" si="33"/>
        <v>-52679</v>
      </c>
      <c r="H1913" s="527"/>
    </row>
    <row r="1914" spans="1:8" hidden="1" x14ac:dyDescent="0.25">
      <c r="A1914" s="116">
        <v>43949</v>
      </c>
      <c r="B1914" s="10" t="s">
        <v>5770</v>
      </c>
      <c r="C1914" s="11" t="s">
        <v>1816</v>
      </c>
      <c r="E1914" s="112"/>
      <c r="F1914" s="114">
        <v>64222</v>
      </c>
      <c r="G1914" s="6">
        <f t="shared" si="33"/>
        <v>-64222</v>
      </c>
      <c r="H1914" s="527" t="s">
        <v>6161</v>
      </c>
    </row>
    <row r="1915" spans="1:8" hidden="1" x14ac:dyDescent="0.25">
      <c r="A1915" s="116">
        <v>43949</v>
      </c>
      <c r="B1915" s="10" t="s">
        <v>18</v>
      </c>
      <c r="C1915" s="11" t="s">
        <v>1816</v>
      </c>
      <c r="E1915" s="112"/>
      <c r="F1915" s="114">
        <v>10000</v>
      </c>
      <c r="G1915" s="6">
        <f t="shared" si="33"/>
        <v>-10000</v>
      </c>
      <c r="H1915" s="527"/>
    </row>
    <row r="1916" spans="1:8" hidden="1" x14ac:dyDescent="0.25">
      <c r="A1916" s="116">
        <v>43949</v>
      </c>
      <c r="B1916" s="10" t="s">
        <v>2675</v>
      </c>
      <c r="C1916" s="11" t="s">
        <v>1816</v>
      </c>
      <c r="E1916" s="112"/>
      <c r="F1916" s="115">
        <v>150980</v>
      </c>
      <c r="G1916" s="6">
        <f t="shared" si="33"/>
        <v>-150980</v>
      </c>
      <c r="H1916" s="528"/>
    </row>
    <row r="1917" spans="1:8" hidden="1" x14ac:dyDescent="0.25">
      <c r="A1917" s="116">
        <v>43949</v>
      </c>
      <c r="B1917" s="10" t="s">
        <v>5598</v>
      </c>
      <c r="C1917" s="11" t="s">
        <v>1816</v>
      </c>
      <c r="E1917" s="112"/>
      <c r="F1917" s="113">
        <v>187438</v>
      </c>
      <c r="G1917" s="6">
        <f t="shared" si="33"/>
        <v>-187438</v>
      </c>
      <c r="H1917" s="527"/>
    </row>
    <row r="1918" spans="1:8" hidden="1" x14ac:dyDescent="0.25">
      <c r="A1918" s="116">
        <v>43949</v>
      </c>
      <c r="B1918" s="10" t="s">
        <v>2672</v>
      </c>
      <c r="C1918" s="11" t="s">
        <v>1816</v>
      </c>
      <c r="E1918" s="112"/>
      <c r="F1918" s="114">
        <v>8402</v>
      </c>
      <c r="G1918" s="6">
        <f t="shared" si="33"/>
        <v>-8402</v>
      </c>
      <c r="H1918" s="527" t="s">
        <v>6159</v>
      </c>
    </row>
    <row r="1919" spans="1:8" hidden="1" x14ac:dyDescent="0.25">
      <c r="A1919" s="116">
        <v>43949</v>
      </c>
      <c r="B1919" s="10" t="s">
        <v>1407</v>
      </c>
      <c r="C1919" s="11" t="s">
        <v>1816</v>
      </c>
      <c r="E1919" s="112"/>
      <c r="F1919" s="115">
        <v>4160</v>
      </c>
      <c r="G1919" s="6">
        <f t="shared" si="33"/>
        <v>-4160</v>
      </c>
      <c r="H1919" s="528"/>
    </row>
    <row r="1920" spans="1:8" hidden="1" x14ac:dyDescent="0.25">
      <c r="A1920" s="116">
        <v>43902</v>
      </c>
      <c r="B1920" s="10" t="s">
        <v>1407</v>
      </c>
      <c r="C1920" s="11" t="s">
        <v>166</v>
      </c>
      <c r="E1920" s="8">
        <v>21000</v>
      </c>
      <c r="G1920" s="6">
        <f t="shared" si="33"/>
        <v>21000</v>
      </c>
      <c r="H1920" s="444"/>
    </row>
    <row r="1921" spans="1:8" hidden="1" x14ac:dyDescent="0.25">
      <c r="A1921" s="116">
        <v>43942</v>
      </c>
      <c r="B1921" s="10" t="s">
        <v>1407</v>
      </c>
      <c r="C1921" s="11" t="s">
        <v>166</v>
      </c>
      <c r="E1921" s="8">
        <v>104200</v>
      </c>
      <c r="G1921" s="6">
        <f>E1921-F1921</f>
        <v>104200</v>
      </c>
    </row>
    <row r="1922" spans="1:8" hidden="1" x14ac:dyDescent="0.25">
      <c r="A1922" s="116">
        <v>43955</v>
      </c>
      <c r="B1922" s="10" t="s">
        <v>1407</v>
      </c>
      <c r="C1922" s="11" t="s">
        <v>166</v>
      </c>
      <c r="E1922" s="8">
        <v>58700</v>
      </c>
      <c r="G1922" s="6">
        <f>E1922-F1922</f>
        <v>58700</v>
      </c>
    </row>
    <row r="1923" spans="1:8" hidden="1" x14ac:dyDescent="0.25">
      <c r="A1923" s="116">
        <v>43957</v>
      </c>
      <c r="B1923" s="10" t="s">
        <v>1407</v>
      </c>
      <c r="C1923" s="11" t="s">
        <v>166</v>
      </c>
      <c r="E1923" s="8">
        <v>61600</v>
      </c>
      <c r="G1923" s="6">
        <f>E1923-F1923</f>
        <v>61600</v>
      </c>
    </row>
    <row r="1924" spans="1:8" hidden="1" x14ac:dyDescent="0.25">
      <c r="A1924" s="116">
        <v>43958</v>
      </c>
      <c r="B1924" s="10" t="s">
        <v>5862</v>
      </c>
      <c r="C1924" s="11" t="s">
        <v>166</v>
      </c>
      <c r="E1924" s="8">
        <v>19350</v>
      </c>
      <c r="G1924" s="6">
        <f t="shared" si="33"/>
        <v>19350</v>
      </c>
    </row>
    <row r="1925" spans="1:8" hidden="1" x14ac:dyDescent="0.25">
      <c r="A1925" s="116">
        <v>43958</v>
      </c>
      <c r="B1925" s="10" t="s">
        <v>5862</v>
      </c>
      <c r="C1925" s="11" t="s">
        <v>169</v>
      </c>
      <c r="E1925" s="8">
        <v>4500</v>
      </c>
      <c r="G1925" s="6">
        <f t="shared" si="33"/>
        <v>4500</v>
      </c>
    </row>
    <row r="1926" spans="1:8" hidden="1" x14ac:dyDescent="0.25">
      <c r="A1926" s="116">
        <v>43958</v>
      </c>
      <c r="B1926" s="10" t="s">
        <v>1407</v>
      </c>
      <c r="C1926" s="11" t="s">
        <v>1828</v>
      </c>
      <c r="E1926" s="8">
        <v>91193</v>
      </c>
      <c r="G1926" s="6">
        <f t="shared" si="33"/>
        <v>91193</v>
      </c>
    </row>
    <row r="1927" spans="1:8" hidden="1" x14ac:dyDescent="0.25">
      <c r="A1927" s="116">
        <v>43970</v>
      </c>
      <c r="B1927" s="10" t="s">
        <v>5862</v>
      </c>
      <c r="C1927" s="11" t="s">
        <v>169</v>
      </c>
      <c r="F1927" s="9">
        <v>100000</v>
      </c>
      <c r="G1927" s="6">
        <f t="shared" si="33"/>
        <v>-100000</v>
      </c>
      <c r="H1927" s="451"/>
    </row>
    <row r="1928" spans="1:8" hidden="1" x14ac:dyDescent="0.25">
      <c r="A1928" s="116">
        <v>43958</v>
      </c>
      <c r="B1928" s="10" t="s">
        <v>5598</v>
      </c>
      <c r="C1928" s="11" t="s">
        <v>169</v>
      </c>
      <c r="F1928" s="9">
        <v>5950</v>
      </c>
      <c r="G1928" s="6">
        <f t="shared" si="33"/>
        <v>-5950</v>
      </c>
      <c r="H1928" s="452" t="s">
        <v>5970</v>
      </c>
    </row>
    <row r="1929" spans="1:8" ht="16.5" hidden="1" thickBot="1" x14ac:dyDescent="0.3">
      <c r="A1929" s="116">
        <v>43958</v>
      </c>
      <c r="B1929" s="10" t="s">
        <v>5274</v>
      </c>
      <c r="C1929" s="11" t="s">
        <v>169</v>
      </c>
      <c r="F1929" s="9">
        <v>44050</v>
      </c>
      <c r="G1929" s="6">
        <f t="shared" si="33"/>
        <v>-44050</v>
      </c>
      <c r="H1929" s="453"/>
    </row>
    <row r="1930" spans="1:8" ht="110.25" hidden="1" x14ac:dyDescent="0.25">
      <c r="A1930" s="116">
        <v>43958</v>
      </c>
      <c r="B1930" s="10" t="s">
        <v>1407</v>
      </c>
      <c r="C1930" s="11" t="s">
        <v>1816</v>
      </c>
      <c r="F1930" s="9">
        <v>485000</v>
      </c>
      <c r="G1930" s="6">
        <f t="shared" si="33"/>
        <v>-485000</v>
      </c>
      <c r="H1930" s="493" t="s">
        <v>6057</v>
      </c>
    </row>
    <row r="1931" spans="1:8" hidden="1" x14ac:dyDescent="0.25">
      <c r="A1931" s="116">
        <v>43958</v>
      </c>
      <c r="B1931" s="10" t="s">
        <v>1407</v>
      </c>
      <c r="C1931" s="11" t="s">
        <v>166</v>
      </c>
      <c r="F1931" s="9">
        <v>100000</v>
      </c>
      <c r="G1931" s="6">
        <f t="shared" si="33"/>
        <v>-100000</v>
      </c>
      <c r="H1931" s="452" t="s">
        <v>5970</v>
      </c>
    </row>
    <row r="1932" spans="1:8" hidden="1" x14ac:dyDescent="0.25">
      <c r="A1932" s="116">
        <v>43958</v>
      </c>
      <c r="B1932" s="10" t="s">
        <v>1407</v>
      </c>
      <c r="C1932" s="11" t="s">
        <v>4853</v>
      </c>
      <c r="F1932" s="9">
        <v>100000</v>
      </c>
      <c r="G1932" s="6">
        <f t="shared" si="33"/>
        <v>-100000</v>
      </c>
      <c r="H1932" s="7" t="s">
        <v>1164</v>
      </c>
    </row>
    <row r="1933" spans="1:8" hidden="1" x14ac:dyDescent="0.25">
      <c r="A1933" s="116">
        <v>43970</v>
      </c>
      <c r="B1933" s="10" t="s">
        <v>1407</v>
      </c>
      <c r="C1933" s="11" t="s">
        <v>166</v>
      </c>
      <c r="E1933" s="8">
        <v>55000</v>
      </c>
      <c r="G1933" s="6">
        <f t="shared" si="33"/>
        <v>55000</v>
      </c>
    </row>
    <row r="1934" spans="1:8" hidden="1" x14ac:dyDescent="0.25">
      <c r="A1934" s="116">
        <v>43970</v>
      </c>
      <c r="B1934" s="10" t="s">
        <v>1407</v>
      </c>
      <c r="C1934" s="11" t="s">
        <v>166</v>
      </c>
      <c r="E1934" s="8">
        <v>1100</v>
      </c>
      <c r="G1934" s="6">
        <f t="shared" si="33"/>
        <v>1100</v>
      </c>
    </row>
    <row r="1935" spans="1:8" hidden="1" x14ac:dyDescent="0.25">
      <c r="A1935" s="116">
        <v>43970</v>
      </c>
      <c r="B1935" s="10" t="s">
        <v>1407</v>
      </c>
      <c r="C1935" s="11" t="s">
        <v>166</v>
      </c>
      <c r="F1935" s="9">
        <v>12500</v>
      </c>
      <c r="G1935" s="6">
        <f t="shared" si="33"/>
        <v>-12500</v>
      </c>
      <c r="H1935" s="7" t="s">
        <v>4505</v>
      </c>
    </row>
    <row r="1936" spans="1:8" hidden="1" x14ac:dyDescent="0.25">
      <c r="A1936" s="116">
        <v>43970</v>
      </c>
      <c r="B1936" s="10" t="s">
        <v>1407</v>
      </c>
      <c r="C1936" s="11" t="s">
        <v>3039</v>
      </c>
      <c r="E1936" s="8">
        <v>14000</v>
      </c>
      <c r="G1936" s="6">
        <f t="shared" si="33"/>
        <v>14000</v>
      </c>
    </row>
    <row r="1937" spans="1:8" hidden="1" x14ac:dyDescent="0.25">
      <c r="A1937" s="116">
        <v>43970</v>
      </c>
      <c r="B1937" s="10" t="s">
        <v>5770</v>
      </c>
      <c r="C1937" s="11" t="s">
        <v>3039</v>
      </c>
      <c r="E1937" s="8">
        <v>13200</v>
      </c>
      <c r="G1937" s="6">
        <f t="shared" si="33"/>
        <v>13200</v>
      </c>
    </row>
    <row r="1938" spans="1:8" hidden="1" x14ac:dyDescent="0.25">
      <c r="A1938" s="116">
        <v>43985</v>
      </c>
      <c r="B1938" s="10" t="s">
        <v>1407</v>
      </c>
      <c r="C1938" s="11" t="s">
        <v>166</v>
      </c>
      <c r="E1938" s="8">
        <v>85200</v>
      </c>
      <c r="G1938" s="6">
        <f t="shared" si="33"/>
        <v>85200</v>
      </c>
    </row>
    <row r="1939" spans="1:8" hidden="1" x14ac:dyDescent="0.25">
      <c r="A1939" s="116">
        <v>43985</v>
      </c>
      <c r="B1939" s="10" t="s">
        <v>5770</v>
      </c>
      <c r="C1939" s="11" t="s">
        <v>5731</v>
      </c>
      <c r="E1939" s="8">
        <v>44500</v>
      </c>
      <c r="G1939" s="6">
        <f t="shared" si="33"/>
        <v>44500</v>
      </c>
    </row>
    <row r="1940" spans="1:8" hidden="1" x14ac:dyDescent="0.25">
      <c r="A1940" s="116">
        <v>43985</v>
      </c>
      <c r="B1940" s="10" t="s">
        <v>1407</v>
      </c>
      <c r="C1940" s="11" t="s">
        <v>5731</v>
      </c>
      <c r="E1940" s="8">
        <v>144000</v>
      </c>
      <c r="G1940" s="6">
        <f t="shared" si="33"/>
        <v>144000</v>
      </c>
    </row>
    <row r="1941" spans="1:8" hidden="1" x14ac:dyDescent="0.25">
      <c r="A1941" s="116">
        <v>43985</v>
      </c>
      <c r="B1941" s="10" t="s">
        <v>2675</v>
      </c>
      <c r="C1941" s="11" t="s">
        <v>5731</v>
      </c>
      <c r="E1941" s="8">
        <v>45000</v>
      </c>
      <c r="G1941" s="6">
        <f t="shared" si="33"/>
        <v>45000</v>
      </c>
    </row>
    <row r="1942" spans="1:8" hidden="1" x14ac:dyDescent="0.25">
      <c r="A1942" s="116">
        <v>43994</v>
      </c>
      <c r="B1942" s="10" t="s">
        <v>1407</v>
      </c>
      <c r="C1942" s="11" t="s">
        <v>5731</v>
      </c>
      <c r="F1942" s="9">
        <v>100000</v>
      </c>
      <c r="G1942" s="6">
        <f t="shared" si="33"/>
        <v>-100000</v>
      </c>
      <c r="H1942" s="7" t="s">
        <v>1164</v>
      </c>
    </row>
    <row r="1943" spans="1:8" hidden="1" x14ac:dyDescent="0.25">
      <c r="A1943" s="116">
        <v>43994</v>
      </c>
      <c r="B1943" s="10" t="s">
        <v>5862</v>
      </c>
      <c r="C1943" s="11" t="s">
        <v>166</v>
      </c>
      <c r="E1943" s="8">
        <v>28500</v>
      </c>
      <c r="G1943" s="6">
        <f t="shared" si="33"/>
        <v>28500</v>
      </c>
    </row>
    <row r="1944" spans="1:8" hidden="1" x14ac:dyDescent="0.25">
      <c r="A1944" s="116">
        <v>43998</v>
      </c>
      <c r="B1944" s="10" t="s">
        <v>1407</v>
      </c>
      <c r="C1944" s="11" t="s">
        <v>164</v>
      </c>
      <c r="F1944" s="9">
        <v>1000</v>
      </c>
      <c r="G1944" s="6">
        <f t="shared" si="33"/>
        <v>-1000</v>
      </c>
      <c r="H1944" s="7" t="s">
        <v>6011</v>
      </c>
    </row>
    <row r="1945" spans="1:8" hidden="1" x14ac:dyDescent="0.25">
      <c r="A1945" s="116">
        <v>44000</v>
      </c>
      <c r="B1945" s="10" t="s">
        <v>1407</v>
      </c>
      <c r="C1945" s="11" t="s">
        <v>166</v>
      </c>
      <c r="F1945" s="9">
        <v>400000</v>
      </c>
      <c r="G1945" s="6">
        <f t="shared" si="33"/>
        <v>-400000</v>
      </c>
      <c r="H1945" s="83" t="s">
        <v>6016</v>
      </c>
    </row>
    <row r="1946" spans="1:8" hidden="1" x14ac:dyDescent="0.25">
      <c r="A1946" s="116">
        <v>44000</v>
      </c>
      <c r="B1946" s="10" t="s">
        <v>1407</v>
      </c>
      <c r="C1946" s="11" t="s">
        <v>1828</v>
      </c>
      <c r="F1946" s="9">
        <v>300000</v>
      </c>
      <c r="G1946" s="6">
        <f t="shared" si="33"/>
        <v>-300000</v>
      </c>
      <c r="H1946" s="32" t="s">
        <v>6016</v>
      </c>
    </row>
    <row r="1947" spans="1:8" hidden="1" x14ac:dyDescent="0.25">
      <c r="A1947" s="116">
        <v>43988</v>
      </c>
      <c r="B1947" s="10" t="s">
        <v>5862</v>
      </c>
      <c r="C1947" s="11" t="s">
        <v>169</v>
      </c>
      <c r="E1947" s="8">
        <v>8500</v>
      </c>
      <c r="G1947" s="6">
        <f t="shared" si="33"/>
        <v>8500</v>
      </c>
      <c r="H1947" s="127"/>
    </row>
    <row r="1948" spans="1:8" hidden="1" x14ac:dyDescent="0.25">
      <c r="A1948" s="116">
        <v>44000</v>
      </c>
      <c r="B1948" s="10" t="s">
        <v>2675</v>
      </c>
      <c r="C1948" s="11" t="s">
        <v>169</v>
      </c>
      <c r="E1948" s="8">
        <v>14270</v>
      </c>
      <c r="G1948" s="6">
        <f t="shared" si="33"/>
        <v>14270</v>
      </c>
    </row>
    <row r="1949" spans="1:8" hidden="1" x14ac:dyDescent="0.25">
      <c r="A1949" s="116">
        <v>44000</v>
      </c>
      <c r="B1949" s="10" t="s">
        <v>5759</v>
      </c>
      <c r="C1949" s="11" t="s">
        <v>161</v>
      </c>
      <c r="E1949" s="8">
        <v>14629</v>
      </c>
      <c r="G1949" s="6">
        <f t="shared" si="33"/>
        <v>14629</v>
      </c>
    </row>
    <row r="1950" spans="1:8" hidden="1" x14ac:dyDescent="0.25">
      <c r="A1950" s="116">
        <v>44000</v>
      </c>
      <c r="B1950" s="10" t="s">
        <v>2957</v>
      </c>
      <c r="C1950" s="11" t="s">
        <v>161</v>
      </c>
      <c r="E1950" s="8">
        <v>60480</v>
      </c>
      <c r="G1950" s="6">
        <f t="shared" si="33"/>
        <v>60480</v>
      </c>
    </row>
    <row r="1951" spans="1:8" hidden="1" x14ac:dyDescent="0.25">
      <c r="A1951" s="116">
        <v>44000</v>
      </c>
      <c r="B1951" s="10" t="s">
        <v>2957</v>
      </c>
      <c r="C1951" s="11" t="s">
        <v>161</v>
      </c>
      <c r="E1951" s="8">
        <v>13964</v>
      </c>
      <c r="G1951" s="6">
        <f t="shared" si="33"/>
        <v>13964</v>
      </c>
    </row>
    <row r="1952" spans="1:8" hidden="1" x14ac:dyDescent="0.25">
      <c r="A1952" s="116">
        <v>44008</v>
      </c>
      <c r="B1952" s="10" t="s">
        <v>2675</v>
      </c>
      <c r="C1952" s="11" t="s">
        <v>5731</v>
      </c>
      <c r="E1952" s="8">
        <v>77700</v>
      </c>
      <c r="G1952" s="6">
        <f t="shared" si="33"/>
        <v>77700</v>
      </c>
    </row>
    <row r="1953" spans="1:8" hidden="1" x14ac:dyDescent="0.25">
      <c r="A1953" s="116">
        <v>44012</v>
      </c>
      <c r="B1953" s="10" t="s">
        <v>1407</v>
      </c>
      <c r="C1953" s="11" t="s">
        <v>166</v>
      </c>
      <c r="E1953" s="8">
        <v>70400</v>
      </c>
      <c r="G1953" s="6">
        <f t="shared" si="33"/>
        <v>70400</v>
      </c>
    </row>
    <row r="1954" spans="1:8" hidden="1" x14ac:dyDescent="0.25">
      <c r="A1954" s="116">
        <v>43996</v>
      </c>
      <c r="B1954" s="10" t="s">
        <v>1407</v>
      </c>
      <c r="C1954" s="11" t="s">
        <v>5731</v>
      </c>
      <c r="E1954" s="8">
        <v>148600</v>
      </c>
      <c r="G1954" s="6">
        <f t="shared" si="33"/>
        <v>148600</v>
      </c>
    </row>
    <row r="1955" spans="1:8" hidden="1" x14ac:dyDescent="0.25">
      <c r="A1955" s="116">
        <v>44027</v>
      </c>
      <c r="B1955" s="10" t="s">
        <v>5770</v>
      </c>
      <c r="C1955" s="11" t="s">
        <v>3039</v>
      </c>
      <c r="F1955" s="9">
        <v>45440</v>
      </c>
      <c r="G1955" s="6">
        <f t="shared" si="33"/>
        <v>-45440</v>
      </c>
      <c r="H1955" s="84" t="s">
        <v>6104</v>
      </c>
    </row>
    <row r="1956" spans="1:8" ht="16.5" hidden="1" thickBot="1" x14ac:dyDescent="0.3">
      <c r="A1956" s="116">
        <v>44027</v>
      </c>
      <c r="B1956" s="10" t="s">
        <v>5759</v>
      </c>
      <c r="C1956" s="11" t="s">
        <v>3039</v>
      </c>
      <c r="F1956" s="9">
        <v>54560</v>
      </c>
      <c r="G1956" s="6">
        <f t="shared" si="33"/>
        <v>-54560</v>
      </c>
      <c r="H1956" s="86"/>
    </row>
    <row r="1957" spans="1:8" ht="16.5" hidden="1" thickBot="1" x14ac:dyDescent="0.3">
      <c r="A1957" s="116">
        <v>44027</v>
      </c>
      <c r="B1957" s="10" t="s">
        <v>2675</v>
      </c>
      <c r="C1957" s="11" t="s">
        <v>5731</v>
      </c>
      <c r="F1957" s="9">
        <v>77000</v>
      </c>
      <c r="G1957" s="6">
        <f t="shared" si="33"/>
        <v>-77000</v>
      </c>
      <c r="H1957" s="90" t="s">
        <v>6102</v>
      </c>
    </row>
    <row r="1958" spans="1:8" ht="16.5" hidden="1" thickBot="1" x14ac:dyDescent="0.3">
      <c r="A1958" s="116">
        <v>44027</v>
      </c>
      <c r="B1958" s="10" t="s">
        <v>1407</v>
      </c>
      <c r="C1958" s="11" t="s">
        <v>5731</v>
      </c>
      <c r="F1958" s="9">
        <v>148600</v>
      </c>
      <c r="G1958" s="6">
        <f t="shared" si="33"/>
        <v>-148600</v>
      </c>
      <c r="H1958" s="90" t="s">
        <v>6101</v>
      </c>
    </row>
    <row r="1959" spans="1:8" hidden="1" x14ac:dyDescent="0.25">
      <c r="A1959" s="116">
        <v>44028</v>
      </c>
      <c r="B1959" s="10" t="s">
        <v>1407</v>
      </c>
      <c r="C1959" s="11" t="s">
        <v>164</v>
      </c>
      <c r="E1959" s="8">
        <v>5208</v>
      </c>
      <c r="G1959" s="6">
        <f t="shared" si="33"/>
        <v>5208</v>
      </c>
    </row>
    <row r="1960" spans="1:8" hidden="1" x14ac:dyDescent="0.25">
      <c r="A1960" s="116">
        <v>44028</v>
      </c>
      <c r="B1960" s="10" t="s">
        <v>1407</v>
      </c>
      <c r="C1960" s="11" t="s">
        <v>164</v>
      </c>
      <c r="E1960" s="8">
        <v>3418</v>
      </c>
      <c r="G1960" s="6">
        <f t="shared" si="33"/>
        <v>3418</v>
      </c>
    </row>
    <row r="1961" spans="1:8" hidden="1" x14ac:dyDescent="0.25">
      <c r="A1961" s="116">
        <v>44028</v>
      </c>
      <c r="B1961" s="10" t="s">
        <v>1407</v>
      </c>
      <c r="C1961" s="11" t="s">
        <v>169</v>
      </c>
      <c r="E1961" s="8">
        <v>8500</v>
      </c>
      <c r="G1961" s="6">
        <f t="shared" si="33"/>
        <v>8500</v>
      </c>
    </row>
    <row r="1962" spans="1:8" hidden="1" x14ac:dyDescent="0.25">
      <c r="A1962" s="116">
        <v>44041</v>
      </c>
      <c r="B1962" s="10" t="s">
        <v>1407</v>
      </c>
      <c r="C1962" s="11" t="s">
        <v>166</v>
      </c>
      <c r="F1962" s="9">
        <v>200000</v>
      </c>
      <c r="G1962" s="6">
        <f t="shared" si="33"/>
        <v>-200000</v>
      </c>
      <c r="H1962" s="32" t="s">
        <v>6137</v>
      </c>
    </row>
    <row r="1963" spans="1:8" hidden="1" x14ac:dyDescent="0.25">
      <c r="A1963" s="116">
        <v>44041</v>
      </c>
      <c r="B1963" s="10" t="s">
        <v>2957</v>
      </c>
      <c r="C1963" s="11" t="s">
        <v>161</v>
      </c>
      <c r="E1963" s="112"/>
      <c r="F1963" s="113">
        <v>74001</v>
      </c>
      <c r="G1963" s="6">
        <f t="shared" si="33"/>
        <v>-74001</v>
      </c>
      <c r="H1963" s="81"/>
    </row>
    <row r="1964" spans="1:8" hidden="1" x14ac:dyDescent="0.25">
      <c r="A1964" s="116">
        <v>44041</v>
      </c>
      <c r="B1964" s="10" t="s">
        <v>5759</v>
      </c>
      <c r="C1964" s="11" t="s">
        <v>161</v>
      </c>
      <c r="E1964" s="112"/>
      <c r="F1964" s="114">
        <v>14629</v>
      </c>
      <c r="G1964" s="6">
        <f t="shared" si="33"/>
        <v>-14629</v>
      </c>
      <c r="H1964" s="82" t="s">
        <v>6137</v>
      </c>
    </row>
    <row r="1965" spans="1:8" hidden="1" x14ac:dyDescent="0.25">
      <c r="A1965" s="116">
        <v>44041</v>
      </c>
      <c r="B1965" s="10" t="s">
        <v>40</v>
      </c>
      <c r="C1965" s="11" t="s">
        <v>161</v>
      </c>
      <c r="E1965" s="112"/>
      <c r="F1965" s="115">
        <v>443</v>
      </c>
      <c r="G1965" s="6">
        <f t="shared" si="33"/>
        <v>-443</v>
      </c>
      <c r="H1965" s="83"/>
    </row>
    <row r="1966" spans="1:8" hidden="1" x14ac:dyDescent="0.25">
      <c r="A1966" s="116">
        <v>44047</v>
      </c>
      <c r="B1966" s="10" t="s">
        <v>1407</v>
      </c>
      <c r="C1966" s="11" t="s">
        <v>1816</v>
      </c>
      <c r="E1966" s="8">
        <v>31234</v>
      </c>
      <c r="G1966" s="6">
        <f t="shared" si="33"/>
        <v>31234</v>
      </c>
    </row>
    <row r="1967" spans="1:8" hidden="1" x14ac:dyDescent="0.25">
      <c r="A1967" s="116">
        <v>44047</v>
      </c>
      <c r="B1967" s="10" t="s">
        <v>1407</v>
      </c>
      <c r="C1967" s="11" t="s">
        <v>1816</v>
      </c>
      <c r="E1967" s="8">
        <v>101485</v>
      </c>
      <c r="G1967" s="6">
        <f t="shared" ref="G1967:G2203" si="34">E1967-F1967</f>
        <v>101485</v>
      </c>
    </row>
    <row r="1968" spans="1:8" hidden="1" x14ac:dyDescent="0.25">
      <c r="A1968" s="116">
        <v>44047</v>
      </c>
      <c r="B1968" s="10" t="s">
        <v>1407</v>
      </c>
      <c r="C1968" s="11" t="s">
        <v>1816</v>
      </c>
      <c r="E1968" s="8">
        <v>13024</v>
      </c>
      <c r="G1968" s="6">
        <f t="shared" si="34"/>
        <v>13024</v>
      </c>
    </row>
    <row r="1969" spans="1:8" hidden="1" x14ac:dyDescent="0.25">
      <c r="A1969" s="116">
        <v>44047</v>
      </c>
      <c r="B1969" s="10" t="s">
        <v>1407</v>
      </c>
      <c r="C1969" s="11" t="s">
        <v>1816</v>
      </c>
      <c r="E1969" s="8">
        <v>53697</v>
      </c>
      <c r="G1969" s="6">
        <f t="shared" si="34"/>
        <v>53697</v>
      </c>
    </row>
    <row r="1970" spans="1:8" hidden="1" x14ac:dyDescent="0.25">
      <c r="A1970" s="116">
        <v>44047</v>
      </c>
      <c r="B1970" s="10" t="s">
        <v>1407</v>
      </c>
      <c r="C1970" s="11" t="s">
        <v>1816</v>
      </c>
      <c r="E1970" s="8">
        <v>20192</v>
      </c>
      <c r="G1970" s="6">
        <f t="shared" si="34"/>
        <v>20192</v>
      </c>
    </row>
    <row r="1971" spans="1:8" hidden="1" x14ac:dyDescent="0.25">
      <c r="A1971" s="116">
        <v>44047</v>
      </c>
      <c r="B1971" s="10" t="s">
        <v>1407</v>
      </c>
      <c r="C1971" s="11" t="s">
        <v>1816</v>
      </c>
      <c r="E1971" s="8">
        <v>30732</v>
      </c>
      <c r="G1971" s="6">
        <f t="shared" si="34"/>
        <v>30732</v>
      </c>
    </row>
    <row r="1972" spans="1:8" hidden="1" x14ac:dyDescent="0.25">
      <c r="A1972" s="116">
        <v>44047</v>
      </c>
      <c r="B1972" s="10" t="s">
        <v>1407</v>
      </c>
      <c r="C1972" s="11" t="s">
        <v>1816</v>
      </c>
      <c r="E1972" s="8">
        <v>18233</v>
      </c>
      <c r="G1972" s="6">
        <f t="shared" si="34"/>
        <v>18233</v>
      </c>
    </row>
    <row r="1973" spans="1:8" hidden="1" x14ac:dyDescent="0.25">
      <c r="A1973" s="116">
        <v>44047</v>
      </c>
      <c r="B1973" s="10" t="s">
        <v>1407</v>
      </c>
      <c r="C1973" s="11" t="s">
        <v>1816</v>
      </c>
      <c r="E1973" s="8">
        <v>5414</v>
      </c>
      <c r="G1973" s="6">
        <f t="shared" si="34"/>
        <v>5414</v>
      </c>
    </row>
    <row r="1974" spans="1:8" hidden="1" x14ac:dyDescent="0.25">
      <c r="A1974" s="116">
        <v>44047</v>
      </c>
      <c r="B1974" s="10" t="s">
        <v>1407</v>
      </c>
      <c r="C1974" s="11" t="s">
        <v>1816</v>
      </c>
      <c r="E1974" s="8">
        <v>69763</v>
      </c>
      <c r="G1974" s="6">
        <f t="shared" si="34"/>
        <v>69763</v>
      </c>
    </row>
    <row r="1975" spans="1:8" hidden="1" x14ac:dyDescent="0.25">
      <c r="A1975" s="116">
        <v>44047</v>
      </c>
      <c r="B1975" s="10" t="s">
        <v>1407</v>
      </c>
      <c r="C1975" s="11" t="s">
        <v>1816</v>
      </c>
      <c r="E1975" s="8">
        <v>7107</v>
      </c>
      <c r="G1975" s="6">
        <f t="shared" si="34"/>
        <v>7107</v>
      </c>
    </row>
    <row r="1976" spans="1:8" hidden="1" x14ac:dyDescent="0.25">
      <c r="A1976" s="116">
        <v>44047</v>
      </c>
      <c r="B1976" s="10" t="s">
        <v>1407</v>
      </c>
      <c r="C1976" s="11" t="s">
        <v>1816</v>
      </c>
      <c r="F1976" s="9">
        <v>15205</v>
      </c>
      <c r="G1976" s="6">
        <f t="shared" si="34"/>
        <v>-15205</v>
      </c>
      <c r="H1976" s="7" t="s">
        <v>2337</v>
      </c>
    </row>
    <row r="1977" spans="1:8" hidden="1" x14ac:dyDescent="0.25">
      <c r="A1977" s="116">
        <v>44047</v>
      </c>
      <c r="B1977" s="10" t="s">
        <v>2675</v>
      </c>
      <c r="C1977" s="11" t="s">
        <v>1816</v>
      </c>
      <c r="E1977" s="8">
        <v>33160</v>
      </c>
      <c r="G1977" s="6">
        <f t="shared" si="34"/>
        <v>33160</v>
      </c>
    </row>
    <row r="1978" spans="1:8" hidden="1" x14ac:dyDescent="0.25">
      <c r="A1978" s="116">
        <v>44047</v>
      </c>
      <c r="B1978" s="10" t="s">
        <v>2675</v>
      </c>
      <c r="C1978" s="11" t="s">
        <v>1816</v>
      </c>
      <c r="E1978" s="8">
        <v>3431</v>
      </c>
      <c r="G1978" s="6">
        <f t="shared" si="34"/>
        <v>3431</v>
      </c>
    </row>
    <row r="1979" spans="1:8" hidden="1" x14ac:dyDescent="0.25">
      <c r="A1979" s="116">
        <v>44047</v>
      </c>
      <c r="B1979" s="10" t="s">
        <v>2675</v>
      </c>
      <c r="C1979" s="11" t="s">
        <v>1816</v>
      </c>
      <c r="E1979" s="8">
        <v>15621</v>
      </c>
      <c r="G1979" s="6">
        <f t="shared" si="34"/>
        <v>15621</v>
      </c>
    </row>
    <row r="1980" spans="1:8" hidden="1" x14ac:dyDescent="0.25">
      <c r="A1980" s="116">
        <v>44047</v>
      </c>
      <c r="B1980" s="10" t="s">
        <v>2675</v>
      </c>
      <c r="C1980" s="11" t="s">
        <v>1816</v>
      </c>
      <c r="E1980" s="8">
        <v>6790</v>
      </c>
      <c r="G1980" s="6">
        <f t="shared" si="34"/>
        <v>6790</v>
      </c>
    </row>
    <row r="1981" spans="1:8" hidden="1" x14ac:dyDescent="0.25">
      <c r="A1981" s="116">
        <v>44047</v>
      </c>
      <c r="B1981" s="10" t="s">
        <v>2675</v>
      </c>
      <c r="C1981" s="11" t="s">
        <v>1816</v>
      </c>
      <c r="E1981" s="8">
        <v>3380</v>
      </c>
      <c r="G1981" s="6">
        <f t="shared" si="34"/>
        <v>3380</v>
      </c>
    </row>
    <row r="1982" spans="1:8" hidden="1" x14ac:dyDescent="0.25">
      <c r="A1982" s="116">
        <v>44047</v>
      </c>
      <c r="B1982" s="10" t="s">
        <v>2675</v>
      </c>
      <c r="C1982" s="11" t="s">
        <v>1816</v>
      </c>
      <c r="E1982" s="8">
        <v>490</v>
      </c>
      <c r="G1982" s="6">
        <f t="shared" si="34"/>
        <v>490</v>
      </c>
    </row>
    <row r="1983" spans="1:8" hidden="1" x14ac:dyDescent="0.25">
      <c r="A1983" s="116">
        <v>44047</v>
      </c>
      <c r="B1983" s="10" t="s">
        <v>2675</v>
      </c>
      <c r="C1983" s="11" t="s">
        <v>1816</v>
      </c>
      <c r="E1983" s="8">
        <v>1418</v>
      </c>
      <c r="G1983" s="6">
        <f t="shared" si="34"/>
        <v>1418</v>
      </c>
    </row>
    <row r="1984" spans="1:8" hidden="1" x14ac:dyDescent="0.25">
      <c r="A1984" s="116">
        <v>44047</v>
      </c>
      <c r="B1984" s="10" t="s">
        <v>2675</v>
      </c>
      <c r="C1984" s="11" t="s">
        <v>1816</v>
      </c>
      <c r="E1984" s="8">
        <v>19641</v>
      </c>
      <c r="G1984" s="6">
        <f t="shared" si="34"/>
        <v>19641</v>
      </c>
    </row>
    <row r="1985" spans="1:8" hidden="1" x14ac:dyDescent="0.25">
      <c r="A1985" s="116">
        <v>44047</v>
      </c>
      <c r="B1985" s="10" t="s">
        <v>2675</v>
      </c>
      <c r="C1985" s="11" t="s">
        <v>1816</v>
      </c>
      <c r="E1985" s="8">
        <v>14297</v>
      </c>
      <c r="G1985" s="6">
        <f t="shared" si="34"/>
        <v>14297</v>
      </c>
    </row>
    <row r="1986" spans="1:8" hidden="1" x14ac:dyDescent="0.25">
      <c r="A1986" s="116">
        <v>44047</v>
      </c>
      <c r="B1986" s="10" t="s">
        <v>2675</v>
      </c>
      <c r="C1986" s="11" t="s">
        <v>1816</v>
      </c>
      <c r="E1986" s="8">
        <v>24978</v>
      </c>
      <c r="G1986" s="6">
        <f t="shared" si="34"/>
        <v>24978</v>
      </c>
    </row>
    <row r="1987" spans="1:8" hidden="1" x14ac:dyDescent="0.25">
      <c r="A1987" s="116">
        <v>44047</v>
      </c>
      <c r="B1987" s="10" t="s">
        <v>2675</v>
      </c>
      <c r="C1987" s="11" t="s">
        <v>1816</v>
      </c>
      <c r="E1987" s="8">
        <v>4540</v>
      </c>
      <c r="G1987" s="6">
        <f t="shared" si="34"/>
        <v>4540</v>
      </c>
    </row>
    <row r="1988" spans="1:8" hidden="1" x14ac:dyDescent="0.25">
      <c r="A1988" s="116">
        <v>44047</v>
      </c>
      <c r="B1988" s="10" t="s">
        <v>2675</v>
      </c>
      <c r="C1988" s="11" t="s">
        <v>1816</v>
      </c>
      <c r="E1988" s="8">
        <v>14211</v>
      </c>
      <c r="G1988" s="6">
        <f t="shared" si="34"/>
        <v>14211</v>
      </c>
    </row>
    <row r="1989" spans="1:8" hidden="1" x14ac:dyDescent="0.25">
      <c r="A1989" s="116">
        <v>44047</v>
      </c>
      <c r="B1989" s="10" t="s">
        <v>5598</v>
      </c>
      <c r="C1989" s="11" t="s">
        <v>1816</v>
      </c>
      <c r="E1989" s="8">
        <v>2620</v>
      </c>
      <c r="G1989" s="6">
        <f t="shared" si="34"/>
        <v>2620</v>
      </c>
    </row>
    <row r="1990" spans="1:8" hidden="1" x14ac:dyDescent="0.25">
      <c r="A1990" s="116">
        <v>44047</v>
      </c>
      <c r="B1990" s="10" t="s">
        <v>5598</v>
      </c>
      <c r="C1990" s="11" t="s">
        <v>1816</v>
      </c>
      <c r="E1990" s="8">
        <v>3890</v>
      </c>
      <c r="G1990" s="6">
        <f t="shared" si="34"/>
        <v>3890</v>
      </c>
    </row>
    <row r="1991" spans="1:8" hidden="1" x14ac:dyDescent="0.25">
      <c r="A1991" s="116">
        <v>44047</v>
      </c>
      <c r="B1991" s="10" t="s">
        <v>5598</v>
      </c>
      <c r="C1991" s="11" t="s">
        <v>1816</v>
      </c>
      <c r="E1991" s="8">
        <v>2500</v>
      </c>
      <c r="G1991" s="6">
        <f t="shared" si="34"/>
        <v>2500</v>
      </c>
    </row>
    <row r="1992" spans="1:8" hidden="1" x14ac:dyDescent="0.25">
      <c r="A1992" s="116">
        <v>44047</v>
      </c>
      <c r="B1992" s="10" t="s">
        <v>18</v>
      </c>
      <c r="C1992" s="11" t="s">
        <v>1816</v>
      </c>
      <c r="E1992" s="8">
        <v>57195</v>
      </c>
      <c r="G1992" s="6">
        <f t="shared" si="34"/>
        <v>57195</v>
      </c>
    </row>
    <row r="1993" spans="1:8" hidden="1" x14ac:dyDescent="0.25">
      <c r="A1993" s="116">
        <v>44047</v>
      </c>
      <c r="B1993" s="10" t="s">
        <v>18</v>
      </c>
      <c r="C1993" s="11" t="s">
        <v>1816</v>
      </c>
      <c r="E1993" s="8">
        <v>1717</v>
      </c>
      <c r="G1993" s="6">
        <f t="shared" si="34"/>
        <v>1717</v>
      </c>
    </row>
    <row r="1994" spans="1:8" hidden="1" x14ac:dyDescent="0.25">
      <c r="A1994" s="116">
        <v>44047</v>
      </c>
      <c r="B1994" s="10" t="s">
        <v>18</v>
      </c>
      <c r="C1994" s="11" t="s">
        <v>1816</v>
      </c>
      <c r="E1994" s="8">
        <v>1215</v>
      </c>
      <c r="G1994" s="6">
        <f t="shared" si="34"/>
        <v>1215</v>
      </c>
    </row>
    <row r="1995" spans="1:8" hidden="1" x14ac:dyDescent="0.25">
      <c r="A1995" s="116">
        <v>44047</v>
      </c>
      <c r="B1995" s="10" t="s">
        <v>18</v>
      </c>
      <c r="C1995" s="11" t="s">
        <v>1816</v>
      </c>
      <c r="E1995" s="8">
        <v>710</v>
      </c>
      <c r="G1995" s="6">
        <f t="shared" si="34"/>
        <v>710</v>
      </c>
    </row>
    <row r="1996" spans="1:8" hidden="1" x14ac:dyDescent="0.25">
      <c r="A1996" s="116">
        <v>44047</v>
      </c>
      <c r="B1996" s="10" t="s">
        <v>18</v>
      </c>
      <c r="C1996" s="11" t="s">
        <v>1816</v>
      </c>
      <c r="E1996" s="8">
        <v>650</v>
      </c>
      <c r="G1996" s="6">
        <f t="shared" si="34"/>
        <v>650</v>
      </c>
    </row>
    <row r="1997" spans="1:8" hidden="1" x14ac:dyDescent="0.25">
      <c r="A1997" s="116">
        <v>44047</v>
      </c>
      <c r="B1997" s="10" t="s">
        <v>18</v>
      </c>
      <c r="C1997" s="11" t="s">
        <v>1816</v>
      </c>
      <c r="E1997" s="8">
        <v>1340</v>
      </c>
      <c r="G1997" s="6">
        <f t="shared" si="34"/>
        <v>1340</v>
      </c>
    </row>
    <row r="1998" spans="1:8" hidden="1" x14ac:dyDescent="0.25">
      <c r="A1998" s="116">
        <v>44047</v>
      </c>
      <c r="B1998" s="10" t="s">
        <v>2675</v>
      </c>
      <c r="C1998" s="11" t="s">
        <v>1816</v>
      </c>
      <c r="E1998" s="8">
        <v>5455</v>
      </c>
      <c r="G1998" s="6">
        <f t="shared" si="34"/>
        <v>5455</v>
      </c>
      <c r="H1998" s="7" t="s">
        <v>6141</v>
      </c>
    </row>
    <row r="1999" spans="1:8" hidden="1" x14ac:dyDescent="0.25">
      <c r="A1999" s="116">
        <v>44047</v>
      </c>
      <c r="B1999" s="10" t="s">
        <v>2675</v>
      </c>
      <c r="C1999" s="11" t="s">
        <v>1816</v>
      </c>
      <c r="E1999" s="8">
        <v>4056</v>
      </c>
      <c r="G1999" s="6">
        <f t="shared" si="34"/>
        <v>4056</v>
      </c>
      <c r="H1999" s="7" t="s">
        <v>6141</v>
      </c>
    </row>
    <row r="2000" spans="1:8" hidden="1" x14ac:dyDescent="0.25">
      <c r="A2000" s="116">
        <v>44047</v>
      </c>
      <c r="B2000" s="10" t="s">
        <v>2675</v>
      </c>
      <c r="C2000" s="11" t="s">
        <v>1816</v>
      </c>
      <c r="E2000" s="8">
        <v>23421</v>
      </c>
      <c r="G2000" s="6">
        <f t="shared" si="34"/>
        <v>23421</v>
      </c>
      <c r="H2000" s="7" t="s">
        <v>6141</v>
      </c>
    </row>
    <row r="2001" spans="1:8" hidden="1" x14ac:dyDescent="0.25">
      <c r="A2001" s="116">
        <v>44047</v>
      </c>
      <c r="B2001" s="10" t="s">
        <v>2675</v>
      </c>
      <c r="C2001" s="11" t="s">
        <v>1816</v>
      </c>
      <c r="E2001" s="8">
        <v>1887</v>
      </c>
      <c r="G2001" s="6">
        <f t="shared" si="34"/>
        <v>1887</v>
      </c>
      <c r="H2001" s="7" t="s">
        <v>6141</v>
      </c>
    </row>
    <row r="2002" spans="1:8" hidden="1" x14ac:dyDescent="0.25">
      <c r="A2002" s="116">
        <v>44047</v>
      </c>
      <c r="B2002" s="10" t="s">
        <v>2675</v>
      </c>
      <c r="C2002" s="11" t="s">
        <v>1816</v>
      </c>
      <c r="E2002" s="8">
        <v>10816</v>
      </c>
      <c r="G2002" s="6">
        <f t="shared" si="34"/>
        <v>10816</v>
      </c>
      <c r="H2002" s="7" t="s">
        <v>6141</v>
      </c>
    </row>
    <row r="2003" spans="1:8" hidden="1" x14ac:dyDescent="0.25">
      <c r="A2003" s="116">
        <v>44047</v>
      </c>
      <c r="B2003" s="10" t="s">
        <v>2675</v>
      </c>
      <c r="C2003" s="11" t="s">
        <v>1816</v>
      </c>
      <c r="E2003" s="8">
        <v>1025</v>
      </c>
      <c r="G2003" s="6">
        <f t="shared" si="34"/>
        <v>1025</v>
      </c>
      <c r="H2003" s="7" t="s">
        <v>6142</v>
      </c>
    </row>
    <row r="2004" spans="1:8" hidden="1" x14ac:dyDescent="0.25">
      <c r="A2004" s="116">
        <v>44047</v>
      </c>
      <c r="B2004" s="10" t="s">
        <v>2675</v>
      </c>
      <c r="C2004" s="11" t="s">
        <v>1816</v>
      </c>
      <c r="E2004" s="8">
        <v>1200</v>
      </c>
      <c r="G2004" s="6">
        <f t="shared" si="34"/>
        <v>1200</v>
      </c>
      <c r="H2004" s="7" t="s">
        <v>6142</v>
      </c>
    </row>
    <row r="2005" spans="1:8" hidden="1" x14ac:dyDescent="0.25">
      <c r="A2005" s="116">
        <v>44047</v>
      </c>
      <c r="B2005" s="10" t="s">
        <v>2675</v>
      </c>
      <c r="C2005" s="11" t="s">
        <v>1816</v>
      </c>
      <c r="E2005" s="8">
        <v>5960</v>
      </c>
      <c r="G2005" s="6">
        <f t="shared" si="34"/>
        <v>5960</v>
      </c>
      <c r="H2005" s="7" t="s">
        <v>6142</v>
      </c>
    </row>
    <row r="2006" spans="1:8" hidden="1" x14ac:dyDescent="0.25">
      <c r="A2006" s="116">
        <v>44047</v>
      </c>
      <c r="B2006" s="10" t="s">
        <v>2675</v>
      </c>
      <c r="C2006" s="11" t="s">
        <v>1816</v>
      </c>
      <c r="E2006" s="8">
        <v>8921</v>
      </c>
      <c r="G2006" s="6">
        <f t="shared" si="34"/>
        <v>8921</v>
      </c>
      <c r="H2006" s="7" t="s">
        <v>6142</v>
      </c>
    </row>
    <row r="2007" spans="1:8" hidden="1" x14ac:dyDescent="0.25">
      <c r="A2007" s="116">
        <v>44047</v>
      </c>
      <c r="B2007" s="10" t="s">
        <v>2675</v>
      </c>
      <c r="C2007" s="11" t="s">
        <v>1816</v>
      </c>
      <c r="E2007" s="8">
        <v>3148</v>
      </c>
      <c r="G2007" s="6">
        <f t="shared" si="34"/>
        <v>3148</v>
      </c>
      <c r="H2007" s="7" t="s">
        <v>6142</v>
      </c>
    </row>
    <row r="2008" spans="1:8" hidden="1" x14ac:dyDescent="0.25">
      <c r="A2008" s="116">
        <v>44047</v>
      </c>
      <c r="B2008" s="10" t="s">
        <v>2675</v>
      </c>
      <c r="C2008" s="11" t="s">
        <v>1816</v>
      </c>
      <c r="E2008" s="8">
        <v>36277</v>
      </c>
      <c r="G2008" s="6">
        <f t="shared" si="34"/>
        <v>36277</v>
      </c>
      <c r="H2008" s="7" t="s">
        <v>6142</v>
      </c>
    </row>
    <row r="2009" spans="1:8" hidden="1" x14ac:dyDescent="0.25">
      <c r="A2009" s="116">
        <v>44047</v>
      </c>
      <c r="B2009" s="10" t="s">
        <v>2675</v>
      </c>
      <c r="C2009" s="11" t="s">
        <v>1816</v>
      </c>
      <c r="E2009" s="8">
        <v>247</v>
      </c>
      <c r="G2009" s="6">
        <f t="shared" si="34"/>
        <v>247</v>
      </c>
      <c r="H2009" s="7" t="s">
        <v>6142</v>
      </c>
    </row>
    <row r="2010" spans="1:8" hidden="1" x14ac:dyDescent="0.25">
      <c r="A2010" s="116">
        <v>44051</v>
      </c>
      <c r="B2010" s="10" t="s">
        <v>2957</v>
      </c>
      <c r="C2010" s="11" t="s">
        <v>4853</v>
      </c>
      <c r="F2010" s="9">
        <v>6604</v>
      </c>
      <c r="G2010" s="6">
        <f t="shared" si="34"/>
        <v>-6604</v>
      </c>
      <c r="H2010" s="81"/>
    </row>
    <row r="2011" spans="1:8" hidden="1" x14ac:dyDescent="0.25">
      <c r="A2011" s="116">
        <v>44051</v>
      </c>
      <c r="B2011" s="10" t="s">
        <v>5759</v>
      </c>
      <c r="C2011" s="11" t="s">
        <v>4853</v>
      </c>
      <c r="F2011" s="9">
        <v>13922</v>
      </c>
      <c r="G2011" s="6">
        <f t="shared" si="34"/>
        <v>-13922</v>
      </c>
      <c r="H2011" s="82" t="s">
        <v>6150</v>
      </c>
    </row>
    <row r="2012" spans="1:8" hidden="1" x14ac:dyDescent="0.25">
      <c r="A2012" s="116">
        <v>44051</v>
      </c>
      <c r="B2012" s="10" t="s">
        <v>1407</v>
      </c>
      <c r="C2012" s="11" t="s">
        <v>4853</v>
      </c>
      <c r="F2012" s="9">
        <v>4474</v>
      </c>
      <c r="G2012" s="6">
        <f t="shared" si="34"/>
        <v>-4474</v>
      </c>
      <c r="H2012" s="83"/>
    </row>
    <row r="2013" spans="1:8" hidden="1" x14ac:dyDescent="0.25">
      <c r="A2013" s="116">
        <v>44055</v>
      </c>
      <c r="B2013" s="10" t="s">
        <v>2675</v>
      </c>
      <c r="C2013" s="11" t="s">
        <v>166</v>
      </c>
      <c r="E2013" s="8">
        <v>13200</v>
      </c>
      <c r="G2013" s="6">
        <f t="shared" si="34"/>
        <v>13200</v>
      </c>
    </row>
    <row r="2014" spans="1:8" hidden="1" x14ac:dyDescent="0.25">
      <c r="A2014" s="116">
        <v>44055</v>
      </c>
      <c r="B2014" s="10" t="s">
        <v>5862</v>
      </c>
      <c r="C2014" s="11" t="s">
        <v>166</v>
      </c>
      <c r="E2014" s="8">
        <v>8660</v>
      </c>
      <c r="G2014" s="6">
        <f t="shared" si="34"/>
        <v>8660</v>
      </c>
    </row>
    <row r="2015" spans="1:8" hidden="1" x14ac:dyDescent="0.25">
      <c r="A2015" s="116">
        <v>44055</v>
      </c>
      <c r="B2015" s="10" t="s">
        <v>1407</v>
      </c>
      <c r="C2015" s="11" t="s">
        <v>166</v>
      </c>
      <c r="E2015" s="8">
        <v>77000</v>
      </c>
      <c r="G2015" s="6">
        <f t="shared" si="34"/>
        <v>77000</v>
      </c>
    </row>
    <row r="2016" spans="1:8" hidden="1" x14ac:dyDescent="0.25">
      <c r="A2016" s="116">
        <v>44055</v>
      </c>
      <c r="B2016" s="10" t="s">
        <v>2675</v>
      </c>
      <c r="C2016" s="11" t="s">
        <v>169</v>
      </c>
      <c r="E2016" s="8">
        <v>6885</v>
      </c>
      <c r="G2016" s="6">
        <f t="shared" si="34"/>
        <v>6885</v>
      </c>
    </row>
    <row r="2017" spans="1:8" hidden="1" x14ac:dyDescent="0.25">
      <c r="A2017" s="116">
        <v>44058</v>
      </c>
      <c r="B2017" s="529" t="s">
        <v>1407</v>
      </c>
      <c r="C2017" s="54" t="s">
        <v>166</v>
      </c>
      <c r="D2017" s="790"/>
      <c r="E2017" s="530"/>
      <c r="F2017" s="531">
        <v>127115</v>
      </c>
      <c r="G2017" s="532">
        <f t="shared" si="34"/>
        <v>-127115</v>
      </c>
      <c r="H2017" s="533"/>
    </row>
    <row r="2018" spans="1:8" hidden="1" x14ac:dyDescent="0.25">
      <c r="A2018" s="116">
        <v>44058</v>
      </c>
      <c r="B2018" s="529" t="s">
        <v>2675</v>
      </c>
      <c r="C2018" s="11" t="s">
        <v>166</v>
      </c>
      <c r="E2018" s="112"/>
      <c r="F2018" s="114">
        <v>13200</v>
      </c>
      <c r="G2018" s="6">
        <f t="shared" si="34"/>
        <v>-13200</v>
      </c>
      <c r="H2018" s="534" t="s">
        <v>6158</v>
      </c>
    </row>
    <row r="2019" spans="1:8" hidden="1" x14ac:dyDescent="0.25">
      <c r="A2019" s="116">
        <v>44058</v>
      </c>
      <c r="B2019" s="529" t="s">
        <v>5862</v>
      </c>
      <c r="C2019" s="11" t="s">
        <v>166</v>
      </c>
      <c r="E2019" s="112"/>
      <c r="F2019" s="114">
        <v>56510</v>
      </c>
      <c r="G2019" s="6">
        <f t="shared" si="34"/>
        <v>-56510</v>
      </c>
      <c r="H2019" s="535"/>
    </row>
    <row r="2020" spans="1:8" ht="16.5" hidden="1" thickBot="1" x14ac:dyDescent="0.3">
      <c r="A2020" s="116">
        <v>44058</v>
      </c>
      <c r="B2020" s="529" t="s">
        <v>1407</v>
      </c>
      <c r="C2020" s="55" t="s">
        <v>166</v>
      </c>
      <c r="D2020" s="791"/>
      <c r="E2020" s="536"/>
      <c r="F2020" s="537">
        <v>3175</v>
      </c>
      <c r="G2020" s="538">
        <f t="shared" si="34"/>
        <v>-3175</v>
      </c>
      <c r="H2020" s="539"/>
    </row>
    <row r="2021" spans="1:8" hidden="1" x14ac:dyDescent="0.25">
      <c r="A2021" s="116">
        <v>44058</v>
      </c>
      <c r="B2021" s="10" t="s">
        <v>18</v>
      </c>
      <c r="C2021" s="54" t="s">
        <v>1816</v>
      </c>
      <c r="D2021" s="790"/>
      <c r="E2021" s="530"/>
      <c r="F2021" s="531">
        <v>60802</v>
      </c>
      <c r="G2021" s="532">
        <f t="shared" si="34"/>
        <v>-60802</v>
      </c>
      <c r="H2021" s="540"/>
    </row>
    <row r="2022" spans="1:8" hidden="1" x14ac:dyDescent="0.25">
      <c r="A2022" s="116">
        <v>44058</v>
      </c>
      <c r="B2022" s="10" t="s">
        <v>5598</v>
      </c>
      <c r="C2022" s="11" t="s">
        <v>1816</v>
      </c>
      <c r="E2022" s="112"/>
      <c r="F2022" s="114">
        <v>9010</v>
      </c>
      <c r="G2022" s="6">
        <f t="shared" si="34"/>
        <v>-9010</v>
      </c>
      <c r="H2022" s="534" t="s">
        <v>6158</v>
      </c>
    </row>
    <row r="2023" spans="1:8" ht="16.5" hidden="1" thickBot="1" x14ac:dyDescent="0.3">
      <c r="A2023" s="116">
        <v>44058</v>
      </c>
      <c r="B2023" s="10" t="s">
        <v>2675</v>
      </c>
      <c r="C2023" s="55" t="s">
        <v>1816</v>
      </c>
      <c r="D2023" s="791"/>
      <c r="E2023" s="536"/>
      <c r="F2023" s="537">
        <v>130188</v>
      </c>
      <c r="G2023" s="538">
        <f t="shared" si="34"/>
        <v>-130188</v>
      </c>
      <c r="H2023" s="539"/>
    </row>
    <row r="2024" spans="1:8" ht="16.5" hidden="1" thickBot="1" x14ac:dyDescent="0.3">
      <c r="A2024" s="116">
        <v>44058</v>
      </c>
      <c r="B2024" s="10" t="s">
        <v>2675</v>
      </c>
      <c r="C2024" s="541" t="s">
        <v>1816</v>
      </c>
      <c r="D2024" s="792"/>
      <c r="E2024" s="542"/>
      <c r="F2024" s="543">
        <v>300000</v>
      </c>
      <c r="G2024" s="544">
        <f t="shared" si="34"/>
        <v>-300000</v>
      </c>
      <c r="H2024" s="545" t="s">
        <v>6158</v>
      </c>
    </row>
    <row r="2025" spans="1:8" hidden="1" x14ac:dyDescent="0.25">
      <c r="A2025" s="116">
        <v>44077</v>
      </c>
      <c r="B2025" s="10" t="s">
        <v>1407</v>
      </c>
      <c r="C2025" s="11" t="s">
        <v>1816</v>
      </c>
      <c r="E2025" s="8">
        <v>76358</v>
      </c>
      <c r="G2025" s="6">
        <f t="shared" si="34"/>
        <v>76358</v>
      </c>
    </row>
    <row r="2026" spans="1:8" hidden="1" x14ac:dyDescent="0.25">
      <c r="A2026" s="116">
        <v>44077</v>
      </c>
      <c r="B2026" s="10" t="s">
        <v>1407</v>
      </c>
      <c r="C2026" s="11" t="s">
        <v>1816</v>
      </c>
      <c r="E2026" s="8">
        <v>48926</v>
      </c>
      <c r="G2026" s="6">
        <f t="shared" si="34"/>
        <v>48926</v>
      </c>
    </row>
    <row r="2027" spans="1:8" hidden="1" x14ac:dyDescent="0.25">
      <c r="A2027" s="116">
        <v>44077</v>
      </c>
      <c r="B2027" s="10" t="s">
        <v>6157</v>
      </c>
      <c r="C2027" s="11" t="s">
        <v>1816</v>
      </c>
      <c r="E2027" s="8">
        <v>33935</v>
      </c>
      <c r="G2027" s="6">
        <f t="shared" si="34"/>
        <v>33935</v>
      </c>
    </row>
    <row r="2028" spans="1:8" hidden="1" x14ac:dyDescent="0.25">
      <c r="A2028" s="116">
        <v>44077</v>
      </c>
      <c r="B2028" s="10" t="s">
        <v>6157</v>
      </c>
      <c r="C2028" s="11" t="s">
        <v>1816</v>
      </c>
      <c r="E2028" s="8">
        <v>92463</v>
      </c>
      <c r="G2028" s="6">
        <f t="shared" si="34"/>
        <v>92463</v>
      </c>
    </row>
    <row r="2029" spans="1:8" hidden="1" x14ac:dyDescent="0.25">
      <c r="A2029" s="116">
        <v>44077</v>
      </c>
      <c r="B2029" s="10" t="s">
        <v>2675</v>
      </c>
      <c r="C2029" s="11" t="s">
        <v>1816</v>
      </c>
      <c r="E2029" s="8">
        <v>11804</v>
      </c>
      <c r="G2029" s="6">
        <f t="shared" si="34"/>
        <v>11804</v>
      </c>
    </row>
    <row r="2030" spans="1:8" hidden="1" x14ac:dyDescent="0.25">
      <c r="A2030" s="116">
        <v>44079</v>
      </c>
      <c r="B2030" s="10" t="s">
        <v>2675</v>
      </c>
      <c r="C2030" s="11" t="s">
        <v>5731</v>
      </c>
      <c r="D2030" s="784" t="s">
        <v>8124</v>
      </c>
      <c r="E2030" s="8">
        <v>72400</v>
      </c>
      <c r="G2030" s="6">
        <f t="shared" si="34"/>
        <v>72400</v>
      </c>
    </row>
    <row r="2031" spans="1:8" hidden="1" x14ac:dyDescent="0.25">
      <c r="A2031" s="116">
        <v>44079</v>
      </c>
      <c r="B2031" s="10" t="s">
        <v>1407</v>
      </c>
      <c r="C2031" s="11" t="s">
        <v>3255</v>
      </c>
      <c r="F2031" s="9">
        <v>200000</v>
      </c>
      <c r="G2031" s="6">
        <f t="shared" si="34"/>
        <v>-200000</v>
      </c>
      <c r="H2031" s="7" t="s">
        <v>6190</v>
      </c>
    </row>
    <row r="2032" spans="1:8" hidden="1" x14ac:dyDescent="0.25">
      <c r="A2032" s="116">
        <v>44079</v>
      </c>
      <c r="B2032" s="10" t="s">
        <v>2675</v>
      </c>
      <c r="C2032" s="11" t="s">
        <v>169</v>
      </c>
      <c r="E2032" s="8">
        <v>25350</v>
      </c>
      <c r="G2032" s="6">
        <f t="shared" si="34"/>
        <v>25350</v>
      </c>
    </row>
    <row r="2033" spans="1:8" hidden="1" x14ac:dyDescent="0.25">
      <c r="A2033" s="116">
        <v>44079</v>
      </c>
      <c r="B2033" s="10" t="s">
        <v>1407</v>
      </c>
      <c r="C2033" s="11" t="s">
        <v>164</v>
      </c>
      <c r="F2033" s="9">
        <v>50000</v>
      </c>
      <c r="G2033" s="6">
        <f t="shared" si="34"/>
        <v>-50000</v>
      </c>
      <c r="H2033" s="7" t="s">
        <v>1164</v>
      </c>
    </row>
    <row r="2034" spans="1:8" hidden="1" x14ac:dyDescent="0.25">
      <c r="A2034" s="116">
        <v>44083</v>
      </c>
      <c r="B2034" s="10" t="s">
        <v>2675</v>
      </c>
      <c r="C2034" s="11" t="s">
        <v>169</v>
      </c>
      <c r="E2034" s="8">
        <v>8000</v>
      </c>
      <c r="G2034" s="6">
        <f t="shared" si="34"/>
        <v>8000</v>
      </c>
    </row>
    <row r="2035" spans="1:8" hidden="1" x14ac:dyDescent="0.25">
      <c r="A2035" s="116">
        <v>44084</v>
      </c>
      <c r="B2035" s="10" t="s">
        <v>5862</v>
      </c>
      <c r="C2035" s="11" t="s">
        <v>164</v>
      </c>
      <c r="E2035" s="8">
        <v>7621</v>
      </c>
      <c r="G2035" s="6">
        <f t="shared" si="34"/>
        <v>7621</v>
      </c>
    </row>
    <row r="2036" spans="1:8" hidden="1" x14ac:dyDescent="0.25">
      <c r="A2036" s="116">
        <v>44084</v>
      </c>
      <c r="B2036" s="10" t="s">
        <v>2675</v>
      </c>
      <c r="C2036" s="11" t="s">
        <v>169</v>
      </c>
      <c r="E2036" s="8">
        <v>24251</v>
      </c>
      <c r="G2036" s="6">
        <f t="shared" si="34"/>
        <v>24251</v>
      </c>
    </row>
    <row r="2037" spans="1:8" hidden="1" x14ac:dyDescent="0.25">
      <c r="A2037" s="116">
        <v>44084</v>
      </c>
      <c r="B2037" s="10" t="s">
        <v>2675</v>
      </c>
      <c r="C2037" s="11" t="s">
        <v>5731</v>
      </c>
      <c r="D2037" s="784" t="s">
        <v>8791</v>
      </c>
      <c r="E2037" s="8">
        <v>5800</v>
      </c>
      <c r="G2037" s="6">
        <f t="shared" si="34"/>
        <v>5800</v>
      </c>
    </row>
    <row r="2038" spans="1:8" hidden="1" x14ac:dyDescent="0.25">
      <c r="A2038" s="116">
        <v>44098</v>
      </c>
      <c r="B2038" s="10" t="s">
        <v>1407</v>
      </c>
      <c r="C2038" s="11" t="s">
        <v>164</v>
      </c>
      <c r="E2038" s="8">
        <v>62012</v>
      </c>
      <c r="G2038" s="6">
        <f t="shared" si="34"/>
        <v>62012</v>
      </c>
    </row>
    <row r="2039" spans="1:8" hidden="1" x14ac:dyDescent="0.25">
      <c r="A2039" s="116">
        <v>44102</v>
      </c>
      <c r="B2039" s="10" t="s">
        <v>2675</v>
      </c>
      <c r="C2039" s="11" t="s">
        <v>5731</v>
      </c>
      <c r="F2039" s="9">
        <v>55500</v>
      </c>
      <c r="G2039" s="6">
        <f t="shared" si="34"/>
        <v>-55500</v>
      </c>
      <c r="H2039" s="81" t="s">
        <v>6241</v>
      </c>
    </row>
    <row r="2040" spans="1:8" hidden="1" x14ac:dyDescent="0.25">
      <c r="A2040" s="116">
        <v>44102</v>
      </c>
      <c r="B2040" s="10" t="s">
        <v>5770</v>
      </c>
      <c r="C2040" s="11" t="s">
        <v>5731</v>
      </c>
      <c r="F2040" s="9">
        <v>44500</v>
      </c>
      <c r="G2040" s="6">
        <f t="shared" si="34"/>
        <v>-44500</v>
      </c>
      <c r="H2040" s="83"/>
    </row>
    <row r="2041" spans="1:8" hidden="1" x14ac:dyDescent="0.25">
      <c r="A2041" s="116">
        <v>44102</v>
      </c>
      <c r="B2041" s="10" t="s">
        <v>5862</v>
      </c>
      <c r="C2041" s="11" t="s">
        <v>164</v>
      </c>
      <c r="E2041" s="8">
        <v>22589</v>
      </c>
      <c r="G2041" s="6">
        <f t="shared" si="34"/>
        <v>22589</v>
      </c>
      <c r="H2041" s="7" t="s">
        <v>6247</v>
      </c>
    </row>
    <row r="2042" spans="1:8" hidden="1" x14ac:dyDescent="0.25">
      <c r="A2042" s="116">
        <v>44102</v>
      </c>
      <c r="B2042" s="10" t="s">
        <v>18</v>
      </c>
      <c r="C2042" s="11" t="s">
        <v>1816</v>
      </c>
      <c r="E2042" s="299">
        <v>26870</v>
      </c>
      <c r="G2042" s="6">
        <f t="shared" si="34"/>
        <v>26870</v>
      </c>
    </row>
    <row r="2043" spans="1:8" hidden="1" x14ac:dyDescent="0.25">
      <c r="A2043" s="116">
        <v>44102</v>
      </c>
      <c r="B2043" s="10" t="s">
        <v>1407</v>
      </c>
      <c r="C2043" s="11" t="s">
        <v>1816</v>
      </c>
      <c r="E2043" s="8">
        <v>20391</v>
      </c>
      <c r="G2043" s="6">
        <f t="shared" si="34"/>
        <v>20391</v>
      </c>
    </row>
    <row r="2044" spans="1:8" hidden="1" x14ac:dyDescent="0.25">
      <c r="A2044" s="116">
        <v>44102</v>
      </c>
      <c r="B2044" s="10" t="s">
        <v>18</v>
      </c>
      <c r="C2044" s="11" t="s">
        <v>1816</v>
      </c>
      <c r="E2044" s="8">
        <v>37980</v>
      </c>
      <c r="G2044" s="6">
        <f t="shared" si="34"/>
        <v>37980</v>
      </c>
    </row>
    <row r="2045" spans="1:8" hidden="1" x14ac:dyDescent="0.25">
      <c r="A2045" s="116">
        <v>44102</v>
      </c>
      <c r="B2045" s="10" t="s">
        <v>1407</v>
      </c>
      <c r="C2045" s="11" t="s">
        <v>1816</v>
      </c>
      <c r="E2045" s="8">
        <v>27725</v>
      </c>
      <c r="G2045" s="6">
        <f t="shared" si="34"/>
        <v>27725</v>
      </c>
    </row>
    <row r="2046" spans="1:8" hidden="1" x14ac:dyDescent="0.25">
      <c r="A2046" s="116">
        <v>44102</v>
      </c>
      <c r="B2046" s="10" t="s">
        <v>18</v>
      </c>
      <c r="C2046" s="11" t="s">
        <v>1816</v>
      </c>
      <c r="E2046" s="8">
        <v>1580</v>
      </c>
      <c r="G2046" s="6">
        <f t="shared" si="34"/>
        <v>1580</v>
      </c>
    </row>
    <row r="2047" spans="1:8" hidden="1" x14ac:dyDescent="0.25">
      <c r="A2047" s="116">
        <v>44102</v>
      </c>
      <c r="B2047" s="10" t="s">
        <v>2675</v>
      </c>
      <c r="C2047" s="11" t="s">
        <v>1816</v>
      </c>
      <c r="E2047" s="8">
        <v>13174</v>
      </c>
      <c r="G2047" s="6">
        <f t="shared" si="34"/>
        <v>13174</v>
      </c>
    </row>
    <row r="2048" spans="1:8" ht="16.5" hidden="1" thickBot="1" x14ac:dyDescent="0.3">
      <c r="A2048" s="116">
        <v>44102</v>
      </c>
      <c r="B2048" s="10" t="s">
        <v>18</v>
      </c>
      <c r="C2048" s="11" t="s">
        <v>1816</v>
      </c>
      <c r="E2048" s="300">
        <v>4150</v>
      </c>
      <c r="G2048" s="6">
        <f t="shared" si="34"/>
        <v>4150</v>
      </c>
    </row>
    <row r="2049" spans="1:8" hidden="1" x14ac:dyDescent="0.25">
      <c r="A2049" s="116">
        <v>44106</v>
      </c>
      <c r="B2049" s="10" t="s">
        <v>1407</v>
      </c>
      <c r="C2049" s="11" t="s">
        <v>166</v>
      </c>
      <c r="E2049" s="8">
        <v>498936</v>
      </c>
      <c r="G2049" s="6">
        <f t="shared" si="34"/>
        <v>498936</v>
      </c>
    </row>
    <row r="2050" spans="1:8" hidden="1" x14ac:dyDescent="0.25">
      <c r="A2050" s="116">
        <v>44106</v>
      </c>
      <c r="B2050" s="10" t="s">
        <v>2675</v>
      </c>
      <c r="C2050" s="11" t="s">
        <v>5731</v>
      </c>
      <c r="E2050" s="8">
        <v>6000</v>
      </c>
      <c r="G2050" s="6">
        <f t="shared" si="34"/>
        <v>6000</v>
      </c>
    </row>
    <row r="2051" spans="1:8" hidden="1" x14ac:dyDescent="0.25">
      <c r="A2051" s="116">
        <v>44111</v>
      </c>
      <c r="B2051" s="10" t="s">
        <v>2675</v>
      </c>
      <c r="C2051" s="11" t="s">
        <v>169</v>
      </c>
      <c r="E2051" s="8">
        <v>181857</v>
      </c>
      <c r="G2051" s="6">
        <f t="shared" si="34"/>
        <v>181857</v>
      </c>
    </row>
    <row r="2052" spans="1:8" hidden="1" x14ac:dyDescent="0.25">
      <c r="A2052" s="116">
        <v>44112</v>
      </c>
      <c r="B2052" s="10" t="s">
        <v>2675</v>
      </c>
      <c r="C2052" s="11" t="s">
        <v>169</v>
      </c>
      <c r="E2052" s="8">
        <v>21013</v>
      </c>
      <c r="G2052" s="6">
        <f t="shared" si="34"/>
        <v>21013</v>
      </c>
    </row>
    <row r="2053" spans="1:8" hidden="1" x14ac:dyDescent="0.25">
      <c r="A2053" s="116">
        <v>44113</v>
      </c>
      <c r="B2053" s="10" t="s">
        <v>2675</v>
      </c>
      <c r="C2053" s="11" t="s">
        <v>169</v>
      </c>
      <c r="E2053" s="8">
        <v>81419</v>
      </c>
      <c r="G2053" s="6">
        <f t="shared" si="34"/>
        <v>81419</v>
      </c>
    </row>
    <row r="2054" spans="1:8" hidden="1" x14ac:dyDescent="0.25">
      <c r="A2054" s="116">
        <v>44114</v>
      </c>
      <c r="B2054" s="10" t="s">
        <v>1407</v>
      </c>
      <c r="C2054" s="11" t="s">
        <v>5731</v>
      </c>
      <c r="D2054" s="784" t="s">
        <v>8454</v>
      </c>
      <c r="E2054" s="8">
        <v>39000</v>
      </c>
      <c r="G2054" s="6">
        <f t="shared" si="34"/>
        <v>39000</v>
      </c>
    </row>
    <row r="2055" spans="1:8" hidden="1" x14ac:dyDescent="0.25">
      <c r="A2055" s="116">
        <v>44117</v>
      </c>
      <c r="B2055" s="10" t="s">
        <v>1407</v>
      </c>
      <c r="C2055" s="11" t="s">
        <v>180</v>
      </c>
      <c r="E2055" s="8">
        <v>206380</v>
      </c>
      <c r="G2055" s="6">
        <f t="shared" si="34"/>
        <v>206380</v>
      </c>
    </row>
    <row r="2056" spans="1:8" hidden="1" x14ac:dyDescent="0.25">
      <c r="A2056" s="116">
        <v>44117</v>
      </c>
      <c r="B2056" s="10" t="s">
        <v>1407</v>
      </c>
      <c r="C2056" s="11" t="s">
        <v>180</v>
      </c>
      <c r="E2056" s="8">
        <v>46360</v>
      </c>
      <c r="G2056" s="6">
        <f t="shared" si="34"/>
        <v>46360</v>
      </c>
    </row>
    <row r="2057" spans="1:8" hidden="1" x14ac:dyDescent="0.25">
      <c r="A2057" s="116">
        <v>44117</v>
      </c>
      <c r="B2057" s="529" t="s">
        <v>4924</v>
      </c>
      <c r="C2057" s="13" t="s">
        <v>164</v>
      </c>
      <c r="D2057" s="782"/>
      <c r="E2057" s="22"/>
      <c r="F2057" s="287">
        <v>21264</v>
      </c>
      <c r="G2057" s="6">
        <f t="shared" si="34"/>
        <v>-21264</v>
      </c>
      <c r="H2057" s="81"/>
    </row>
    <row r="2058" spans="1:8" hidden="1" x14ac:dyDescent="0.25">
      <c r="A2058" s="116">
        <v>44117</v>
      </c>
      <c r="B2058" s="529" t="s">
        <v>1407</v>
      </c>
      <c r="C2058" s="56" t="s">
        <v>164</v>
      </c>
      <c r="D2058" s="793"/>
      <c r="E2058" s="288"/>
      <c r="F2058" s="287">
        <v>78736</v>
      </c>
      <c r="G2058" s="6">
        <f t="shared" si="34"/>
        <v>-78736</v>
      </c>
      <c r="H2058" s="83" t="s">
        <v>6315</v>
      </c>
    </row>
    <row r="2059" spans="1:8" hidden="1" x14ac:dyDescent="0.25">
      <c r="A2059" s="116">
        <v>44119</v>
      </c>
      <c r="B2059" s="529" t="s">
        <v>1407</v>
      </c>
      <c r="C2059" s="557" t="s">
        <v>166</v>
      </c>
      <c r="D2059" s="786"/>
      <c r="E2059" s="147"/>
      <c r="F2059" s="558">
        <v>300000</v>
      </c>
      <c r="G2059" s="6">
        <f t="shared" si="34"/>
        <v>-300000</v>
      </c>
      <c r="H2059" s="81" t="s">
        <v>6317</v>
      </c>
    </row>
    <row r="2060" spans="1:8" hidden="1" x14ac:dyDescent="0.25">
      <c r="A2060" s="116">
        <v>44119</v>
      </c>
      <c r="B2060" s="10" t="s">
        <v>2957</v>
      </c>
      <c r="C2060" s="11" t="s">
        <v>169</v>
      </c>
      <c r="F2060" s="303">
        <v>4688</v>
      </c>
      <c r="G2060" s="6">
        <f t="shared" si="34"/>
        <v>-4688</v>
      </c>
      <c r="H2060" s="84"/>
    </row>
    <row r="2061" spans="1:8" hidden="1" x14ac:dyDescent="0.25">
      <c r="A2061" s="116">
        <v>44119</v>
      </c>
      <c r="B2061" s="10" t="s">
        <v>1407</v>
      </c>
      <c r="C2061" s="11" t="s">
        <v>169</v>
      </c>
      <c r="F2061" s="9">
        <v>8500</v>
      </c>
      <c r="G2061" s="6">
        <f t="shared" si="34"/>
        <v>-8500</v>
      </c>
      <c r="H2061" s="85"/>
    </row>
    <row r="2062" spans="1:8" hidden="1" x14ac:dyDescent="0.25">
      <c r="A2062" s="116">
        <v>44119</v>
      </c>
      <c r="B2062" s="10" t="s">
        <v>5274</v>
      </c>
      <c r="C2062" s="11" t="s">
        <v>169</v>
      </c>
      <c r="F2062" s="9">
        <v>69388</v>
      </c>
      <c r="G2062" s="6">
        <f t="shared" si="34"/>
        <v>-69388</v>
      </c>
      <c r="H2062" s="85"/>
    </row>
    <row r="2063" spans="1:8" hidden="1" x14ac:dyDescent="0.25">
      <c r="A2063" s="116">
        <v>44119</v>
      </c>
      <c r="B2063" s="10" t="s">
        <v>5759</v>
      </c>
      <c r="C2063" s="11" t="s">
        <v>169</v>
      </c>
      <c r="F2063" s="9">
        <v>4526</v>
      </c>
      <c r="G2063" s="6">
        <f t="shared" si="34"/>
        <v>-4526</v>
      </c>
      <c r="H2063" s="85" t="s">
        <v>6317</v>
      </c>
    </row>
    <row r="2064" spans="1:8" hidden="1" x14ac:dyDescent="0.25">
      <c r="A2064" s="116">
        <v>44119</v>
      </c>
      <c r="B2064" s="10" t="s">
        <v>5770</v>
      </c>
      <c r="C2064" s="11" t="s">
        <v>169</v>
      </c>
      <c r="F2064" s="9">
        <v>5831</v>
      </c>
      <c r="G2064" s="6">
        <f t="shared" si="34"/>
        <v>-5831</v>
      </c>
      <c r="H2064" s="85"/>
    </row>
    <row r="2065" spans="1:8" hidden="1" x14ac:dyDescent="0.25">
      <c r="A2065" s="116">
        <v>44119</v>
      </c>
      <c r="B2065" s="10" t="s">
        <v>5862</v>
      </c>
      <c r="C2065" s="11" t="s">
        <v>169</v>
      </c>
      <c r="F2065" s="9">
        <v>32552</v>
      </c>
      <c r="G2065" s="6">
        <f t="shared" si="34"/>
        <v>-32552</v>
      </c>
      <c r="H2065" s="85"/>
    </row>
    <row r="2066" spans="1:8" ht="16.5" hidden="1" thickBot="1" x14ac:dyDescent="0.3">
      <c r="A2066" s="116">
        <v>44119</v>
      </c>
      <c r="B2066" s="10" t="s">
        <v>2675</v>
      </c>
      <c r="C2066" s="11" t="s">
        <v>169</v>
      </c>
      <c r="F2066" s="304">
        <v>24515</v>
      </c>
      <c r="G2066" s="6">
        <f t="shared" si="34"/>
        <v>-24515</v>
      </c>
      <c r="H2066" s="86"/>
    </row>
    <row r="2067" spans="1:8" ht="16.5" hidden="1" thickBot="1" x14ac:dyDescent="0.3">
      <c r="A2067" s="116">
        <v>44119</v>
      </c>
      <c r="B2067" s="10" t="s">
        <v>4760</v>
      </c>
      <c r="C2067" s="11" t="s">
        <v>1828</v>
      </c>
      <c r="F2067" s="9">
        <v>150000</v>
      </c>
      <c r="G2067" s="6">
        <f t="shared" si="34"/>
        <v>-150000</v>
      </c>
      <c r="H2067" s="90" t="s">
        <v>6317</v>
      </c>
    </row>
    <row r="2068" spans="1:8" hidden="1" x14ac:dyDescent="0.25">
      <c r="A2068" s="116">
        <v>44121</v>
      </c>
      <c r="B2068" s="10" t="s">
        <v>1407</v>
      </c>
      <c r="C2068" s="11" t="s">
        <v>5731</v>
      </c>
      <c r="D2068" s="784" t="s">
        <v>8682</v>
      </c>
      <c r="E2068" s="8">
        <v>3000</v>
      </c>
      <c r="G2068" s="6">
        <f t="shared" si="34"/>
        <v>3000</v>
      </c>
    </row>
    <row r="2069" spans="1:8" hidden="1" x14ac:dyDescent="0.25">
      <c r="A2069" s="116">
        <v>44123</v>
      </c>
      <c r="B2069" s="10" t="s">
        <v>1407</v>
      </c>
      <c r="C2069" s="11" t="s">
        <v>166</v>
      </c>
      <c r="E2069" s="8">
        <v>29610</v>
      </c>
      <c r="G2069" s="6">
        <f t="shared" si="34"/>
        <v>29610</v>
      </c>
    </row>
    <row r="2070" spans="1:8" hidden="1" x14ac:dyDescent="0.25">
      <c r="A2070" s="116">
        <v>44123</v>
      </c>
      <c r="B2070" s="10" t="s">
        <v>1407</v>
      </c>
      <c r="C2070" s="11" t="s">
        <v>166</v>
      </c>
      <c r="E2070" s="8">
        <v>3000</v>
      </c>
      <c r="G2070" s="6">
        <f t="shared" si="34"/>
        <v>3000</v>
      </c>
    </row>
    <row r="2071" spans="1:8" hidden="1" x14ac:dyDescent="0.25">
      <c r="A2071" s="116">
        <v>44123</v>
      </c>
      <c r="B2071" s="10" t="s">
        <v>1407</v>
      </c>
      <c r="C2071" s="11" t="s">
        <v>166</v>
      </c>
      <c r="E2071" s="8">
        <v>2125</v>
      </c>
      <c r="G2071" s="6">
        <f t="shared" si="34"/>
        <v>2125</v>
      </c>
    </row>
    <row r="2072" spans="1:8" hidden="1" x14ac:dyDescent="0.25">
      <c r="A2072" s="116">
        <v>44123</v>
      </c>
      <c r="B2072" s="10" t="s">
        <v>2957</v>
      </c>
      <c r="C2072" s="11" t="s">
        <v>166</v>
      </c>
      <c r="E2072" s="8">
        <v>10320</v>
      </c>
      <c r="G2072" s="6">
        <f t="shared" si="34"/>
        <v>10320</v>
      </c>
    </row>
    <row r="2073" spans="1:8" hidden="1" x14ac:dyDescent="0.25">
      <c r="A2073" s="116">
        <v>44124</v>
      </c>
      <c r="B2073" s="10" t="s">
        <v>1407</v>
      </c>
      <c r="C2073" s="11" t="s">
        <v>166</v>
      </c>
      <c r="E2073" s="8">
        <v>18510</v>
      </c>
      <c r="G2073" s="6">
        <f t="shared" si="34"/>
        <v>18510</v>
      </c>
    </row>
    <row r="2074" spans="1:8" hidden="1" x14ac:dyDescent="0.25">
      <c r="A2074" s="116">
        <v>44124</v>
      </c>
      <c r="B2074" s="10" t="s">
        <v>1407</v>
      </c>
      <c r="C2074" s="11" t="s">
        <v>166</v>
      </c>
      <c r="E2074" s="8">
        <v>107880</v>
      </c>
      <c r="G2074" s="6">
        <f t="shared" si="34"/>
        <v>107880</v>
      </c>
    </row>
    <row r="2075" spans="1:8" hidden="1" x14ac:dyDescent="0.25">
      <c r="A2075" s="116">
        <v>44113</v>
      </c>
      <c r="B2075" s="10" t="s">
        <v>1407</v>
      </c>
      <c r="C2075" s="11" t="s">
        <v>164</v>
      </c>
      <c r="E2075" s="8">
        <v>18478</v>
      </c>
      <c r="G2075" s="6">
        <f t="shared" si="34"/>
        <v>18478</v>
      </c>
    </row>
    <row r="2076" spans="1:8" hidden="1" x14ac:dyDescent="0.25">
      <c r="A2076" s="116">
        <v>44126</v>
      </c>
      <c r="B2076" s="10" t="s">
        <v>5862</v>
      </c>
      <c r="C2076" s="11" t="s">
        <v>164</v>
      </c>
      <c r="E2076" s="8">
        <v>6758</v>
      </c>
      <c r="G2076" s="6">
        <f t="shared" si="34"/>
        <v>6758</v>
      </c>
    </row>
    <row r="2077" spans="1:8" hidden="1" x14ac:dyDescent="0.25">
      <c r="A2077" s="116">
        <v>44128</v>
      </c>
      <c r="B2077" s="10" t="s">
        <v>1407</v>
      </c>
      <c r="C2077" s="11" t="s">
        <v>164</v>
      </c>
      <c r="E2077" s="8">
        <v>2449</v>
      </c>
      <c r="G2077" s="6">
        <f t="shared" si="34"/>
        <v>2449</v>
      </c>
    </row>
    <row r="2078" spans="1:8" hidden="1" x14ac:dyDescent="0.25">
      <c r="A2078" s="116">
        <v>44105</v>
      </c>
      <c r="B2078" s="10" t="s">
        <v>18</v>
      </c>
      <c r="C2078" s="11" t="s">
        <v>1816</v>
      </c>
      <c r="E2078" s="8">
        <v>6189</v>
      </c>
      <c r="G2078" s="6">
        <f t="shared" si="34"/>
        <v>6189</v>
      </c>
    </row>
    <row r="2079" spans="1:8" hidden="1" x14ac:dyDescent="0.25">
      <c r="A2079" s="116">
        <v>44112</v>
      </c>
      <c r="B2079" s="10" t="s">
        <v>18</v>
      </c>
      <c r="C2079" s="11" t="s">
        <v>1816</v>
      </c>
      <c r="E2079" s="8">
        <v>1830</v>
      </c>
      <c r="G2079" s="6">
        <f t="shared" si="34"/>
        <v>1830</v>
      </c>
    </row>
    <row r="2080" spans="1:8" hidden="1" x14ac:dyDescent="0.25">
      <c r="A2080" s="116">
        <v>44127</v>
      </c>
      <c r="B2080" s="10" t="s">
        <v>1407</v>
      </c>
      <c r="C2080" s="11" t="s">
        <v>166</v>
      </c>
      <c r="E2080" s="8">
        <v>21105</v>
      </c>
      <c r="G2080" s="6">
        <f t="shared" si="34"/>
        <v>21105</v>
      </c>
    </row>
    <row r="2081" spans="1:8" hidden="1" x14ac:dyDescent="0.25">
      <c r="A2081" s="116">
        <v>44133</v>
      </c>
      <c r="B2081" s="228" t="s">
        <v>6303</v>
      </c>
      <c r="C2081" s="11" t="s">
        <v>5731</v>
      </c>
      <c r="E2081" s="8">
        <v>58000</v>
      </c>
      <c r="G2081" s="6">
        <f t="shared" si="34"/>
        <v>58000</v>
      </c>
    </row>
    <row r="2082" spans="1:8" hidden="1" x14ac:dyDescent="0.25">
      <c r="A2082" s="116">
        <v>44138</v>
      </c>
      <c r="B2082" s="10" t="s">
        <v>1407</v>
      </c>
      <c r="C2082" s="11" t="s">
        <v>5731</v>
      </c>
      <c r="F2082" s="9">
        <v>33000</v>
      </c>
      <c r="G2082" s="6">
        <f t="shared" si="34"/>
        <v>-33000</v>
      </c>
      <c r="H2082" s="81"/>
    </row>
    <row r="2083" spans="1:8" hidden="1" x14ac:dyDescent="0.25">
      <c r="A2083" s="116">
        <v>44138</v>
      </c>
      <c r="B2083" s="10" t="s">
        <v>1407</v>
      </c>
      <c r="C2083" s="11" t="s">
        <v>5731</v>
      </c>
      <c r="F2083" s="9">
        <v>3000</v>
      </c>
      <c r="G2083" s="6">
        <f t="shared" si="34"/>
        <v>-3000</v>
      </c>
      <c r="H2083" s="82" t="s">
        <v>6372</v>
      </c>
    </row>
    <row r="2084" spans="1:8" hidden="1" x14ac:dyDescent="0.25">
      <c r="A2084" s="116">
        <v>44138</v>
      </c>
      <c r="B2084" s="10" t="s">
        <v>2675</v>
      </c>
      <c r="C2084" s="11" t="s">
        <v>5731</v>
      </c>
      <c r="F2084" s="9">
        <v>6000</v>
      </c>
      <c r="G2084" s="6">
        <f t="shared" si="34"/>
        <v>-6000</v>
      </c>
      <c r="H2084" s="82"/>
    </row>
    <row r="2085" spans="1:8" hidden="1" x14ac:dyDescent="0.25">
      <c r="A2085" s="116">
        <v>44138</v>
      </c>
      <c r="B2085" s="10" t="s">
        <v>6303</v>
      </c>
      <c r="C2085" s="11" t="s">
        <v>5731</v>
      </c>
      <c r="F2085" s="9">
        <v>58000</v>
      </c>
      <c r="G2085" s="6">
        <f t="shared" si="34"/>
        <v>-58000</v>
      </c>
      <c r="H2085" s="83"/>
    </row>
    <row r="2086" spans="1:8" hidden="1" x14ac:dyDescent="0.25">
      <c r="A2086" s="116">
        <v>44140</v>
      </c>
      <c r="B2086" s="10" t="s">
        <v>1407</v>
      </c>
      <c r="C2086" s="11" t="s">
        <v>164</v>
      </c>
      <c r="E2086" s="8">
        <v>21108</v>
      </c>
      <c r="G2086" s="6">
        <f t="shared" si="34"/>
        <v>21108</v>
      </c>
    </row>
    <row r="2087" spans="1:8" hidden="1" x14ac:dyDescent="0.25">
      <c r="A2087" s="116">
        <v>44140</v>
      </c>
      <c r="B2087" s="10" t="s">
        <v>6303</v>
      </c>
      <c r="C2087" s="11" t="s">
        <v>5731</v>
      </c>
      <c r="D2087" s="784" t="s">
        <v>8834</v>
      </c>
      <c r="E2087" s="8">
        <v>6600</v>
      </c>
      <c r="G2087" s="6">
        <f t="shared" si="34"/>
        <v>6600</v>
      </c>
    </row>
    <row r="2088" spans="1:8" hidden="1" x14ac:dyDescent="0.25">
      <c r="A2088" s="116">
        <v>44141</v>
      </c>
      <c r="B2088" s="10" t="s">
        <v>1407</v>
      </c>
      <c r="C2088" s="11" t="s">
        <v>166</v>
      </c>
      <c r="E2088" s="8">
        <v>13500</v>
      </c>
      <c r="G2088" s="6">
        <f t="shared" si="34"/>
        <v>13500</v>
      </c>
    </row>
    <row r="2089" spans="1:8" hidden="1" x14ac:dyDescent="0.25">
      <c r="A2089" s="116">
        <v>44141</v>
      </c>
      <c r="B2089" s="10" t="s">
        <v>1407</v>
      </c>
      <c r="C2089" s="11" t="s">
        <v>166</v>
      </c>
      <c r="E2089" s="8">
        <v>23215</v>
      </c>
      <c r="G2089" s="6">
        <f t="shared" si="34"/>
        <v>23215</v>
      </c>
    </row>
    <row r="2090" spans="1:8" hidden="1" x14ac:dyDescent="0.25">
      <c r="A2090" s="116">
        <v>44141</v>
      </c>
      <c r="B2090" s="10" t="s">
        <v>2675</v>
      </c>
      <c r="C2090" s="11" t="s">
        <v>166</v>
      </c>
      <c r="E2090" s="8">
        <v>2700</v>
      </c>
      <c r="G2090" s="6">
        <f t="shared" si="34"/>
        <v>2700</v>
      </c>
    </row>
    <row r="2091" spans="1:8" hidden="1" x14ac:dyDescent="0.25">
      <c r="A2091" s="116">
        <v>44142</v>
      </c>
      <c r="B2091" s="10" t="s">
        <v>2675</v>
      </c>
      <c r="C2091" s="11" t="s">
        <v>169</v>
      </c>
      <c r="E2091" s="8">
        <v>178729</v>
      </c>
      <c r="G2091" s="6">
        <f t="shared" si="34"/>
        <v>178729</v>
      </c>
    </row>
    <row r="2092" spans="1:8" hidden="1" x14ac:dyDescent="0.25">
      <c r="A2092" s="116">
        <v>44142</v>
      </c>
      <c r="B2092" s="10" t="s">
        <v>2675</v>
      </c>
      <c r="C2092" s="11" t="s">
        <v>169</v>
      </c>
      <c r="E2092" s="8">
        <v>53406</v>
      </c>
      <c r="G2092" s="6">
        <f t="shared" si="34"/>
        <v>53406</v>
      </c>
    </row>
    <row r="2093" spans="1:8" hidden="1" x14ac:dyDescent="0.25">
      <c r="A2093" s="116">
        <v>44142</v>
      </c>
      <c r="B2093" s="10" t="s">
        <v>1407</v>
      </c>
      <c r="C2093" s="11" t="s">
        <v>164</v>
      </c>
      <c r="E2093" s="8">
        <v>5338</v>
      </c>
      <c r="G2093" s="6">
        <f t="shared" si="34"/>
        <v>5338</v>
      </c>
    </row>
    <row r="2094" spans="1:8" hidden="1" x14ac:dyDescent="0.25">
      <c r="A2094" s="116">
        <v>44142</v>
      </c>
      <c r="B2094" s="10" t="s">
        <v>1407</v>
      </c>
      <c r="C2094" s="11" t="s">
        <v>166</v>
      </c>
      <c r="E2094" s="8">
        <v>6018</v>
      </c>
      <c r="G2094" s="6">
        <f t="shared" si="34"/>
        <v>6018</v>
      </c>
    </row>
    <row r="2095" spans="1:8" hidden="1" x14ac:dyDescent="0.25">
      <c r="A2095" s="116">
        <v>44142</v>
      </c>
      <c r="B2095" s="10" t="s">
        <v>1407</v>
      </c>
      <c r="C2095" s="11" t="s">
        <v>166</v>
      </c>
      <c r="E2095" s="8">
        <v>61600</v>
      </c>
      <c r="G2095" s="6">
        <f t="shared" si="34"/>
        <v>61600</v>
      </c>
    </row>
    <row r="2096" spans="1:8" hidden="1" x14ac:dyDescent="0.25">
      <c r="A2096" s="116">
        <v>44142</v>
      </c>
      <c r="B2096" s="10" t="s">
        <v>2675</v>
      </c>
      <c r="C2096" s="11" t="s">
        <v>169</v>
      </c>
      <c r="E2096" s="8">
        <v>63500</v>
      </c>
      <c r="G2096" s="6">
        <f t="shared" si="34"/>
        <v>63500</v>
      </c>
    </row>
    <row r="2097" spans="1:8" hidden="1" x14ac:dyDescent="0.25">
      <c r="A2097" s="116">
        <v>44144</v>
      </c>
      <c r="B2097" s="10" t="s">
        <v>2675</v>
      </c>
      <c r="C2097" s="11" t="s">
        <v>169</v>
      </c>
      <c r="E2097" s="8">
        <v>128159</v>
      </c>
      <c r="G2097" s="6">
        <f t="shared" si="34"/>
        <v>128159</v>
      </c>
    </row>
    <row r="2098" spans="1:8" hidden="1" x14ac:dyDescent="0.25">
      <c r="A2098" s="116">
        <v>44145</v>
      </c>
      <c r="B2098" s="10" t="s">
        <v>2675</v>
      </c>
      <c r="C2098" s="11" t="s">
        <v>169</v>
      </c>
      <c r="E2098" s="8">
        <v>24467</v>
      </c>
      <c r="G2098" s="6">
        <f t="shared" si="34"/>
        <v>24467</v>
      </c>
    </row>
    <row r="2099" spans="1:8" hidden="1" x14ac:dyDescent="0.25">
      <c r="A2099" s="116">
        <v>44147</v>
      </c>
      <c r="B2099" s="10" t="s">
        <v>2675</v>
      </c>
      <c r="C2099" s="11" t="s">
        <v>169</v>
      </c>
      <c r="E2099" s="8">
        <v>15066</v>
      </c>
      <c r="G2099" s="6">
        <f t="shared" si="34"/>
        <v>15066</v>
      </c>
    </row>
    <row r="2100" spans="1:8" hidden="1" x14ac:dyDescent="0.25">
      <c r="A2100" s="116">
        <v>44146</v>
      </c>
      <c r="B2100" s="10" t="s">
        <v>2675</v>
      </c>
      <c r="C2100" s="11" t="s">
        <v>169</v>
      </c>
      <c r="E2100" s="8">
        <v>73222</v>
      </c>
      <c r="G2100" s="6">
        <f t="shared" si="34"/>
        <v>73222</v>
      </c>
    </row>
    <row r="2101" spans="1:8" hidden="1" x14ac:dyDescent="0.25">
      <c r="A2101" s="116">
        <v>44147</v>
      </c>
      <c r="B2101" s="10" t="s">
        <v>2675</v>
      </c>
      <c r="C2101" s="11" t="s">
        <v>169</v>
      </c>
      <c r="E2101" s="8">
        <v>28525</v>
      </c>
      <c r="G2101" s="6">
        <f t="shared" si="34"/>
        <v>28525</v>
      </c>
    </row>
    <row r="2102" spans="1:8" hidden="1" x14ac:dyDescent="0.25">
      <c r="A2102" s="116">
        <v>44149</v>
      </c>
      <c r="B2102" s="10" t="s">
        <v>2675</v>
      </c>
      <c r="C2102" s="11" t="s">
        <v>169</v>
      </c>
      <c r="E2102" s="8">
        <v>72525</v>
      </c>
      <c r="G2102" s="6">
        <f t="shared" si="34"/>
        <v>72525</v>
      </c>
    </row>
    <row r="2103" spans="1:8" hidden="1" x14ac:dyDescent="0.25">
      <c r="A2103" s="116">
        <v>44158</v>
      </c>
      <c r="B2103" s="10" t="s">
        <v>1407</v>
      </c>
      <c r="C2103" s="11" t="s">
        <v>1816</v>
      </c>
      <c r="F2103" s="9">
        <v>130635</v>
      </c>
      <c r="G2103" s="6">
        <f t="shared" si="34"/>
        <v>-130635</v>
      </c>
      <c r="H2103" s="32" t="s">
        <v>6422</v>
      </c>
    </row>
    <row r="2104" spans="1:8" hidden="1" x14ac:dyDescent="0.25">
      <c r="A2104" s="116">
        <v>44158</v>
      </c>
      <c r="B2104" s="10" t="s">
        <v>2675</v>
      </c>
      <c r="C2104" s="11" t="s">
        <v>166</v>
      </c>
      <c r="E2104" s="8">
        <v>4800</v>
      </c>
      <c r="G2104" s="6">
        <f t="shared" si="34"/>
        <v>4800</v>
      </c>
    </row>
    <row r="2105" spans="1:8" hidden="1" x14ac:dyDescent="0.25">
      <c r="A2105" s="116">
        <v>44158</v>
      </c>
      <c r="B2105" s="10" t="s">
        <v>2675</v>
      </c>
      <c r="C2105" s="11" t="s">
        <v>166</v>
      </c>
      <c r="E2105" s="8">
        <v>4800</v>
      </c>
      <c r="G2105" s="6">
        <f t="shared" si="34"/>
        <v>4800</v>
      </c>
    </row>
    <row r="2106" spans="1:8" hidden="1" x14ac:dyDescent="0.25">
      <c r="A2106" s="116">
        <v>44158</v>
      </c>
      <c r="B2106" s="10" t="s">
        <v>2957</v>
      </c>
      <c r="C2106" s="11" t="s">
        <v>166</v>
      </c>
      <c r="E2106" s="8">
        <v>10600</v>
      </c>
      <c r="G2106" s="6">
        <f t="shared" si="34"/>
        <v>10600</v>
      </c>
    </row>
    <row r="2107" spans="1:8" hidden="1" x14ac:dyDescent="0.25">
      <c r="A2107" s="116">
        <v>44158</v>
      </c>
      <c r="B2107" s="10" t="s">
        <v>1407</v>
      </c>
      <c r="C2107" s="11" t="s">
        <v>166</v>
      </c>
      <c r="F2107" s="588">
        <v>210450</v>
      </c>
      <c r="G2107" s="589">
        <f t="shared" si="34"/>
        <v>-210450</v>
      </c>
      <c r="H2107" s="590" t="s">
        <v>6423</v>
      </c>
    </row>
    <row r="2108" spans="1:8" hidden="1" x14ac:dyDescent="0.25">
      <c r="A2108" s="116">
        <v>44158</v>
      </c>
      <c r="B2108" s="10" t="s">
        <v>1407</v>
      </c>
      <c r="C2108" s="11" t="s">
        <v>180</v>
      </c>
      <c r="F2108" s="9">
        <v>252500</v>
      </c>
      <c r="G2108" s="280">
        <f t="shared" si="34"/>
        <v>-252500</v>
      </c>
      <c r="H2108" s="32" t="s">
        <v>6424</v>
      </c>
    </row>
    <row r="2109" spans="1:8" hidden="1" x14ac:dyDescent="0.25">
      <c r="A2109" s="116">
        <v>44158</v>
      </c>
      <c r="B2109" s="10" t="s">
        <v>1407</v>
      </c>
      <c r="C2109" s="11" t="s">
        <v>180</v>
      </c>
      <c r="F2109" s="9">
        <v>240</v>
      </c>
      <c r="G2109" s="6">
        <f t="shared" si="34"/>
        <v>-240</v>
      </c>
      <c r="H2109" s="7" t="s">
        <v>3951</v>
      </c>
    </row>
    <row r="2110" spans="1:8" hidden="1" x14ac:dyDescent="0.25">
      <c r="A2110" s="116">
        <v>44159</v>
      </c>
      <c r="B2110" s="10" t="s">
        <v>1407</v>
      </c>
      <c r="C2110" s="11" t="s">
        <v>4853</v>
      </c>
      <c r="F2110" s="9">
        <v>43722</v>
      </c>
      <c r="G2110" s="6">
        <f t="shared" si="34"/>
        <v>-43722</v>
      </c>
      <c r="H2110" s="590" t="s">
        <v>6423</v>
      </c>
    </row>
    <row r="2111" spans="1:8" hidden="1" x14ac:dyDescent="0.25">
      <c r="A2111" s="116">
        <v>44159</v>
      </c>
      <c r="B2111" s="10" t="s">
        <v>1407</v>
      </c>
      <c r="C2111" s="11" t="s">
        <v>4853</v>
      </c>
      <c r="E2111" s="8">
        <v>2970</v>
      </c>
      <c r="G2111" s="6">
        <f t="shared" si="34"/>
        <v>2970</v>
      </c>
    </row>
    <row r="2112" spans="1:8" hidden="1" x14ac:dyDescent="0.25">
      <c r="A2112" s="116">
        <v>44159</v>
      </c>
      <c r="B2112" s="10" t="s">
        <v>5770</v>
      </c>
      <c r="C2112" s="11" t="s">
        <v>4853</v>
      </c>
      <c r="E2112" s="8">
        <v>11373</v>
      </c>
      <c r="G2112" s="6">
        <f t="shared" si="34"/>
        <v>11373</v>
      </c>
    </row>
    <row r="2113" spans="1:8" hidden="1" x14ac:dyDescent="0.25">
      <c r="A2113" s="116">
        <v>44142</v>
      </c>
      <c r="B2113" s="10" t="s">
        <v>1407</v>
      </c>
      <c r="C2113" s="11" t="s">
        <v>164</v>
      </c>
      <c r="E2113" s="8">
        <v>6680</v>
      </c>
      <c r="G2113" s="6">
        <f t="shared" si="34"/>
        <v>6680</v>
      </c>
    </row>
    <row r="2114" spans="1:8" hidden="1" x14ac:dyDescent="0.25">
      <c r="A2114" s="116">
        <v>44160</v>
      </c>
      <c r="B2114" s="10" t="s">
        <v>1407</v>
      </c>
      <c r="C2114" s="11" t="s">
        <v>1816</v>
      </c>
      <c r="F2114" s="9">
        <v>100000</v>
      </c>
      <c r="G2114" s="6">
        <f t="shared" si="34"/>
        <v>-100000</v>
      </c>
      <c r="H2114" s="81"/>
    </row>
    <row r="2115" spans="1:8" hidden="1" x14ac:dyDescent="0.25">
      <c r="A2115" s="116">
        <v>44160</v>
      </c>
      <c r="B2115" s="10" t="s">
        <v>2675</v>
      </c>
      <c r="C2115" s="11" t="s">
        <v>1816</v>
      </c>
      <c r="F2115" s="9">
        <v>100000</v>
      </c>
      <c r="G2115" s="6">
        <f t="shared" si="34"/>
        <v>-100000</v>
      </c>
      <c r="H2115" s="82" t="s">
        <v>6427</v>
      </c>
    </row>
    <row r="2116" spans="1:8" hidden="1" x14ac:dyDescent="0.25">
      <c r="A2116" s="116">
        <v>44160</v>
      </c>
      <c r="B2116" s="10" t="s">
        <v>6157</v>
      </c>
      <c r="C2116" s="11" t="s">
        <v>1816</v>
      </c>
      <c r="F2116" s="9">
        <v>100000</v>
      </c>
      <c r="G2116" s="6">
        <f t="shared" si="34"/>
        <v>-100000</v>
      </c>
      <c r="H2116" s="83"/>
    </row>
    <row r="2117" spans="1:8" hidden="1" x14ac:dyDescent="0.25">
      <c r="A2117" s="116">
        <v>44121</v>
      </c>
      <c r="B2117" s="10" t="s">
        <v>1407</v>
      </c>
      <c r="C2117" s="11" t="s">
        <v>1816</v>
      </c>
      <c r="E2117" s="8">
        <v>7937</v>
      </c>
      <c r="G2117" s="6">
        <f t="shared" si="34"/>
        <v>7937</v>
      </c>
    </row>
    <row r="2118" spans="1:8" hidden="1" x14ac:dyDescent="0.25">
      <c r="A2118" s="116">
        <v>44141</v>
      </c>
      <c r="B2118" s="10" t="s">
        <v>1407</v>
      </c>
      <c r="C2118" s="11" t="s">
        <v>1816</v>
      </c>
      <c r="E2118" s="8">
        <v>11574</v>
      </c>
      <c r="G2118" s="6">
        <f t="shared" si="34"/>
        <v>11574</v>
      </c>
    </row>
    <row r="2119" spans="1:8" hidden="1" x14ac:dyDescent="0.25">
      <c r="A2119" s="116">
        <v>44147</v>
      </c>
      <c r="B2119" s="10" t="s">
        <v>1407</v>
      </c>
      <c r="C2119" s="11" t="s">
        <v>1816</v>
      </c>
      <c r="E2119" s="8">
        <v>7257</v>
      </c>
      <c r="G2119" s="6">
        <f t="shared" si="34"/>
        <v>7257</v>
      </c>
    </row>
    <row r="2120" spans="1:8" hidden="1" x14ac:dyDescent="0.25">
      <c r="A2120" s="116">
        <v>44159</v>
      </c>
      <c r="B2120" s="10" t="s">
        <v>1407</v>
      </c>
      <c r="C2120" s="11" t="s">
        <v>1816</v>
      </c>
      <c r="E2120" s="8">
        <v>41196</v>
      </c>
      <c r="G2120" s="6">
        <f t="shared" si="34"/>
        <v>41196</v>
      </c>
    </row>
    <row r="2121" spans="1:8" hidden="1" x14ac:dyDescent="0.25">
      <c r="A2121" s="116">
        <v>44159</v>
      </c>
      <c r="B2121" s="10" t="s">
        <v>5862</v>
      </c>
      <c r="C2121" s="11" t="s">
        <v>164</v>
      </c>
      <c r="F2121" s="9">
        <v>65657</v>
      </c>
      <c r="G2121" s="6">
        <f t="shared" si="34"/>
        <v>-65657</v>
      </c>
      <c r="H2121" s="81"/>
    </row>
    <row r="2122" spans="1:8" hidden="1" x14ac:dyDescent="0.25">
      <c r="A2122" s="116">
        <v>44159</v>
      </c>
      <c r="B2122" s="10" t="s">
        <v>1407</v>
      </c>
      <c r="C2122" s="11" t="s">
        <v>164</v>
      </c>
      <c r="F2122" s="9">
        <v>4343</v>
      </c>
      <c r="G2122" s="6">
        <f t="shared" si="34"/>
        <v>-4343</v>
      </c>
      <c r="H2122" s="32" t="s">
        <v>6428</v>
      </c>
    </row>
    <row r="2123" spans="1:8" hidden="1" x14ac:dyDescent="0.25">
      <c r="A2123" s="116">
        <v>44165</v>
      </c>
      <c r="B2123" s="10" t="s">
        <v>2675</v>
      </c>
      <c r="C2123" s="11" t="s">
        <v>169</v>
      </c>
      <c r="E2123" s="8">
        <v>16939</v>
      </c>
      <c r="G2123" s="6">
        <f t="shared" si="34"/>
        <v>16939</v>
      </c>
    </row>
    <row r="2124" spans="1:8" hidden="1" x14ac:dyDescent="0.25">
      <c r="A2124" s="116">
        <v>44165</v>
      </c>
      <c r="B2124" s="10" t="s">
        <v>2675</v>
      </c>
      <c r="C2124" s="11" t="s">
        <v>164</v>
      </c>
      <c r="E2124" s="8">
        <v>813</v>
      </c>
      <c r="G2124" s="6">
        <f t="shared" si="34"/>
        <v>813</v>
      </c>
    </row>
    <row r="2125" spans="1:8" hidden="1" x14ac:dyDescent="0.25">
      <c r="A2125" s="116">
        <v>44162</v>
      </c>
      <c r="B2125" s="10" t="s">
        <v>2957</v>
      </c>
      <c r="C2125" s="11" t="s">
        <v>5731</v>
      </c>
      <c r="D2125" s="784" t="s">
        <v>8835</v>
      </c>
      <c r="E2125" s="8">
        <v>25500</v>
      </c>
      <c r="G2125" s="6">
        <f t="shared" si="34"/>
        <v>25500</v>
      </c>
    </row>
    <row r="2126" spans="1:8" hidden="1"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hidden="1" x14ac:dyDescent="0.25">
      <c r="A2128" s="116">
        <v>44176</v>
      </c>
      <c r="B2128" s="10" t="s">
        <v>1407</v>
      </c>
      <c r="C2128" s="11" t="s">
        <v>166</v>
      </c>
      <c r="F2128" s="9">
        <v>178692</v>
      </c>
      <c r="G2128" s="6">
        <f t="shared" si="34"/>
        <v>-178692</v>
      </c>
      <c r="H2128" s="32" t="s">
        <v>6471</v>
      </c>
    </row>
    <row r="2129" spans="1:8" hidden="1" x14ac:dyDescent="0.25">
      <c r="A2129" s="116">
        <v>44176</v>
      </c>
      <c r="B2129" s="10" t="s">
        <v>2675</v>
      </c>
      <c r="C2129" s="11" t="s">
        <v>180</v>
      </c>
      <c r="E2129" s="8">
        <v>92250</v>
      </c>
      <c r="G2129" s="6">
        <f t="shared" si="34"/>
        <v>92250</v>
      </c>
    </row>
    <row r="2130" spans="1:8" hidden="1" x14ac:dyDescent="0.25">
      <c r="A2130" s="116">
        <v>44176</v>
      </c>
      <c r="B2130" s="10" t="s">
        <v>2675</v>
      </c>
      <c r="C2130" s="11" t="s">
        <v>180</v>
      </c>
      <c r="E2130" s="8">
        <v>36360</v>
      </c>
      <c r="G2130" s="6">
        <f t="shared" si="34"/>
        <v>36360</v>
      </c>
    </row>
    <row r="2131" spans="1:8" hidden="1" x14ac:dyDescent="0.25">
      <c r="A2131" s="116">
        <v>44177</v>
      </c>
      <c r="B2131" s="10" t="s">
        <v>2675</v>
      </c>
      <c r="C2131" s="11" t="s">
        <v>169</v>
      </c>
      <c r="F2131" s="9">
        <v>100000</v>
      </c>
      <c r="G2131" s="6">
        <f t="shared" si="34"/>
        <v>-100000</v>
      </c>
      <c r="H2131" s="32" t="s">
        <v>6472</v>
      </c>
    </row>
    <row r="2132" spans="1:8" hidden="1" x14ac:dyDescent="0.25">
      <c r="A2132" s="116">
        <v>44176</v>
      </c>
      <c r="B2132" s="10" t="s">
        <v>1407</v>
      </c>
      <c r="C2132" s="11" t="s">
        <v>5731</v>
      </c>
      <c r="D2132" s="784" t="s">
        <v>8911</v>
      </c>
      <c r="E2132" s="8">
        <v>19200</v>
      </c>
      <c r="G2132" s="6">
        <f t="shared" si="34"/>
        <v>19200</v>
      </c>
    </row>
    <row r="2133" spans="1:8" hidden="1" x14ac:dyDescent="0.25">
      <c r="A2133" s="116">
        <v>44180</v>
      </c>
      <c r="B2133" s="10" t="s">
        <v>2675</v>
      </c>
      <c r="C2133" s="11" t="s">
        <v>169</v>
      </c>
      <c r="E2133" s="8">
        <v>36067</v>
      </c>
      <c r="G2133" s="6">
        <f t="shared" si="34"/>
        <v>36067</v>
      </c>
    </row>
    <row r="2134" spans="1:8" hidden="1" x14ac:dyDescent="0.25">
      <c r="A2134" s="116">
        <v>44182</v>
      </c>
      <c r="B2134" s="10" t="s">
        <v>2957</v>
      </c>
      <c r="C2134" s="11" t="s">
        <v>4445</v>
      </c>
      <c r="F2134" s="9">
        <v>100000</v>
      </c>
      <c r="G2134" s="6">
        <f t="shared" si="34"/>
        <v>-100000</v>
      </c>
      <c r="H2134" s="7" t="s">
        <v>6497</v>
      </c>
    </row>
    <row r="2135" spans="1:8" hidden="1" x14ac:dyDescent="0.25">
      <c r="A2135" s="116">
        <v>44182</v>
      </c>
      <c r="B2135" s="10" t="s">
        <v>2957</v>
      </c>
      <c r="C2135" s="11" t="s">
        <v>4445</v>
      </c>
      <c r="E2135" s="8">
        <v>2000</v>
      </c>
      <c r="G2135" s="6">
        <f t="shared" si="34"/>
        <v>2000</v>
      </c>
      <c r="H2135" s="7" t="s">
        <v>6488</v>
      </c>
    </row>
    <row r="2136" spans="1:8" hidden="1" x14ac:dyDescent="0.25">
      <c r="A2136" s="116">
        <v>44187</v>
      </c>
      <c r="B2136" s="10" t="s">
        <v>2957</v>
      </c>
      <c r="C2136" s="11" t="s">
        <v>164</v>
      </c>
      <c r="E2136" s="8">
        <v>3932</v>
      </c>
      <c r="G2136" s="6">
        <f t="shared" si="34"/>
        <v>3932</v>
      </c>
    </row>
    <row r="2137" spans="1:8" hidden="1" x14ac:dyDescent="0.25">
      <c r="A2137" s="116">
        <v>44167</v>
      </c>
      <c r="B2137" s="10" t="s">
        <v>1407</v>
      </c>
      <c r="C2137" s="11" t="s">
        <v>164</v>
      </c>
      <c r="E2137" s="8">
        <v>12568</v>
      </c>
      <c r="G2137" s="6">
        <f t="shared" si="34"/>
        <v>12568</v>
      </c>
    </row>
    <row r="2138" spans="1:8" hidden="1" x14ac:dyDescent="0.25">
      <c r="A2138" s="116">
        <v>44169</v>
      </c>
      <c r="B2138" s="10" t="s">
        <v>1407</v>
      </c>
      <c r="C2138" s="11" t="s">
        <v>164</v>
      </c>
      <c r="E2138" s="8">
        <v>3920</v>
      </c>
      <c r="G2138" s="6">
        <f t="shared" si="34"/>
        <v>3920</v>
      </c>
    </row>
    <row r="2139" spans="1:8" hidden="1" x14ac:dyDescent="0.25">
      <c r="A2139" s="116">
        <v>44145</v>
      </c>
      <c r="B2139" s="10" t="s">
        <v>1407</v>
      </c>
      <c r="C2139" s="11" t="s">
        <v>1828</v>
      </c>
      <c r="E2139" s="8">
        <v>42435</v>
      </c>
      <c r="G2139" s="6">
        <f t="shared" si="34"/>
        <v>42435</v>
      </c>
    </row>
    <row r="2140" spans="1:8" hidden="1" x14ac:dyDescent="0.25">
      <c r="A2140" s="116">
        <v>44182</v>
      </c>
      <c r="B2140" s="10" t="s">
        <v>1407</v>
      </c>
      <c r="C2140" s="11" t="s">
        <v>1828</v>
      </c>
      <c r="E2140" s="8">
        <v>7671</v>
      </c>
      <c r="G2140" s="6">
        <f t="shared" si="34"/>
        <v>7671</v>
      </c>
    </row>
    <row r="2141" spans="1:8" hidden="1" x14ac:dyDescent="0.25">
      <c r="A2141" s="116">
        <v>44182</v>
      </c>
      <c r="B2141" s="10" t="s">
        <v>1407</v>
      </c>
      <c r="C2141" s="11" t="s">
        <v>166</v>
      </c>
      <c r="E2141" s="8">
        <v>3800</v>
      </c>
      <c r="G2141" s="6">
        <f t="shared" si="34"/>
        <v>3800</v>
      </c>
    </row>
    <row r="2142" spans="1:8" hidden="1" x14ac:dyDescent="0.25">
      <c r="A2142" s="116">
        <v>44189</v>
      </c>
      <c r="B2142" s="10" t="s">
        <v>6463</v>
      </c>
      <c r="C2142" s="11" t="s">
        <v>166</v>
      </c>
      <c r="E2142" s="8">
        <v>2190</v>
      </c>
      <c r="G2142" s="6">
        <f t="shared" si="34"/>
        <v>2190</v>
      </c>
    </row>
    <row r="2143" spans="1:8" hidden="1" x14ac:dyDescent="0.25">
      <c r="A2143" s="116">
        <v>44189</v>
      </c>
      <c r="B2143" s="10" t="s">
        <v>1407</v>
      </c>
      <c r="C2143" s="11" t="s">
        <v>166</v>
      </c>
      <c r="E2143" s="8">
        <v>26680</v>
      </c>
      <c r="G2143" s="6">
        <f t="shared" si="34"/>
        <v>26680</v>
      </c>
    </row>
    <row r="2144" spans="1:8" hidden="1" x14ac:dyDescent="0.25">
      <c r="A2144" s="116">
        <v>44193</v>
      </c>
      <c r="B2144" s="10" t="s">
        <v>6463</v>
      </c>
      <c r="C2144" s="11" t="s">
        <v>166</v>
      </c>
      <c r="E2144" s="8">
        <v>16750</v>
      </c>
      <c r="G2144" s="6">
        <f t="shared" si="34"/>
        <v>16750</v>
      </c>
    </row>
    <row r="2145" spans="1:8" hidden="1" x14ac:dyDescent="0.25">
      <c r="A2145" s="116">
        <v>44200</v>
      </c>
      <c r="B2145" s="10" t="s">
        <v>6463</v>
      </c>
      <c r="C2145" s="11" t="s">
        <v>166</v>
      </c>
      <c r="E2145" s="8">
        <v>53000</v>
      </c>
      <c r="G2145" s="6">
        <f t="shared" si="34"/>
        <v>53000</v>
      </c>
    </row>
    <row r="2146" spans="1:8" hidden="1" x14ac:dyDescent="0.25">
      <c r="A2146" s="116">
        <v>44203</v>
      </c>
      <c r="B2146" s="10" t="s">
        <v>1407</v>
      </c>
      <c r="C2146" s="11" t="s">
        <v>166</v>
      </c>
      <c r="F2146" s="9">
        <v>43940</v>
      </c>
      <c r="G2146" s="6">
        <f t="shared" si="34"/>
        <v>-43940</v>
      </c>
    </row>
    <row r="2147" spans="1:8" hidden="1" x14ac:dyDescent="0.25">
      <c r="A2147" s="116">
        <v>44203</v>
      </c>
      <c r="B2147" s="10" t="s">
        <v>2957</v>
      </c>
      <c r="C2147" s="11" t="s">
        <v>166</v>
      </c>
      <c r="F2147" s="9">
        <v>20920</v>
      </c>
      <c r="G2147" s="6">
        <f t="shared" si="34"/>
        <v>-20920</v>
      </c>
      <c r="H2147" s="81"/>
    </row>
    <row r="2148" spans="1:8" hidden="1" x14ac:dyDescent="0.25">
      <c r="A2148" s="116">
        <v>44203</v>
      </c>
      <c r="B2148" s="10" t="s">
        <v>6463</v>
      </c>
      <c r="C2148" s="11" t="s">
        <v>166</v>
      </c>
      <c r="F2148" s="9">
        <v>71940</v>
      </c>
      <c r="G2148" s="6">
        <f t="shared" si="34"/>
        <v>-71940</v>
      </c>
      <c r="H2148" s="81" t="s">
        <v>6317</v>
      </c>
    </row>
    <row r="2149" spans="1:8" hidden="1" x14ac:dyDescent="0.25">
      <c r="A2149" s="116">
        <v>44203</v>
      </c>
      <c r="B2149" s="10" t="s">
        <v>2675</v>
      </c>
      <c r="C2149" s="11" t="s">
        <v>166</v>
      </c>
      <c r="F2149" s="9">
        <v>13200</v>
      </c>
      <c r="G2149" s="6">
        <f t="shared" si="34"/>
        <v>-13200</v>
      </c>
      <c r="H2149" s="83"/>
    </row>
    <row r="2150" spans="1:8" hidden="1" x14ac:dyDescent="0.25">
      <c r="A2150" s="116">
        <v>44212</v>
      </c>
      <c r="B2150" s="10" t="s">
        <v>1407</v>
      </c>
      <c r="C2150" s="11" t="s">
        <v>1828</v>
      </c>
      <c r="F2150" s="599">
        <v>147784</v>
      </c>
      <c r="G2150" s="6">
        <f t="shared" si="34"/>
        <v>-147784</v>
      </c>
      <c r="H2150" s="7" t="s">
        <v>6563</v>
      </c>
    </row>
    <row r="2151" spans="1:8" hidden="1" x14ac:dyDescent="0.25">
      <c r="A2151" s="116">
        <v>44212</v>
      </c>
      <c r="B2151" s="10" t="s">
        <v>6564</v>
      </c>
      <c r="C2151" s="11" t="s">
        <v>4853</v>
      </c>
      <c r="E2151" s="8">
        <v>4573</v>
      </c>
      <c r="G2151" s="6">
        <f t="shared" si="34"/>
        <v>4573</v>
      </c>
    </row>
    <row r="2152" spans="1:8" hidden="1" x14ac:dyDescent="0.25">
      <c r="A2152" s="116">
        <v>44212</v>
      </c>
      <c r="B2152" s="10" t="s">
        <v>6564</v>
      </c>
      <c r="C2152" s="11" t="s">
        <v>4853</v>
      </c>
      <c r="E2152" s="8">
        <v>78475</v>
      </c>
      <c r="G2152" s="6">
        <f t="shared" si="34"/>
        <v>78475</v>
      </c>
    </row>
    <row r="2153" spans="1:8" hidden="1" x14ac:dyDescent="0.25">
      <c r="A2153" s="116">
        <v>44212</v>
      </c>
      <c r="B2153" s="10" t="s">
        <v>6463</v>
      </c>
      <c r="C2153" s="11" t="s">
        <v>4853</v>
      </c>
      <c r="E2153" s="8">
        <v>23607</v>
      </c>
      <c r="G2153" s="6">
        <f t="shared" si="34"/>
        <v>23607</v>
      </c>
    </row>
    <row r="2154" spans="1:8" hidden="1" x14ac:dyDescent="0.25">
      <c r="A2154" s="116">
        <v>44212</v>
      </c>
      <c r="B2154" s="10" t="s">
        <v>6463</v>
      </c>
      <c r="C2154" s="11" t="s">
        <v>4853</v>
      </c>
      <c r="E2154" s="8">
        <v>42771</v>
      </c>
      <c r="G2154" s="6">
        <f t="shared" si="34"/>
        <v>42771</v>
      </c>
    </row>
    <row r="2155" spans="1:8" hidden="1" x14ac:dyDescent="0.25">
      <c r="A2155" s="116">
        <v>44212</v>
      </c>
      <c r="B2155" s="10" t="s">
        <v>6565</v>
      </c>
      <c r="C2155" s="11" t="s">
        <v>4853</v>
      </c>
      <c r="E2155" s="8">
        <v>30872</v>
      </c>
      <c r="G2155" s="6">
        <f t="shared" si="34"/>
        <v>30872</v>
      </c>
    </row>
    <row r="2156" spans="1:8" hidden="1" x14ac:dyDescent="0.25">
      <c r="A2156" s="116">
        <v>44218</v>
      </c>
      <c r="B2156" s="10" t="s">
        <v>1407</v>
      </c>
      <c r="C2156" s="11" t="s">
        <v>1816</v>
      </c>
      <c r="E2156" s="8">
        <v>1218</v>
      </c>
      <c r="G2156" s="6">
        <f t="shared" si="34"/>
        <v>1218</v>
      </c>
    </row>
    <row r="2157" spans="1:8" hidden="1" x14ac:dyDescent="0.25">
      <c r="A2157" s="116">
        <v>44218</v>
      </c>
      <c r="B2157" s="10" t="s">
        <v>1407</v>
      </c>
      <c r="C2157" s="11" t="s">
        <v>1816</v>
      </c>
      <c r="E2157" s="8">
        <v>33070</v>
      </c>
      <c r="G2157" s="6">
        <f t="shared" si="34"/>
        <v>33070</v>
      </c>
    </row>
    <row r="2158" spans="1:8" hidden="1" x14ac:dyDescent="0.25">
      <c r="A2158" s="116">
        <v>44219</v>
      </c>
      <c r="B2158" s="10" t="s">
        <v>6564</v>
      </c>
      <c r="C2158" s="11" t="s">
        <v>4853</v>
      </c>
      <c r="F2158" s="9">
        <v>83000</v>
      </c>
      <c r="G2158" s="6">
        <f t="shared" si="34"/>
        <v>-83000</v>
      </c>
      <c r="H2158" s="81" t="s">
        <v>6582</v>
      </c>
    </row>
    <row r="2159" spans="1:8" hidden="1" x14ac:dyDescent="0.25">
      <c r="A2159" s="116">
        <v>44219</v>
      </c>
      <c r="B2159" s="10" t="s">
        <v>6463</v>
      </c>
      <c r="C2159" s="11" t="s">
        <v>4853</v>
      </c>
      <c r="F2159" s="9">
        <v>17000</v>
      </c>
      <c r="G2159" s="6">
        <f t="shared" si="34"/>
        <v>-17000</v>
      </c>
      <c r="H2159" s="83"/>
    </row>
    <row r="2160" spans="1:8" hidden="1" x14ac:dyDescent="0.25">
      <c r="A2160" s="116">
        <v>44219</v>
      </c>
      <c r="B2160" s="10" t="s">
        <v>6463</v>
      </c>
      <c r="C2160" s="11" t="s">
        <v>4853</v>
      </c>
      <c r="F2160" s="9">
        <v>6600</v>
      </c>
      <c r="G2160" s="6">
        <f t="shared" si="34"/>
        <v>-6600</v>
      </c>
      <c r="H2160" s="7" t="s">
        <v>1164</v>
      </c>
    </row>
    <row r="2161" spans="1:8" hidden="1" x14ac:dyDescent="0.25">
      <c r="A2161" s="116">
        <v>44222</v>
      </c>
      <c r="B2161" s="10" t="s">
        <v>1407</v>
      </c>
      <c r="C2161" s="11" t="s">
        <v>166</v>
      </c>
      <c r="F2161" s="9">
        <v>68424</v>
      </c>
      <c r="G2161" s="6">
        <f t="shared" si="34"/>
        <v>-68424</v>
      </c>
      <c r="H2161" s="7" t="s">
        <v>6597</v>
      </c>
    </row>
    <row r="2162" spans="1:8" hidden="1" x14ac:dyDescent="0.25">
      <c r="A2162" s="116">
        <v>44222</v>
      </c>
      <c r="B2162" s="10" t="s">
        <v>6463</v>
      </c>
      <c r="C2162" s="11" t="s">
        <v>166</v>
      </c>
      <c r="E2162" s="8">
        <v>26500</v>
      </c>
      <c r="G2162" s="6">
        <f t="shared" si="34"/>
        <v>26500</v>
      </c>
    </row>
    <row r="2163" spans="1:8" hidden="1" x14ac:dyDescent="0.25">
      <c r="A2163" s="116">
        <v>44222</v>
      </c>
      <c r="B2163" s="10" t="s">
        <v>6564</v>
      </c>
      <c r="C2163" s="11" t="s">
        <v>166</v>
      </c>
      <c r="E2163" s="8">
        <v>4575</v>
      </c>
      <c r="G2163" s="6">
        <f t="shared" si="34"/>
        <v>4575</v>
      </c>
    </row>
    <row r="2164" spans="1:8" hidden="1" x14ac:dyDescent="0.25">
      <c r="A2164" s="116">
        <v>44161</v>
      </c>
      <c r="B2164" s="10" t="s">
        <v>1407</v>
      </c>
      <c r="C2164" s="11" t="s">
        <v>1816</v>
      </c>
      <c r="E2164" s="8">
        <v>13014</v>
      </c>
      <c r="G2164" s="6">
        <f t="shared" si="34"/>
        <v>13014</v>
      </c>
    </row>
    <row r="2165" spans="1:8" hidden="1" x14ac:dyDescent="0.25">
      <c r="A2165" s="116">
        <v>44163</v>
      </c>
      <c r="B2165" s="10" t="s">
        <v>1407</v>
      </c>
      <c r="C2165" s="11" t="s">
        <v>1816</v>
      </c>
      <c r="E2165" s="8">
        <v>78990</v>
      </c>
      <c r="G2165" s="6">
        <f t="shared" si="34"/>
        <v>78990</v>
      </c>
    </row>
    <row r="2166" spans="1:8" hidden="1" x14ac:dyDescent="0.25">
      <c r="A2166" s="116">
        <v>44169</v>
      </c>
      <c r="B2166" s="10" t="s">
        <v>1407</v>
      </c>
      <c r="C2166" s="11" t="s">
        <v>1816</v>
      </c>
      <c r="E2166" s="8">
        <v>136670</v>
      </c>
      <c r="G2166" s="6">
        <f t="shared" si="34"/>
        <v>136670</v>
      </c>
    </row>
    <row r="2167" spans="1:8" hidden="1" x14ac:dyDescent="0.25">
      <c r="A2167" s="116">
        <v>44186</v>
      </c>
      <c r="B2167" s="10" t="s">
        <v>1407</v>
      </c>
      <c r="C2167" s="11" t="s">
        <v>1816</v>
      </c>
      <c r="E2167" s="8">
        <v>101072</v>
      </c>
      <c r="G2167" s="6">
        <f t="shared" si="34"/>
        <v>101072</v>
      </c>
    </row>
    <row r="2168" spans="1:8" hidden="1" x14ac:dyDescent="0.25">
      <c r="A2168" s="116">
        <v>44209</v>
      </c>
      <c r="B2168" s="10" t="s">
        <v>1407</v>
      </c>
      <c r="C2168" s="11" t="s">
        <v>1816</v>
      </c>
      <c r="E2168" s="8">
        <v>23601</v>
      </c>
      <c r="G2168" s="6">
        <f t="shared" si="34"/>
        <v>23601</v>
      </c>
    </row>
    <row r="2169" spans="1:8" hidden="1" x14ac:dyDescent="0.25">
      <c r="A2169" s="116">
        <v>44216</v>
      </c>
      <c r="B2169" s="10" t="s">
        <v>1407</v>
      </c>
      <c r="C2169" s="11" t="s">
        <v>1816</v>
      </c>
      <c r="E2169" s="8">
        <v>24170</v>
      </c>
      <c r="G2169" s="6">
        <f t="shared" si="34"/>
        <v>24170</v>
      </c>
    </row>
    <row r="2170" spans="1:8" hidden="1" x14ac:dyDescent="0.25">
      <c r="A2170" s="116">
        <v>44218</v>
      </c>
      <c r="B2170" s="10" t="s">
        <v>1407</v>
      </c>
      <c r="C2170" s="11" t="s">
        <v>1816</v>
      </c>
      <c r="E2170" s="8">
        <v>18044</v>
      </c>
      <c r="G2170" s="6">
        <f t="shared" si="34"/>
        <v>18044</v>
      </c>
    </row>
    <row r="2171" spans="1:8" hidden="1" x14ac:dyDescent="0.25">
      <c r="A2171" s="116">
        <v>44222</v>
      </c>
      <c r="B2171" s="10" t="s">
        <v>1407</v>
      </c>
      <c r="C2171" s="11" t="s">
        <v>1816</v>
      </c>
      <c r="E2171" s="8">
        <v>14770</v>
      </c>
      <c r="G2171" s="6">
        <f t="shared" si="34"/>
        <v>14770</v>
      </c>
    </row>
    <row r="2172" spans="1:8" hidden="1" x14ac:dyDescent="0.25">
      <c r="A2172" s="116">
        <v>44228</v>
      </c>
      <c r="B2172" s="10" t="s">
        <v>1407</v>
      </c>
      <c r="C2172" s="11" t="s">
        <v>164</v>
      </c>
      <c r="F2172" s="9">
        <v>50000</v>
      </c>
      <c r="G2172" s="6">
        <f t="shared" si="34"/>
        <v>-50000</v>
      </c>
      <c r="H2172" s="81" t="s">
        <v>6609</v>
      </c>
    </row>
    <row r="2173" spans="1:8" hidden="1" x14ac:dyDescent="0.25">
      <c r="A2173" s="116">
        <v>44221</v>
      </c>
      <c r="B2173" s="10" t="s">
        <v>11</v>
      </c>
      <c r="C2173" s="11" t="s">
        <v>164</v>
      </c>
      <c r="E2173" s="8">
        <v>3293</v>
      </c>
      <c r="G2173" s="6">
        <f t="shared" si="34"/>
        <v>3293</v>
      </c>
    </row>
    <row r="2174" spans="1:8" hidden="1" x14ac:dyDescent="0.25">
      <c r="A2174" s="116">
        <v>44221</v>
      </c>
      <c r="B2174" s="10" t="s">
        <v>6564</v>
      </c>
      <c r="C2174" s="11" t="s">
        <v>180</v>
      </c>
      <c r="E2174" s="8">
        <v>21600</v>
      </c>
      <c r="G2174" s="6">
        <f t="shared" si="34"/>
        <v>21600</v>
      </c>
    </row>
    <row r="2175" spans="1:8" hidden="1" x14ac:dyDescent="0.25">
      <c r="A2175" s="116">
        <v>44228</v>
      </c>
      <c r="B2175" s="10" t="s">
        <v>1407</v>
      </c>
      <c r="C2175" s="11" t="s">
        <v>1816</v>
      </c>
      <c r="E2175" s="8">
        <v>28239</v>
      </c>
      <c r="G2175" s="6">
        <f t="shared" si="34"/>
        <v>28239</v>
      </c>
    </row>
    <row r="2176" spans="1:8" hidden="1" x14ac:dyDescent="0.25">
      <c r="A2176" s="116">
        <v>44239</v>
      </c>
      <c r="B2176" s="10" t="s">
        <v>1407</v>
      </c>
      <c r="C2176" s="11" t="s">
        <v>1816</v>
      </c>
      <c r="F2176" s="9">
        <v>250000</v>
      </c>
      <c r="G2176" s="6">
        <f t="shared" si="34"/>
        <v>-250000</v>
      </c>
      <c r="H2176" s="81" t="s">
        <v>6657</v>
      </c>
    </row>
    <row r="2177" spans="1:8" hidden="1" x14ac:dyDescent="0.25">
      <c r="A2177" s="116">
        <v>44239</v>
      </c>
      <c r="B2177" s="10" t="s">
        <v>1407</v>
      </c>
      <c r="C2177" s="11" t="s">
        <v>1816</v>
      </c>
      <c r="F2177" s="9">
        <v>250000</v>
      </c>
      <c r="G2177" s="6">
        <f t="shared" si="34"/>
        <v>-250000</v>
      </c>
      <c r="H2177" s="81" t="s">
        <v>6656</v>
      </c>
    </row>
    <row r="2178" spans="1:8" hidden="1" x14ac:dyDescent="0.25">
      <c r="A2178" s="116">
        <v>44242</v>
      </c>
      <c r="B2178" s="10" t="s">
        <v>1407</v>
      </c>
      <c r="C2178" s="11" t="s">
        <v>5731</v>
      </c>
      <c r="D2178" s="784" t="s">
        <v>8912</v>
      </c>
      <c r="E2178" s="8">
        <v>36600</v>
      </c>
      <c r="G2178" s="6">
        <f t="shared" si="34"/>
        <v>36600</v>
      </c>
    </row>
    <row r="2179" spans="1:8" hidden="1" x14ac:dyDescent="0.25">
      <c r="A2179" s="116">
        <v>44243</v>
      </c>
      <c r="B2179" s="10" t="s">
        <v>6565</v>
      </c>
      <c r="C2179" s="11" t="s">
        <v>4853</v>
      </c>
      <c r="D2179" s="784">
        <v>5351</v>
      </c>
      <c r="E2179" s="8">
        <v>300000</v>
      </c>
      <c r="G2179" s="6">
        <f t="shared" si="34"/>
        <v>300000</v>
      </c>
    </row>
    <row r="2180" spans="1:8" hidden="1" x14ac:dyDescent="0.25">
      <c r="A2180" s="116">
        <v>44243</v>
      </c>
      <c r="B2180" s="10" t="s">
        <v>6564</v>
      </c>
      <c r="C2180" s="11" t="s">
        <v>4853</v>
      </c>
      <c r="D2180" s="784" t="s">
        <v>6675</v>
      </c>
      <c r="E2180" s="8">
        <v>37075</v>
      </c>
      <c r="G2180" s="6">
        <f t="shared" si="34"/>
        <v>37075</v>
      </c>
    </row>
    <row r="2181" spans="1:8" hidden="1" x14ac:dyDescent="0.25">
      <c r="A2181" s="116">
        <v>44230</v>
      </c>
      <c r="B2181" s="10" t="s">
        <v>1407</v>
      </c>
      <c r="C2181" s="11" t="s">
        <v>166</v>
      </c>
      <c r="D2181" s="784">
        <v>1713</v>
      </c>
      <c r="E2181" s="8">
        <v>5250</v>
      </c>
      <c r="G2181" s="6">
        <f t="shared" si="34"/>
        <v>5250</v>
      </c>
    </row>
    <row r="2182" spans="1:8" hidden="1" x14ac:dyDescent="0.25">
      <c r="A2182" s="116">
        <v>44235</v>
      </c>
      <c r="B2182" s="10" t="s">
        <v>6463</v>
      </c>
      <c r="C2182" s="11" t="s">
        <v>166</v>
      </c>
      <c r="D2182" s="784">
        <v>1731</v>
      </c>
      <c r="E2182" s="8">
        <v>13150</v>
      </c>
      <c r="G2182" s="6">
        <f t="shared" si="34"/>
        <v>13150</v>
      </c>
    </row>
    <row r="2183" spans="1:8" hidden="1" x14ac:dyDescent="0.25">
      <c r="A2183" s="116">
        <v>44246</v>
      </c>
      <c r="B2183" s="10" t="s">
        <v>6463</v>
      </c>
      <c r="C2183" s="11" t="s">
        <v>4853</v>
      </c>
      <c r="F2183" s="9">
        <v>42700</v>
      </c>
      <c r="G2183" s="6">
        <f t="shared" si="34"/>
        <v>-42700</v>
      </c>
      <c r="H2183" s="81" t="s">
        <v>6687</v>
      </c>
    </row>
    <row r="2184" spans="1:8" hidden="1" x14ac:dyDescent="0.25">
      <c r="A2184" s="116">
        <v>44246</v>
      </c>
      <c r="B2184" s="10" t="s">
        <v>6463</v>
      </c>
      <c r="C2184" s="11" t="s">
        <v>4853</v>
      </c>
      <c r="F2184" s="9">
        <v>78</v>
      </c>
      <c r="G2184" s="6">
        <f t="shared" si="34"/>
        <v>-78</v>
      </c>
      <c r="H2184" s="7" t="s">
        <v>3951</v>
      </c>
    </row>
    <row r="2185" spans="1:8" hidden="1" x14ac:dyDescent="0.25">
      <c r="A2185" s="116">
        <v>44252</v>
      </c>
      <c r="B2185" s="10" t="s">
        <v>1407</v>
      </c>
      <c r="C2185" s="11" t="s">
        <v>164</v>
      </c>
      <c r="E2185" s="8">
        <v>41579</v>
      </c>
      <c r="G2185" s="6">
        <f t="shared" si="34"/>
        <v>41579</v>
      </c>
    </row>
    <row r="2186" spans="1:8" hidden="1" x14ac:dyDescent="0.25">
      <c r="A2186" s="116">
        <v>44252</v>
      </c>
      <c r="B2186" s="10" t="s">
        <v>6575</v>
      </c>
      <c r="C2186" s="11" t="s">
        <v>3738</v>
      </c>
      <c r="E2186" s="8">
        <v>350000</v>
      </c>
      <c r="G2186" s="6">
        <f t="shared" si="34"/>
        <v>350000</v>
      </c>
    </row>
    <row r="2187" spans="1:8" hidden="1" x14ac:dyDescent="0.25">
      <c r="A2187" s="116">
        <v>44252</v>
      </c>
      <c r="B2187" s="10" t="s">
        <v>1407</v>
      </c>
      <c r="C2187" s="11" t="s">
        <v>6867</v>
      </c>
      <c r="E2187" s="8">
        <v>836000</v>
      </c>
      <c r="G2187" s="6">
        <f t="shared" si="34"/>
        <v>836000</v>
      </c>
    </row>
    <row r="2188" spans="1:8" hidden="1" x14ac:dyDescent="0.25">
      <c r="A2188" s="116">
        <v>44258</v>
      </c>
      <c r="B2188" s="10" t="s">
        <v>6568</v>
      </c>
      <c r="C2188" s="11" t="s">
        <v>3039</v>
      </c>
      <c r="E2188" s="8">
        <v>14000</v>
      </c>
      <c r="G2188" s="6">
        <f t="shared" si="34"/>
        <v>14000</v>
      </c>
    </row>
    <row r="2189" spans="1:8" hidden="1" x14ac:dyDescent="0.25">
      <c r="A2189" s="116">
        <v>44261</v>
      </c>
      <c r="B2189" s="10" t="s">
        <v>1407</v>
      </c>
      <c r="C2189" s="11" t="s">
        <v>164</v>
      </c>
      <c r="E2189" s="8">
        <v>2245</v>
      </c>
      <c r="G2189" s="6">
        <f t="shared" si="34"/>
        <v>2245</v>
      </c>
    </row>
    <row r="2190" spans="1:8" hidden="1" x14ac:dyDescent="0.25">
      <c r="A2190" s="116">
        <v>44261</v>
      </c>
      <c r="B2190" s="10" t="s">
        <v>1407</v>
      </c>
      <c r="C2190" s="11" t="s">
        <v>5731</v>
      </c>
      <c r="D2190" s="784" t="s">
        <v>9074</v>
      </c>
      <c r="E2190" s="8">
        <v>17000</v>
      </c>
      <c r="G2190" s="6">
        <f t="shared" si="34"/>
        <v>17000</v>
      </c>
    </row>
    <row r="2191" spans="1:8" hidden="1" x14ac:dyDescent="0.25">
      <c r="A2191" s="116">
        <v>44261</v>
      </c>
      <c r="B2191" s="10" t="s">
        <v>6463</v>
      </c>
      <c r="C2191" s="11" t="s">
        <v>166</v>
      </c>
      <c r="F2191" s="9">
        <v>150000</v>
      </c>
      <c r="G2191" s="6">
        <f t="shared" si="34"/>
        <v>-150000</v>
      </c>
      <c r="H2191" s="1218" t="s">
        <v>6737</v>
      </c>
    </row>
    <row r="2192" spans="1:8" hidden="1" x14ac:dyDescent="0.25">
      <c r="A2192" s="116">
        <v>44261</v>
      </c>
      <c r="B2192" s="10" t="s">
        <v>1407</v>
      </c>
      <c r="C2192" s="11" t="s">
        <v>166</v>
      </c>
      <c r="F2192" s="9">
        <v>50000</v>
      </c>
      <c r="G2192" s="6">
        <f t="shared" ref="G2192" si="35">E2192-F2192</f>
        <v>-50000</v>
      </c>
      <c r="H2192" s="1218"/>
    </row>
    <row r="2193" spans="1:8" hidden="1" x14ac:dyDescent="0.25">
      <c r="A2193" s="116">
        <v>44263</v>
      </c>
      <c r="B2193" s="10" t="s">
        <v>6565</v>
      </c>
      <c r="C2193" s="11" t="s">
        <v>4853</v>
      </c>
      <c r="F2193" s="9">
        <v>300000</v>
      </c>
      <c r="G2193" s="6">
        <f t="shared" si="34"/>
        <v>-300000</v>
      </c>
      <c r="H2193" s="7" t="s">
        <v>6750</v>
      </c>
    </row>
    <row r="2194" spans="1:8" hidden="1" x14ac:dyDescent="0.25">
      <c r="A2194" s="116">
        <v>44264</v>
      </c>
      <c r="B2194" s="10" t="s">
        <v>2675</v>
      </c>
      <c r="C2194" s="11" t="s">
        <v>5731</v>
      </c>
      <c r="F2194" s="9">
        <v>5800</v>
      </c>
      <c r="G2194" s="6">
        <f t="shared" si="34"/>
        <v>-5800</v>
      </c>
      <c r="H2194" s="81"/>
    </row>
    <row r="2195" spans="1:8" hidden="1" x14ac:dyDescent="0.25">
      <c r="A2195" s="116">
        <v>44264</v>
      </c>
      <c r="B2195" s="10" t="s">
        <v>6303</v>
      </c>
      <c r="C2195" s="11" t="s">
        <v>5731</v>
      </c>
      <c r="F2195" s="9">
        <v>6500</v>
      </c>
      <c r="G2195" s="6">
        <f t="shared" si="34"/>
        <v>-6500</v>
      </c>
      <c r="H2195" s="82" t="s">
        <v>6756</v>
      </c>
    </row>
    <row r="2196" spans="1:8" hidden="1" x14ac:dyDescent="0.25">
      <c r="A2196" s="116">
        <v>44264</v>
      </c>
      <c r="B2196" s="10" t="s">
        <v>2957</v>
      </c>
      <c r="C2196" s="11" t="s">
        <v>5731</v>
      </c>
      <c r="F2196" s="9">
        <v>25500</v>
      </c>
      <c r="G2196" s="6">
        <f t="shared" si="34"/>
        <v>-25500</v>
      </c>
      <c r="H2196" s="82"/>
    </row>
    <row r="2197" spans="1:8" hidden="1" x14ac:dyDescent="0.25">
      <c r="A2197" s="116">
        <v>44264</v>
      </c>
      <c r="B2197" s="10" t="s">
        <v>1407</v>
      </c>
      <c r="C2197" s="11" t="s">
        <v>5731</v>
      </c>
      <c r="F2197" s="9">
        <v>102200</v>
      </c>
      <c r="G2197" s="6">
        <f t="shared" si="34"/>
        <v>-102200</v>
      </c>
      <c r="H2197" s="83"/>
    </row>
    <row r="2198" spans="1:8" hidden="1" x14ac:dyDescent="0.25">
      <c r="A2198" s="116">
        <v>44250</v>
      </c>
      <c r="B2198" s="10" t="s">
        <v>6463</v>
      </c>
      <c r="C2198" s="11" t="s">
        <v>4853</v>
      </c>
      <c r="E2198" s="8">
        <v>17850</v>
      </c>
      <c r="G2198" s="6">
        <f t="shared" si="34"/>
        <v>17850</v>
      </c>
    </row>
    <row r="2199" spans="1:8" hidden="1" x14ac:dyDescent="0.25">
      <c r="A2199" s="116">
        <v>44251</v>
      </c>
      <c r="B2199" s="10" t="s">
        <v>6463</v>
      </c>
      <c r="C2199" s="11" t="s">
        <v>4853</v>
      </c>
      <c r="E2199" s="8">
        <v>53512</v>
      </c>
      <c r="G2199" s="6">
        <f t="shared" si="34"/>
        <v>53512</v>
      </c>
    </row>
    <row r="2200" spans="1:8" hidden="1" x14ac:dyDescent="0.25">
      <c r="A2200" s="116">
        <v>44251</v>
      </c>
      <c r="B2200" s="10" t="s">
        <v>6463</v>
      </c>
      <c r="C2200" s="11" t="s">
        <v>4853</v>
      </c>
      <c r="E2200" s="8">
        <v>30649</v>
      </c>
      <c r="G2200" s="6">
        <f t="shared" si="34"/>
        <v>30649</v>
      </c>
    </row>
    <row r="2201" spans="1:8" hidden="1" x14ac:dyDescent="0.25">
      <c r="A2201" s="116">
        <v>44252</v>
      </c>
      <c r="B2201" s="10" t="s">
        <v>6565</v>
      </c>
      <c r="C2201" s="11" t="s">
        <v>4853</v>
      </c>
      <c r="E2201" s="8">
        <v>5372</v>
      </c>
      <c r="G2201" s="6">
        <f t="shared" si="34"/>
        <v>5372</v>
      </c>
    </row>
    <row r="2202" spans="1:8" hidden="1" x14ac:dyDescent="0.25">
      <c r="A2202" s="116">
        <v>44230</v>
      </c>
      <c r="B2202" s="10" t="s">
        <v>6564</v>
      </c>
      <c r="C2202" s="11" t="s">
        <v>161</v>
      </c>
      <c r="E2202" s="8">
        <v>10715</v>
      </c>
      <c r="G2202" s="6">
        <f t="shared" si="34"/>
        <v>10715</v>
      </c>
    </row>
    <row r="2203" spans="1:8" hidden="1" x14ac:dyDescent="0.25">
      <c r="A2203" s="116">
        <v>44244</v>
      </c>
      <c r="B2203" s="10" t="s">
        <v>6564</v>
      </c>
      <c r="C2203" s="11" t="s">
        <v>161</v>
      </c>
      <c r="E2203" s="8">
        <v>24623</v>
      </c>
      <c r="G2203" s="6">
        <f t="shared" si="34"/>
        <v>24623</v>
      </c>
    </row>
    <row r="2204" spans="1:8" hidden="1" x14ac:dyDescent="0.25">
      <c r="A2204" s="116">
        <v>44244</v>
      </c>
      <c r="B2204" s="10" t="s">
        <v>6575</v>
      </c>
      <c r="C2204" s="11" t="s">
        <v>161</v>
      </c>
      <c r="E2204" s="8">
        <v>368357</v>
      </c>
      <c r="G2204" s="6">
        <f t="shared" ref="G2204:G2226" si="36">E2204-F2204</f>
        <v>368357</v>
      </c>
    </row>
    <row r="2205" spans="1:8" hidden="1" x14ac:dyDescent="0.25">
      <c r="A2205" s="116">
        <v>44251</v>
      </c>
      <c r="B2205" s="10" t="s">
        <v>6564</v>
      </c>
      <c r="C2205" s="11" t="s">
        <v>161</v>
      </c>
      <c r="E2205" s="8">
        <v>13100</v>
      </c>
      <c r="G2205" s="6">
        <f t="shared" si="36"/>
        <v>13100</v>
      </c>
    </row>
    <row r="2206" spans="1:8" hidden="1" x14ac:dyDescent="0.25">
      <c r="A2206" s="116">
        <v>44251</v>
      </c>
      <c r="B2206" s="10" t="s">
        <v>6575</v>
      </c>
      <c r="C2206" s="11" t="s">
        <v>161</v>
      </c>
      <c r="E2206" s="8">
        <v>16104</v>
      </c>
      <c r="G2206" s="6">
        <f t="shared" si="36"/>
        <v>16104</v>
      </c>
    </row>
    <row r="2207" spans="1:8" hidden="1" x14ac:dyDescent="0.25">
      <c r="A2207" s="116">
        <v>44268</v>
      </c>
      <c r="B2207" s="10" t="s">
        <v>6157</v>
      </c>
      <c r="C2207" s="11" t="s">
        <v>1816</v>
      </c>
      <c r="F2207" s="9">
        <v>26398</v>
      </c>
      <c r="G2207" s="6">
        <f t="shared" si="36"/>
        <v>-26398</v>
      </c>
      <c r="H2207" s="81"/>
    </row>
    <row r="2208" spans="1:8" ht="110.25" hidden="1" x14ac:dyDescent="0.25">
      <c r="A2208" s="116">
        <v>44268</v>
      </c>
      <c r="B2208" s="10" t="s">
        <v>18</v>
      </c>
      <c r="C2208" s="11" t="s">
        <v>1816</v>
      </c>
      <c r="F2208" s="9">
        <v>78599</v>
      </c>
      <c r="G2208" s="6">
        <f t="shared" si="36"/>
        <v>-78599</v>
      </c>
      <c r="H2208" s="248" t="s">
        <v>6850</v>
      </c>
    </row>
    <row r="2209" spans="1:8" hidden="1" x14ac:dyDescent="0.25">
      <c r="A2209" s="116">
        <v>44268</v>
      </c>
      <c r="B2209" s="10" t="s">
        <v>2675</v>
      </c>
      <c r="C2209" s="11" t="s">
        <v>1816</v>
      </c>
      <c r="F2209" s="9">
        <v>116065</v>
      </c>
      <c r="G2209" s="6">
        <f t="shared" si="36"/>
        <v>-116065</v>
      </c>
      <c r="H2209" s="82"/>
    </row>
    <row r="2210" spans="1:8" hidden="1" x14ac:dyDescent="0.25">
      <c r="A2210" s="116">
        <v>44268</v>
      </c>
      <c r="B2210" s="10" t="s">
        <v>1407</v>
      </c>
      <c r="C2210" s="11" t="s">
        <v>1816</v>
      </c>
      <c r="F2210" s="9">
        <v>266438</v>
      </c>
      <c r="G2210" s="6">
        <f t="shared" si="36"/>
        <v>-266438</v>
      </c>
      <c r="H2210" s="83"/>
    </row>
    <row r="2211" spans="1:8" hidden="1" x14ac:dyDescent="0.25">
      <c r="A2211" s="116">
        <v>44268</v>
      </c>
      <c r="B2211" s="10" t="s">
        <v>1407</v>
      </c>
      <c r="C2211" s="11" t="s">
        <v>1816</v>
      </c>
      <c r="E2211" s="8">
        <v>25566</v>
      </c>
      <c r="G2211" s="6">
        <f t="shared" si="36"/>
        <v>25566</v>
      </c>
    </row>
    <row r="2212" spans="1:8" hidden="1" x14ac:dyDescent="0.25">
      <c r="A2212" s="116">
        <v>44268</v>
      </c>
      <c r="B2212" s="10" t="s">
        <v>6568</v>
      </c>
      <c r="C2212" s="11" t="s">
        <v>1816</v>
      </c>
      <c r="E2212" s="8">
        <v>6410</v>
      </c>
      <c r="G2212" s="6">
        <f t="shared" si="36"/>
        <v>6410</v>
      </c>
    </row>
    <row r="2213" spans="1:8" hidden="1" x14ac:dyDescent="0.25">
      <c r="A2213" s="116">
        <v>44268</v>
      </c>
      <c r="B2213" s="10" t="s">
        <v>1407</v>
      </c>
      <c r="C2213" s="11" t="s">
        <v>1816</v>
      </c>
      <c r="E2213" s="8">
        <v>14042</v>
      </c>
      <c r="G2213" s="6">
        <f t="shared" si="36"/>
        <v>14042</v>
      </c>
    </row>
    <row r="2214" spans="1:8" hidden="1" x14ac:dyDescent="0.25">
      <c r="A2214" s="116">
        <v>44268</v>
      </c>
      <c r="B2214" s="10" t="s">
        <v>6779</v>
      </c>
      <c r="C2214" s="11" t="s">
        <v>1816</v>
      </c>
      <c r="E2214" s="8">
        <v>58990</v>
      </c>
      <c r="G2214" s="6">
        <f t="shared" si="36"/>
        <v>58990</v>
      </c>
    </row>
    <row r="2215" spans="1:8" hidden="1" x14ac:dyDescent="0.25">
      <c r="A2215" s="116">
        <v>44268</v>
      </c>
      <c r="B2215" s="10" t="s">
        <v>6575</v>
      </c>
      <c r="C2215" s="11" t="s">
        <v>1816</v>
      </c>
      <c r="E2215" s="8">
        <v>82220</v>
      </c>
      <c r="G2215" s="6">
        <f t="shared" si="36"/>
        <v>82220</v>
      </c>
    </row>
    <row r="2216" spans="1:8" hidden="1" x14ac:dyDescent="0.25">
      <c r="A2216" s="116">
        <v>44268</v>
      </c>
      <c r="B2216" s="10" t="s">
        <v>6463</v>
      </c>
      <c r="C2216" s="11" t="s">
        <v>1816</v>
      </c>
      <c r="E2216" s="8">
        <v>67370</v>
      </c>
      <c r="G2216" s="6">
        <f t="shared" si="36"/>
        <v>67370</v>
      </c>
      <c r="H2216" s="134"/>
    </row>
    <row r="2217" spans="1:8" hidden="1" x14ac:dyDescent="0.25">
      <c r="A2217" s="116">
        <v>44268</v>
      </c>
      <c r="B2217" s="10" t="s">
        <v>6779</v>
      </c>
      <c r="C2217" s="11" t="s">
        <v>1816</v>
      </c>
      <c r="E2217" s="8">
        <v>84612</v>
      </c>
      <c r="G2217" s="6">
        <f t="shared" si="36"/>
        <v>84612</v>
      </c>
    </row>
    <row r="2218" spans="1:8" hidden="1" x14ac:dyDescent="0.25">
      <c r="A2218" s="116">
        <v>44268</v>
      </c>
      <c r="B2218" s="10" t="s">
        <v>6463</v>
      </c>
      <c r="C2218" s="11" t="s">
        <v>1816</v>
      </c>
      <c r="E2218" s="8">
        <v>14517</v>
      </c>
      <c r="G2218" s="6">
        <f t="shared" si="36"/>
        <v>14517</v>
      </c>
    </row>
    <row r="2219" spans="1:8" hidden="1" x14ac:dyDescent="0.25">
      <c r="A2219" s="116">
        <v>44264</v>
      </c>
      <c r="B2219" s="10" t="s">
        <v>6568</v>
      </c>
      <c r="C2219" s="11" t="s">
        <v>440</v>
      </c>
      <c r="E2219" s="8">
        <v>73360</v>
      </c>
      <c r="G2219" s="6">
        <f t="shared" si="36"/>
        <v>73360</v>
      </c>
    </row>
    <row r="2220" spans="1:8" hidden="1" x14ac:dyDescent="0.25">
      <c r="A2220" s="116">
        <v>44264</v>
      </c>
      <c r="B2220" s="10" t="s">
        <v>6463</v>
      </c>
      <c r="C2220" s="11" t="s">
        <v>440</v>
      </c>
      <c r="E2220" s="8">
        <v>7970</v>
      </c>
      <c r="G2220" s="6">
        <f t="shared" si="36"/>
        <v>7970</v>
      </c>
    </row>
    <row r="2221" spans="1:8" hidden="1" x14ac:dyDescent="0.25">
      <c r="A2221" s="116">
        <v>44264</v>
      </c>
      <c r="B2221" s="10" t="s">
        <v>1407</v>
      </c>
      <c r="C2221" s="11" t="s">
        <v>440</v>
      </c>
      <c r="E2221" s="8">
        <v>21500</v>
      </c>
      <c r="G2221" s="6">
        <f t="shared" si="36"/>
        <v>21500</v>
      </c>
    </row>
    <row r="2222" spans="1:8" hidden="1" x14ac:dyDescent="0.25">
      <c r="A2222" s="116">
        <v>44280</v>
      </c>
      <c r="B2222" s="10" t="s">
        <v>6463</v>
      </c>
      <c r="C2222" s="11" t="s">
        <v>440</v>
      </c>
      <c r="E2222" s="8">
        <v>2900</v>
      </c>
      <c r="G2222" s="6">
        <f t="shared" si="36"/>
        <v>2900</v>
      </c>
    </row>
    <row r="2223" spans="1:8" hidden="1" x14ac:dyDescent="0.25">
      <c r="A2223" s="116">
        <v>44267</v>
      </c>
      <c r="B2223" s="10" t="s">
        <v>6575</v>
      </c>
      <c r="C2223" s="11" t="s">
        <v>180</v>
      </c>
      <c r="E2223" s="8">
        <v>30000</v>
      </c>
      <c r="G2223" s="6">
        <f t="shared" si="36"/>
        <v>30000</v>
      </c>
    </row>
    <row r="2224" spans="1:8" hidden="1" x14ac:dyDescent="0.25">
      <c r="A2224" s="116">
        <v>44268</v>
      </c>
      <c r="B2224" s="10" t="s">
        <v>6575</v>
      </c>
      <c r="C2224" s="11" t="s">
        <v>169</v>
      </c>
      <c r="E2224" s="8">
        <v>10140</v>
      </c>
      <c r="G2224" s="6">
        <f t="shared" si="36"/>
        <v>10140</v>
      </c>
    </row>
    <row r="2225" spans="1:8" hidden="1" x14ac:dyDescent="0.25">
      <c r="A2225" s="116">
        <v>44230</v>
      </c>
      <c r="B2225" s="10" t="s">
        <v>6564</v>
      </c>
      <c r="C2225" s="11" t="s">
        <v>161</v>
      </c>
      <c r="F2225" s="9">
        <v>10715</v>
      </c>
      <c r="G2225" s="6">
        <f t="shared" si="36"/>
        <v>-10715</v>
      </c>
      <c r="H2225" s="127"/>
    </row>
    <row r="2226" spans="1:8" hidden="1" x14ac:dyDescent="0.25">
      <c r="A2226" s="116">
        <v>44244</v>
      </c>
      <c r="B2226" s="10" t="s">
        <v>6564</v>
      </c>
      <c r="C2226" s="11" t="s">
        <v>161</v>
      </c>
      <c r="F2226" s="9">
        <v>24623</v>
      </c>
      <c r="G2226" s="6">
        <f t="shared" si="36"/>
        <v>-24623</v>
      </c>
      <c r="H2226" s="127"/>
    </row>
    <row r="2227" spans="1:8" ht="94.5" hidden="1" x14ac:dyDescent="0.25">
      <c r="A2227" s="116">
        <v>44244</v>
      </c>
      <c r="B2227" s="10" t="s">
        <v>6575</v>
      </c>
      <c r="C2227" s="11" t="s">
        <v>161</v>
      </c>
      <c r="F2227" s="9">
        <v>368357</v>
      </c>
      <c r="G2227" s="6">
        <f t="shared" ref="G2227:G2382" si="37">E2227-F2227</f>
        <v>-368357</v>
      </c>
      <c r="H2227" s="637" t="s">
        <v>6768</v>
      </c>
    </row>
    <row r="2228" spans="1:8" hidden="1" x14ac:dyDescent="0.25">
      <c r="A2228" s="116">
        <v>44251</v>
      </c>
      <c r="B2228" s="10" t="s">
        <v>6564</v>
      </c>
      <c r="C2228" s="11" t="s">
        <v>161</v>
      </c>
      <c r="F2228" s="9">
        <v>13100</v>
      </c>
      <c r="G2228" s="6">
        <f t="shared" si="37"/>
        <v>-13100</v>
      </c>
      <c r="H2228" s="127"/>
    </row>
    <row r="2229" spans="1:8" hidden="1" x14ac:dyDescent="0.25">
      <c r="A2229" s="116">
        <v>44251</v>
      </c>
      <c r="B2229" s="10" t="s">
        <v>6575</v>
      </c>
      <c r="C2229" s="11" t="s">
        <v>161</v>
      </c>
      <c r="F2229" s="9">
        <v>16104</v>
      </c>
      <c r="G2229" s="6">
        <f t="shared" si="37"/>
        <v>-16104</v>
      </c>
      <c r="H2229" s="127"/>
    </row>
    <row r="2230" spans="1:8" hidden="1" x14ac:dyDescent="0.25">
      <c r="A2230" s="116">
        <v>44251</v>
      </c>
      <c r="G2230" s="6">
        <f t="shared" si="37"/>
        <v>0</v>
      </c>
    </row>
    <row r="2231" spans="1:8" hidden="1" x14ac:dyDescent="0.25">
      <c r="A2231" s="116">
        <v>44299</v>
      </c>
      <c r="B2231" s="10" t="s">
        <v>6463</v>
      </c>
      <c r="C2231" s="11" t="s">
        <v>166</v>
      </c>
      <c r="E2231" s="8">
        <v>13975</v>
      </c>
      <c r="G2231" s="6">
        <f t="shared" ref="G2231:G2244" si="38">E2231-F2231</f>
        <v>13975</v>
      </c>
    </row>
    <row r="2232" spans="1:8" hidden="1" x14ac:dyDescent="0.25">
      <c r="A2232" s="116">
        <v>44299</v>
      </c>
      <c r="B2232" s="10" t="s">
        <v>6463</v>
      </c>
      <c r="C2232" s="11" t="s">
        <v>166</v>
      </c>
      <c r="E2232" s="8">
        <v>4675</v>
      </c>
      <c r="G2232" s="6">
        <f t="shared" si="38"/>
        <v>4675</v>
      </c>
    </row>
    <row r="2233" spans="1:8" hidden="1" x14ac:dyDescent="0.25">
      <c r="A2233" s="116">
        <v>44299</v>
      </c>
      <c r="B2233" s="10" t="s">
        <v>6463</v>
      </c>
      <c r="C2233" s="11" t="s">
        <v>166</v>
      </c>
      <c r="E2233" s="8">
        <v>18400</v>
      </c>
      <c r="G2233" s="6">
        <f t="shared" si="38"/>
        <v>18400</v>
      </c>
    </row>
    <row r="2234" spans="1:8" hidden="1" x14ac:dyDescent="0.25">
      <c r="A2234" s="116">
        <v>44299</v>
      </c>
      <c r="B2234" s="10" t="s">
        <v>1407</v>
      </c>
      <c r="C2234" s="11" t="s">
        <v>166</v>
      </c>
      <c r="E2234" s="8">
        <v>2120</v>
      </c>
      <c r="G2234" s="6">
        <f t="shared" si="38"/>
        <v>2120</v>
      </c>
    </row>
    <row r="2235" spans="1:8" hidden="1" x14ac:dyDescent="0.25">
      <c r="A2235" s="116">
        <v>44299</v>
      </c>
      <c r="B2235" s="10" t="s">
        <v>6568</v>
      </c>
      <c r="C2235" s="11" t="s">
        <v>166</v>
      </c>
      <c r="E2235" s="8">
        <v>15875</v>
      </c>
      <c r="G2235" s="6">
        <f t="shared" si="38"/>
        <v>15875</v>
      </c>
    </row>
    <row r="2236" spans="1:8" hidden="1" x14ac:dyDescent="0.25">
      <c r="A2236" s="116">
        <v>44299</v>
      </c>
      <c r="B2236" s="10" t="s">
        <v>6568</v>
      </c>
      <c r="C2236" s="11" t="s">
        <v>166</v>
      </c>
      <c r="E2236" s="8">
        <v>2320</v>
      </c>
      <c r="G2236" s="6">
        <f t="shared" si="38"/>
        <v>2320</v>
      </c>
    </row>
    <row r="2237" spans="1:8" hidden="1" x14ac:dyDescent="0.25">
      <c r="A2237" s="116">
        <v>44299</v>
      </c>
      <c r="B2237" s="10" t="s">
        <v>6463</v>
      </c>
      <c r="C2237" s="11" t="s">
        <v>166</v>
      </c>
      <c r="E2237" s="8">
        <v>7800</v>
      </c>
      <c r="G2237" s="6">
        <f t="shared" si="38"/>
        <v>7800</v>
      </c>
    </row>
    <row r="2238" spans="1:8" hidden="1" x14ac:dyDescent="0.25">
      <c r="A2238" s="116">
        <v>44299</v>
      </c>
      <c r="B2238" s="10" t="s">
        <v>6463</v>
      </c>
      <c r="C2238" s="11" t="s">
        <v>166</v>
      </c>
      <c r="E2238" s="8">
        <v>6000</v>
      </c>
      <c r="G2238" s="6">
        <f t="shared" si="38"/>
        <v>6000</v>
      </c>
    </row>
    <row r="2239" spans="1:8" hidden="1" x14ac:dyDescent="0.25">
      <c r="A2239" s="116">
        <v>44299</v>
      </c>
      <c r="B2239" s="10" t="s">
        <v>6463</v>
      </c>
      <c r="C2239" s="11" t="s">
        <v>166</v>
      </c>
      <c r="E2239" s="8">
        <v>2515</v>
      </c>
      <c r="G2239" s="6">
        <f t="shared" si="38"/>
        <v>2515</v>
      </c>
    </row>
    <row r="2240" spans="1:8" hidden="1" x14ac:dyDescent="0.25">
      <c r="A2240" s="116">
        <v>44299</v>
      </c>
      <c r="B2240" s="10" t="s">
        <v>6463</v>
      </c>
      <c r="C2240" s="11" t="s">
        <v>166</v>
      </c>
      <c r="E2240" s="8">
        <v>5300</v>
      </c>
      <c r="G2240" s="6">
        <f t="shared" si="38"/>
        <v>5300</v>
      </c>
    </row>
    <row r="2241" spans="1:7" hidden="1" x14ac:dyDescent="0.25">
      <c r="A2241" s="116">
        <v>44299</v>
      </c>
      <c r="B2241" s="10" t="s">
        <v>6463</v>
      </c>
      <c r="C2241" s="11" t="s">
        <v>166</v>
      </c>
      <c r="E2241" s="8">
        <v>15600</v>
      </c>
      <c r="G2241" s="6">
        <f t="shared" si="38"/>
        <v>15600</v>
      </c>
    </row>
    <row r="2242" spans="1:7" hidden="1" x14ac:dyDescent="0.25">
      <c r="A2242" s="116">
        <v>44299</v>
      </c>
      <c r="B2242" s="10" t="s">
        <v>6463</v>
      </c>
      <c r="C2242" s="11" t="s">
        <v>166</v>
      </c>
      <c r="E2242" s="8">
        <v>5000</v>
      </c>
      <c r="G2242" s="6">
        <f t="shared" si="38"/>
        <v>5000</v>
      </c>
    </row>
    <row r="2243" spans="1:7" hidden="1" x14ac:dyDescent="0.25">
      <c r="A2243" s="116">
        <v>44299</v>
      </c>
      <c r="B2243" s="10" t="s">
        <v>6463</v>
      </c>
      <c r="C2243" s="11" t="s">
        <v>166</v>
      </c>
      <c r="E2243" s="8">
        <v>23400</v>
      </c>
      <c r="G2243" s="6">
        <f t="shared" si="38"/>
        <v>23400</v>
      </c>
    </row>
    <row r="2244" spans="1:7" hidden="1" x14ac:dyDescent="0.25">
      <c r="A2244" s="116">
        <v>44299</v>
      </c>
      <c r="B2244" s="10" t="s">
        <v>6463</v>
      </c>
      <c r="C2244" s="11" t="s">
        <v>166</v>
      </c>
      <c r="E2244" s="8">
        <v>4940</v>
      </c>
      <c r="G2244" s="6">
        <f t="shared" si="38"/>
        <v>4940</v>
      </c>
    </row>
    <row r="2245" spans="1:7" hidden="1" x14ac:dyDescent="0.25">
      <c r="A2245" s="116">
        <v>44271</v>
      </c>
      <c r="B2245" s="10" t="s">
        <v>6568</v>
      </c>
      <c r="C2245" s="11" t="s">
        <v>166</v>
      </c>
      <c r="E2245" s="8">
        <v>9000</v>
      </c>
      <c r="G2245" s="6">
        <f t="shared" si="37"/>
        <v>9000</v>
      </c>
    </row>
    <row r="2246" spans="1:7" hidden="1" x14ac:dyDescent="0.25">
      <c r="A2246" s="116">
        <v>44271</v>
      </c>
      <c r="B2246" s="10" t="s">
        <v>1407</v>
      </c>
      <c r="C2246" s="11" t="s">
        <v>166</v>
      </c>
      <c r="E2246" s="8">
        <v>46200</v>
      </c>
      <c r="G2246" s="6">
        <f t="shared" si="37"/>
        <v>46200</v>
      </c>
    </row>
    <row r="2247" spans="1:7" hidden="1" x14ac:dyDescent="0.25">
      <c r="A2247" s="116">
        <v>44274</v>
      </c>
      <c r="B2247" s="10" t="s">
        <v>1407</v>
      </c>
      <c r="C2247" s="11" t="s">
        <v>5731</v>
      </c>
      <c r="D2247" s="784" t="s">
        <v>9075</v>
      </c>
      <c r="E2247" s="8">
        <v>18600</v>
      </c>
      <c r="G2247" s="6">
        <f t="shared" si="37"/>
        <v>18600</v>
      </c>
    </row>
    <row r="2248" spans="1:7" hidden="1" x14ac:dyDescent="0.25">
      <c r="A2248" s="116">
        <v>44274</v>
      </c>
      <c r="B2248" s="10" t="s">
        <v>1407</v>
      </c>
      <c r="C2248" s="11" t="s">
        <v>5731</v>
      </c>
      <c r="D2248" s="784" t="s">
        <v>9352</v>
      </c>
      <c r="E2248" s="8">
        <v>63200</v>
      </c>
      <c r="G2248" s="6">
        <f t="shared" si="37"/>
        <v>63200</v>
      </c>
    </row>
    <row r="2249" spans="1:7" hidden="1" x14ac:dyDescent="0.25">
      <c r="A2249" s="116">
        <v>44264</v>
      </c>
      <c r="B2249" s="10" t="s">
        <v>6565</v>
      </c>
      <c r="C2249" s="11" t="s">
        <v>1816</v>
      </c>
      <c r="D2249" s="784">
        <v>223</v>
      </c>
      <c r="E2249" s="299">
        <v>149055</v>
      </c>
      <c r="G2249" s="6">
        <f t="shared" si="37"/>
        <v>149055</v>
      </c>
    </row>
    <row r="2250" spans="1:7" hidden="1" x14ac:dyDescent="0.25">
      <c r="A2250" s="116">
        <v>44265</v>
      </c>
      <c r="B2250" s="10" t="s">
        <v>6779</v>
      </c>
      <c r="C2250" s="11" t="s">
        <v>1816</v>
      </c>
      <c r="D2250" s="784">
        <v>261</v>
      </c>
      <c r="E2250" s="8">
        <v>68784</v>
      </c>
      <c r="G2250" s="6">
        <f t="shared" si="37"/>
        <v>68784</v>
      </c>
    </row>
    <row r="2251" spans="1:7" hidden="1" x14ac:dyDescent="0.25">
      <c r="A2251" s="116">
        <v>44268</v>
      </c>
      <c r="B2251" s="10" t="s">
        <v>6568</v>
      </c>
      <c r="C2251" s="11" t="s">
        <v>1816</v>
      </c>
      <c r="D2251" s="784">
        <v>336</v>
      </c>
      <c r="E2251" s="8">
        <v>9691</v>
      </c>
      <c r="G2251" s="6">
        <f t="shared" si="37"/>
        <v>9691</v>
      </c>
    </row>
    <row r="2252" spans="1:7" hidden="1" x14ac:dyDescent="0.25">
      <c r="A2252" s="116">
        <v>44268</v>
      </c>
      <c r="B2252" s="10" t="s">
        <v>6779</v>
      </c>
      <c r="C2252" s="11" t="s">
        <v>1816</v>
      </c>
      <c r="D2252" s="784">
        <v>337</v>
      </c>
      <c r="E2252" s="8">
        <v>15953</v>
      </c>
      <c r="G2252" s="6">
        <f t="shared" si="37"/>
        <v>15953</v>
      </c>
    </row>
    <row r="2253" spans="1:7" hidden="1" x14ac:dyDescent="0.25">
      <c r="A2253" s="116">
        <v>44271</v>
      </c>
      <c r="B2253" s="10" t="s">
        <v>6565</v>
      </c>
      <c r="C2253" s="11" t="s">
        <v>1816</v>
      </c>
      <c r="D2253" s="784">
        <v>403</v>
      </c>
      <c r="E2253" s="8">
        <v>8000</v>
      </c>
      <c r="G2253" s="6">
        <f t="shared" si="37"/>
        <v>8000</v>
      </c>
    </row>
    <row r="2254" spans="1:7" hidden="1" x14ac:dyDescent="0.25">
      <c r="A2254" s="116">
        <v>44271</v>
      </c>
      <c r="B2254" s="10" t="s">
        <v>6463</v>
      </c>
      <c r="C2254" s="11" t="s">
        <v>1816</v>
      </c>
      <c r="D2254" s="785" t="s">
        <v>6824</v>
      </c>
      <c r="E2254" s="8">
        <v>21517</v>
      </c>
      <c r="G2254" s="6">
        <f t="shared" si="37"/>
        <v>21517</v>
      </c>
    </row>
    <row r="2255" spans="1:7" hidden="1" x14ac:dyDescent="0.25">
      <c r="A2255" s="116">
        <v>44271</v>
      </c>
      <c r="B2255" s="10" t="s">
        <v>6779</v>
      </c>
      <c r="C2255" s="11" t="s">
        <v>1816</v>
      </c>
      <c r="D2255" s="785" t="s">
        <v>6825</v>
      </c>
      <c r="E2255" s="8">
        <v>2281</v>
      </c>
      <c r="G2255" s="6">
        <f t="shared" si="37"/>
        <v>2281</v>
      </c>
    </row>
    <row r="2256" spans="1:7" hidden="1" x14ac:dyDescent="0.25">
      <c r="A2256" s="116">
        <v>44272</v>
      </c>
      <c r="B2256" s="10" t="s">
        <v>6565</v>
      </c>
      <c r="C2256" s="11" t="s">
        <v>1816</v>
      </c>
      <c r="D2256" s="784">
        <v>451</v>
      </c>
      <c r="E2256" s="8">
        <v>2858</v>
      </c>
      <c r="G2256" s="6">
        <f t="shared" si="37"/>
        <v>2858</v>
      </c>
    </row>
    <row r="2257" spans="1:8" hidden="1" x14ac:dyDescent="0.25">
      <c r="A2257" s="116">
        <v>44274</v>
      </c>
      <c r="B2257" s="10" t="s">
        <v>6565</v>
      </c>
      <c r="C2257" s="11" t="s">
        <v>1816</v>
      </c>
      <c r="D2257" s="784">
        <v>495</v>
      </c>
      <c r="E2257" s="8">
        <v>71428</v>
      </c>
      <c r="G2257" s="6">
        <f t="shared" si="37"/>
        <v>71428</v>
      </c>
    </row>
    <row r="2258" spans="1:8" ht="16.5" hidden="1" thickBot="1" x14ac:dyDescent="0.3">
      <c r="A2258" s="116">
        <v>44274</v>
      </c>
      <c r="B2258" s="10" t="s">
        <v>1407</v>
      </c>
      <c r="C2258" s="11" t="s">
        <v>1816</v>
      </c>
      <c r="D2258" s="784">
        <v>494</v>
      </c>
      <c r="E2258" s="300">
        <v>53174</v>
      </c>
      <c r="G2258" s="6">
        <f t="shared" si="37"/>
        <v>53174</v>
      </c>
    </row>
    <row r="2259" spans="1:8" hidden="1" x14ac:dyDescent="0.25">
      <c r="A2259" s="116">
        <v>44274</v>
      </c>
      <c r="B2259" s="10" t="s">
        <v>6565</v>
      </c>
      <c r="C2259" s="11" t="s">
        <v>1816</v>
      </c>
      <c r="D2259" s="784">
        <v>43</v>
      </c>
      <c r="F2259" s="9">
        <v>55691</v>
      </c>
      <c r="G2259" s="6">
        <f t="shared" si="37"/>
        <v>-55691</v>
      </c>
      <c r="H2259" s="7" t="s">
        <v>6563</v>
      </c>
    </row>
    <row r="2260" spans="1:8" hidden="1" x14ac:dyDescent="0.25">
      <c r="A2260" s="116">
        <v>44275</v>
      </c>
      <c r="B2260" s="10" t="s">
        <v>1407</v>
      </c>
      <c r="C2260" s="11" t="s">
        <v>1816</v>
      </c>
      <c r="D2260" s="784">
        <v>44</v>
      </c>
      <c r="F2260" s="9">
        <v>20120</v>
      </c>
      <c r="G2260" s="6">
        <f t="shared" si="37"/>
        <v>-20120</v>
      </c>
      <c r="H2260" s="7" t="s">
        <v>6563</v>
      </c>
    </row>
    <row r="2261" spans="1:8" hidden="1" x14ac:dyDescent="0.25">
      <c r="A2261" s="116">
        <v>44279</v>
      </c>
      <c r="B2261" s="10" t="s">
        <v>6463</v>
      </c>
      <c r="C2261" s="11" t="s">
        <v>3039</v>
      </c>
      <c r="D2261" s="784">
        <v>2</v>
      </c>
      <c r="E2261" s="8">
        <v>51450</v>
      </c>
      <c r="G2261" s="6">
        <f t="shared" si="37"/>
        <v>51450</v>
      </c>
    </row>
    <row r="2262" spans="1:8" hidden="1" x14ac:dyDescent="0.25">
      <c r="A2262" s="116">
        <v>44275</v>
      </c>
      <c r="B2262" s="10" t="s">
        <v>2957</v>
      </c>
      <c r="C2262" s="11" t="s">
        <v>6826</v>
      </c>
      <c r="D2262" s="784">
        <v>2103</v>
      </c>
      <c r="E2262" s="8">
        <v>61200</v>
      </c>
      <c r="G2262" s="6">
        <f t="shared" si="37"/>
        <v>61200</v>
      </c>
    </row>
    <row r="2263" spans="1:8" hidden="1" x14ac:dyDescent="0.25">
      <c r="A2263" s="116">
        <v>44277</v>
      </c>
      <c r="B2263" s="10" t="s">
        <v>6575</v>
      </c>
      <c r="C2263" s="11" t="s">
        <v>2327</v>
      </c>
      <c r="E2263" s="8">
        <v>68670</v>
      </c>
      <c r="G2263" s="6">
        <f t="shared" si="37"/>
        <v>68670</v>
      </c>
    </row>
    <row r="2264" spans="1:8" hidden="1" x14ac:dyDescent="0.25">
      <c r="A2264" s="116">
        <v>44281</v>
      </c>
      <c r="B2264" s="10" t="s">
        <v>6575</v>
      </c>
      <c r="C2264" s="11" t="s">
        <v>5113</v>
      </c>
      <c r="E2264" s="8">
        <v>312900</v>
      </c>
      <c r="G2264" s="6">
        <f t="shared" si="37"/>
        <v>312900</v>
      </c>
    </row>
    <row r="2265" spans="1:8" ht="16.5" hidden="1" thickBot="1" x14ac:dyDescent="0.3">
      <c r="A2265" s="116">
        <v>44284</v>
      </c>
      <c r="B2265" s="10" t="s">
        <v>6575</v>
      </c>
      <c r="C2265" s="11" t="s">
        <v>3738</v>
      </c>
      <c r="F2265" s="309">
        <v>150000</v>
      </c>
      <c r="G2265" s="6">
        <f t="shared" si="37"/>
        <v>-150000</v>
      </c>
      <c r="H2265" s="7" t="s">
        <v>6847</v>
      </c>
    </row>
    <row r="2266" spans="1:8" hidden="1" x14ac:dyDescent="0.25">
      <c r="A2266" s="116">
        <v>44284</v>
      </c>
      <c r="B2266" s="10" t="s">
        <v>5770</v>
      </c>
      <c r="C2266" s="11" t="s">
        <v>4853</v>
      </c>
      <c r="F2266" s="303">
        <v>11373</v>
      </c>
      <c r="G2266" s="6">
        <f t="shared" si="37"/>
        <v>-11373</v>
      </c>
      <c r="H2266" s="81"/>
    </row>
    <row r="2267" spans="1:8" hidden="1" x14ac:dyDescent="0.25">
      <c r="A2267" s="116">
        <v>44284</v>
      </c>
      <c r="B2267" s="10" t="s">
        <v>6463</v>
      </c>
      <c r="C2267" s="11" t="s">
        <v>4853</v>
      </c>
      <c r="F2267" s="9">
        <v>102011</v>
      </c>
      <c r="G2267" s="6">
        <f t="shared" si="37"/>
        <v>-102011</v>
      </c>
      <c r="H2267" s="82"/>
    </row>
    <row r="2268" spans="1:8" hidden="1" x14ac:dyDescent="0.25">
      <c r="A2268" s="116">
        <v>44284</v>
      </c>
      <c r="B2268" s="10" t="s">
        <v>6565</v>
      </c>
      <c r="C2268" s="11" t="s">
        <v>4853</v>
      </c>
      <c r="F2268" s="9">
        <v>36244</v>
      </c>
      <c r="G2268" s="6">
        <f t="shared" si="37"/>
        <v>-36244</v>
      </c>
      <c r="H2268" s="82" t="s">
        <v>6847</v>
      </c>
    </row>
    <row r="2269" spans="1:8" ht="16.5" hidden="1" thickBot="1" x14ac:dyDescent="0.3">
      <c r="A2269" s="116">
        <v>44284</v>
      </c>
      <c r="B2269" s="10" t="s">
        <v>6564</v>
      </c>
      <c r="C2269" s="11" t="s">
        <v>4853</v>
      </c>
      <c r="F2269" s="304">
        <v>372</v>
      </c>
      <c r="G2269" s="6">
        <f t="shared" si="37"/>
        <v>-372</v>
      </c>
      <c r="H2269" s="83"/>
    </row>
    <row r="2270" spans="1:8" hidden="1" x14ac:dyDescent="0.25">
      <c r="A2270" s="116">
        <v>44284</v>
      </c>
      <c r="B2270" s="10" t="s">
        <v>6575</v>
      </c>
      <c r="C2270" s="11" t="s">
        <v>2327</v>
      </c>
      <c r="E2270" s="8">
        <v>45350</v>
      </c>
      <c r="G2270" s="6">
        <f t="shared" si="37"/>
        <v>45350</v>
      </c>
    </row>
    <row r="2271" spans="1:8" hidden="1" x14ac:dyDescent="0.25">
      <c r="A2271" s="116">
        <v>44284</v>
      </c>
      <c r="B2271" s="10" t="s">
        <v>6575</v>
      </c>
      <c r="C2271" s="11" t="s">
        <v>2327</v>
      </c>
      <c r="F2271" s="9">
        <v>100000</v>
      </c>
      <c r="G2271" s="6">
        <f t="shared" si="37"/>
        <v>-100000</v>
      </c>
      <c r="H2271" s="7" t="s">
        <v>6847</v>
      </c>
    </row>
    <row r="2272" spans="1:8" hidden="1" x14ac:dyDescent="0.25">
      <c r="A2272" s="116">
        <v>44284</v>
      </c>
      <c r="B2272" s="10" t="s">
        <v>6463</v>
      </c>
      <c r="C2272" s="11" t="s">
        <v>3039</v>
      </c>
      <c r="F2272" s="9">
        <v>50000</v>
      </c>
      <c r="G2272" s="6">
        <f t="shared" si="37"/>
        <v>-50000</v>
      </c>
      <c r="H2272" s="7" t="s">
        <v>6847</v>
      </c>
    </row>
    <row r="2273" spans="1:8" hidden="1" x14ac:dyDescent="0.25">
      <c r="A2273" s="116">
        <v>44284</v>
      </c>
      <c r="B2273" s="10" t="s">
        <v>1407</v>
      </c>
      <c r="C2273" s="11" t="s">
        <v>6867</v>
      </c>
      <c r="F2273" s="9">
        <v>200000</v>
      </c>
      <c r="G2273" s="6">
        <f t="shared" si="37"/>
        <v>-200000</v>
      </c>
      <c r="H2273" s="7" t="s">
        <v>6847</v>
      </c>
    </row>
    <row r="2274" spans="1:8" hidden="1" x14ac:dyDescent="0.25">
      <c r="A2274" s="116">
        <v>44284</v>
      </c>
      <c r="B2274" s="10" t="s">
        <v>1407</v>
      </c>
      <c r="C2274" s="11" t="s">
        <v>5731</v>
      </c>
      <c r="F2274" s="9">
        <v>50000</v>
      </c>
      <c r="G2274" s="6">
        <f t="shared" si="37"/>
        <v>-50000</v>
      </c>
      <c r="H2274" s="7" t="s">
        <v>6847</v>
      </c>
    </row>
    <row r="2275" spans="1:8" hidden="1" x14ac:dyDescent="0.25">
      <c r="A2275" s="116">
        <v>44284</v>
      </c>
      <c r="B2275" s="10" t="s">
        <v>1407</v>
      </c>
      <c r="C2275" s="11" t="s">
        <v>164</v>
      </c>
      <c r="E2275" s="8">
        <v>121998</v>
      </c>
      <c r="G2275" s="6">
        <f t="shared" si="37"/>
        <v>121998</v>
      </c>
    </row>
    <row r="2276" spans="1:8" hidden="1" x14ac:dyDescent="0.25">
      <c r="A2276" s="116">
        <v>44284</v>
      </c>
      <c r="B2276" s="10" t="s">
        <v>1407</v>
      </c>
      <c r="C2276" s="11" t="s">
        <v>164</v>
      </c>
      <c r="F2276" s="9">
        <v>100000</v>
      </c>
      <c r="G2276" s="6">
        <f t="shared" si="37"/>
        <v>-100000</v>
      </c>
      <c r="H2276" s="7" t="s">
        <v>6847</v>
      </c>
    </row>
    <row r="2277" spans="1:8" hidden="1" x14ac:dyDescent="0.25">
      <c r="A2277" s="116">
        <v>44284</v>
      </c>
      <c r="B2277" s="10" t="s">
        <v>6564</v>
      </c>
      <c r="C2277" s="11" t="s">
        <v>180</v>
      </c>
      <c r="F2277" s="9">
        <v>21600</v>
      </c>
      <c r="G2277" s="6">
        <f t="shared" si="37"/>
        <v>-21600</v>
      </c>
      <c r="H2277" s="81"/>
    </row>
    <row r="2278" spans="1:8" hidden="1" x14ac:dyDescent="0.25">
      <c r="A2278" s="116">
        <v>44284</v>
      </c>
      <c r="B2278" s="10" t="s">
        <v>6575</v>
      </c>
      <c r="C2278" s="11" t="s">
        <v>180</v>
      </c>
      <c r="F2278" s="9">
        <v>30000</v>
      </c>
      <c r="G2278" s="6">
        <f t="shared" si="37"/>
        <v>-30000</v>
      </c>
      <c r="H2278" s="82" t="s">
        <v>6847</v>
      </c>
    </row>
    <row r="2279" spans="1:8" hidden="1" x14ac:dyDescent="0.25">
      <c r="A2279" s="116">
        <v>44284</v>
      </c>
      <c r="B2279" s="10" t="s">
        <v>2675</v>
      </c>
      <c r="C2279" s="11" t="s">
        <v>180</v>
      </c>
      <c r="F2279" s="9">
        <v>98400</v>
      </c>
      <c r="G2279" s="6">
        <f t="shared" si="37"/>
        <v>-98400</v>
      </c>
      <c r="H2279" s="83"/>
    </row>
    <row r="2280" spans="1:8" hidden="1" x14ac:dyDescent="0.25">
      <c r="A2280" s="116">
        <v>44285</v>
      </c>
      <c r="B2280" s="10" t="s">
        <v>6849</v>
      </c>
      <c r="C2280" s="11" t="s">
        <v>5113</v>
      </c>
      <c r="E2280" s="8">
        <v>300000</v>
      </c>
      <c r="G2280" s="6">
        <f t="shared" si="37"/>
        <v>300000</v>
      </c>
    </row>
    <row r="2281" spans="1:8" hidden="1" x14ac:dyDescent="0.25">
      <c r="A2281" s="116">
        <v>44286</v>
      </c>
      <c r="B2281" s="10" t="s">
        <v>6463</v>
      </c>
      <c r="C2281" s="11" t="s">
        <v>6868</v>
      </c>
      <c r="E2281" s="8">
        <v>48500</v>
      </c>
      <c r="G2281" s="6">
        <f t="shared" si="37"/>
        <v>48500</v>
      </c>
    </row>
    <row r="2282" spans="1:8" hidden="1" x14ac:dyDescent="0.25">
      <c r="A2282" s="116">
        <v>44286</v>
      </c>
      <c r="B2282" s="10" t="s">
        <v>6463</v>
      </c>
      <c r="C2282" s="11" t="s">
        <v>6868</v>
      </c>
      <c r="E2282" s="8">
        <v>55000</v>
      </c>
      <c r="G2282" s="6">
        <f t="shared" si="37"/>
        <v>55000</v>
      </c>
    </row>
    <row r="2283" spans="1:8" hidden="1" x14ac:dyDescent="0.25">
      <c r="A2283" s="116">
        <v>44286</v>
      </c>
      <c r="B2283" s="10" t="s">
        <v>6463</v>
      </c>
      <c r="C2283" s="11" t="s">
        <v>6868</v>
      </c>
      <c r="E2283" s="8">
        <v>104800</v>
      </c>
      <c r="G2283" s="6">
        <f t="shared" si="37"/>
        <v>104800</v>
      </c>
    </row>
    <row r="2284" spans="1:8" hidden="1" x14ac:dyDescent="0.25">
      <c r="A2284" s="116">
        <v>44240</v>
      </c>
      <c r="B2284" s="10" t="s">
        <v>6463</v>
      </c>
      <c r="C2284" s="11" t="s">
        <v>3039</v>
      </c>
      <c r="E2284" s="8">
        <v>29000</v>
      </c>
      <c r="G2284" s="6">
        <f t="shared" si="37"/>
        <v>29000</v>
      </c>
    </row>
    <row r="2285" spans="1:8" hidden="1" x14ac:dyDescent="0.25">
      <c r="A2285" s="116">
        <v>44240</v>
      </c>
      <c r="B2285" s="10" t="s">
        <v>6568</v>
      </c>
      <c r="C2285" s="11" t="s">
        <v>3039</v>
      </c>
      <c r="F2285" s="9">
        <v>14000</v>
      </c>
      <c r="G2285" s="6">
        <f t="shared" si="37"/>
        <v>-14000</v>
      </c>
      <c r="H2285" s="56"/>
    </row>
    <row r="2286" spans="1:8" hidden="1" x14ac:dyDescent="0.25">
      <c r="A2286" s="116">
        <v>44240</v>
      </c>
      <c r="B2286" s="10" t="s">
        <v>6463</v>
      </c>
      <c r="C2286" s="11" t="s">
        <v>3039</v>
      </c>
      <c r="F2286" s="9">
        <v>30450</v>
      </c>
      <c r="G2286" s="6">
        <f t="shared" si="37"/>
        <v>-30450</v>
      </c>
      <c r="H2286" s="57" t="s">
        <v>6869</v>
      </c>
    </row>
    <row r="2287" spans="1:8" hidden="1" x14ac:dyDescent="0.25">
      <c r="A2287" s="116">
        <v>44240</v>
      </c>
      <c r="B2287" s="10" t="s">
        <v>6463</v>
      </c>
      <c r="C2287" s="11" t="s">
        <v>6868</v>
      </c>
      <c r="E2287" s="8">
        <v>76280</v>
      </c>
      <c r="G2287" s="6">
        <f t="shared" si="37"/>
        <v>76280</v>
      </c>
    </row>
    <row r="2288" spans="1:8" ht="24" hidden="1" customHeight="1" x14ac:dyDescent="0.25">
      <c r="A2288" s="116">
        <v>44288</v>
      </c>
      <c r="B2288" s="10" t="s">
        <v>6568</v>
      </c>
      <c r="C2288" s="11" t="s">
        <v>440</v>
      </c>
      <c r="F2288" s="9">
        <v>73360</v>
      </c>
      <c r="G2288" s="6">
        <f t="shared" si="37"/>
        <v>-73360</v>
      </c>
      <c r="H2288" s="1219" t="s">
        <v>7035</v>
      </c>
    </row>
    <row r="2289" spans="1:8" ht="24" hidden="1" customHeight="1" x14ac:dyDescent="0.25">
      <c r="A2289" s="116">
        <v>44288</v>
      </c>
      <c r="B2289" s="10" t="s">
        <v>6463</v>
      </c>
      <c r="C2289" s="11" t="s">
        <v>440</v>
      </c>
      <c r="F2289" s="9">
        <v>7970</v>
      </c>
      <c r="G2289" s="6">
        <f t="shared" si="37"/>
        <v>-7970</v>
      </c>
      <c r="H2289" s="1219"/>
    </row>
    <row r="2290" spans="1:8" ht="24" hidden="1" customHeight="1" x14ac:dyDescent="0.25">
      <c r="A2290" s="116">
        <v>44288</v>
      </c>
      <c r="B2290" s="10" t="s">
        <v>1407</v>
      </c>
      <c r="C2290" s="11" t="s">
        <v>440</v>
      </c>
      <c r="F2290" s="9">
        <v>21500</v>
      </c>
      <c r="G2290" s="6">
        <f t="shared" si="37"/>
        <v>-21500</v>
      </c>
      <c r="H2290" s="1219"/>
    </row>
    <row r="2291" spans="1:8" ht="24" hidden="1" customHeight="1" x14ac:dyDescent="0.25">
      <c r="A2291" s="116">
        <v>44288</v>
      </c>
      <c r="B2291" s="10" t="s">
        <v>6463</v>
      </c>
      <c r="C2291" s="11" t="s">
        <v>440</v>
      </c>
      <c r="F2291" s="9">
        <v>2900</v>
      </c>
      <c r="G2291" s="6">
        <f t="shared" si="37"/>
        <v>-2900</v>
      </c>
      <c r="H2291" s="1219"/>
    </row>
    <row r="2292" spans="1:8" ht="24" hidden="1" customHeight="1" x14ac:dyDescent="0.25">
      <c r="A2292" s="116">
        <v>44280</v>
      </c>
      <c r="B2292" s="10" t="s">
        <v>1407</v>
      </c>
      <c r="C2292" s="11" t="s">
        <v>440</v>
      </c>
      <c r="F2292" s="9">
        <v>24225</v>
      </c>
      <c r="G2292" s="6">
        <f t="shared" si="37"/>
        <v>-24225</v>
      </c>
      <c r="H2292" s="1219"/>
    </row>
    <row r="2293" spans="1:8" ht="24" hidden="1" customHeight="1" x14ac:dyDescent="0.25">
      <c r="A2293" s="116">
        <v>44331</v>
      </c>
      <c r="B2293" s="10" t="s">
        <v>6463</v>
      </c>
      <c r="C2293" s="11" t="s">
        <v>440</v>
      </c>
      <c r="F2293" s="9">
        <v>54720</v>
      </c>
      <c r="G2293" s="6">
        <f t="shared" si="37"/>
        <v>-54720</v>
      </c>
      <c r="H2293" s="1219"/>
    </row>
    <row r="2294" spans="1:8" ht="24" hidden="1" customHeight="1" x14ac:dyDescent="0.25">
      <c r="A2294" s="116">
        <v>44341</v>
      </c>
      <c r="B2294" s="10" t="s">
        <v>6568</v>
      </c>
      <c r="C2294" s="11" t="s">
        <v>440</v>
      </c>
      <c r="F2294" s="9">
        <v>22415</v>
      </c>
      <c r="G2294" s="6">
        <f t="shared" si="37"/>
        <v>-22415</v>
      </c>
      <c r="H2294" s="1219"/>
    </row>
    <row r="2295" spans="1:8" hidden="1" x14ac:dyDescent="0.25">
      <c r="A2295" s="116">
        <v>44288</v>
      </c>
      <c r="B2295" s="10" t="s">
        <v>6849</v>
      </c>
      <c r="C2295" s="11" t="s">
        <v>5113</v>
      </c>
      <c r="F2295" s="9">
        <v>300000</v>
      </c>
      <c r="G2295" s="6">
        <f t="shared" si="37"/>
        <v>-300000</v>
      </c>
      <c r="H2295" s="7" t="s">
        <v>6847</v>
      </c>
    </row>
    <row r="2296" spans="1:8" hidden="1" x14ac:dyDescent="0.25">
      <c r="A2296" s="116">
        <v>44300</v>
      </c>
      <c r="B2296" s="10" t="s">
        <v>1407</v>
      </c>
      <c r="C2296" s="11" t="s">
        <v>164</v>
      </c>
      <c r="E2296" s="8">
        <v>4494</v>
      </c>
      <c r="G2296" s="6">
        <f t="shared" si="37"/>
        <v>4494</v>
      </c>
    </row>
    <row r="2297" spans="1:8" hidden="1" x14ac:dyDescent="0.25">
      <c r="A2297" s="116">
        <v>44288</v>
      </c>
      <c r="B2297" s="10" t="s">
        <v>1407</v>
      </c>
      <c r="C2297" s="11" t="s">
        <v>164</v>
      </c>
      <c r="E2297" s="8">
        <v>743</v>
      </c>
      <c r="G2297" s="6">
        <f t="shared" si="37"/>
        <v>743</v>
      </c>
    </row>
    <row r="2298" spans="1:8" hidden="1" x14ac:dyDescent="0.25">
      <c r="A2298" s="116">
        <v>44291</v>
      </c>
      <c r="B2298" s="10" t="s">
        <v>6565</v>
      </c>
      <c r="C2298" s="11" t="s">
        <v>1816</v>
      </c>
      <c r="E2298" s="112"/>
      <c r="F2298" s="113">
        <f>171059-12500</f>
        <v>158559</v>
      </c>
      <c r="G2298" s="6">
        <f t="shared" si="37"/>
        <v>-158559</v>
      </c>
      <c r="H2298" s="1186" t="s">
        <v>6970</v>
      </c>
    </row>
    <row r="2299" spans="1:8" hidden="1" x14ac:dyDescent="0.25">
      <c r="A2299" s="116">
        <v>44291</v>
      </c>
      <c r="B2299" s="10" t="s">
        <v>6575</v>
      </c>
      <c r="C2299" s="11" t="s">
        <v>1816</v>
      </c>
      <c r="E2299" s="112"/>
      <c r="F2299" s="114">
        <v>82220</v>
      </c>
      <c r="G2299" s="6">
        <f t="shared" si="37"/>
        <v>-82220</v>
      </c>
      <c r="H2299" s="1212"/>
    </row>
    <row r="2300" spans="1:8" hidden="1" x14ac:dyDescent="0.25">
      <c r="A2300" s="116">
        <v>44291</v>
      </c>
      <c r="B2300" s="10" t="s">
        <v>6568</v>
      </c>
      <c r="C2300" s="11" t="s">
        <v>1816</v>
      </c>
      <c r="E2300" s="112"/>
      <c r="F2300" s="114">
        <f>16101+25620</f>
        <v>41721</v>
      </c>
      <c r="G2300" s="6">
        <f t="shared" si="37"/>
        <v>-41721</v>
      </c>
      <c r="H2300" s="1212"/>
    </row>
    <row r="2301" spans="1:8" hidden="1" x14ac:dyDescent="0.25">
      <c r="A2301" s="116">
        <v>44291</v>
      </c>
      <c r="B2301" s="10" t="s">
        <v>6779</v>
      </c>
      <c r="C2301" s="11" t="s">
        <v>1816</v>
      </c>
      <c r="E2301" s="112"/>
      <c r="F2301" s="115">
        <v>200000</v>
      </c>
      <c r="G2301" s="6">
        <f t="shared" si="37"/>
        <v>-200000</v>
      </c>
      <c r="H2301" s="1187"/>
    </row>
    <row r="2302" spans="1:8" hidden="1" x14ac:dyDescent="0.25">
      <c r="A2302" s="116">
        <v>44288</v>
      </c>
      <c r="B2302" s="10" t="s">
        <v>6575</v>
      </c>
      <c r="C2302" s="11" t="s">
        <v>169</v>
      </c>
      <c r="E2302" s="8">
        <v>6270</v>
      </c>
      <c r="G2302" s="6">
        <f t="shared" si="37"/>
        <v>6270</v>
      </c>
    </row>
    <row r="2303" spans="1:8" hidden="1" x14ac:dyDescent="0.25">
      <c r="A2303" s="116">
        <v>44293</v>
      </c>
      <c r="B2303" s="10" t="s">
        <v>6575</v>
      </c>
      <c r="C2303" s="11" t="s">
        <v>162</v>
      </c>
      <c r="E2303" s="8">
        <v>545000</v>
      </c>
      <c r="G2303" s="6">
        <f t="shared" si="37"/>
        <v>545000</v>
      </c>
    </row>
    <row r="2304" spans="1:8" hidden="1" x14ac:dyDescent="0.25">
      <c r="A2304" s="116">
        <v>44293</v>
      </c>
      <c r="B2304" s="10" t="s">
        <v>6575</v>
      </c>
      <c r="C2304" s="11" t="s">
        <v>162</v>
      </c>
      <c r="F2304" s="9">
        <v>400000</v>
      </c>
      <c r="G2304" s="6">
        <f t="shared" si="37"/>
        <v>-400000</v>
      </c>
      <c r="H2304" s="7" t="s">
        <v>6847</v>
      </c>
    </row>
    <row r="2305" spans="1:8" hidden="1" x14ac:dyDescent="0.25">
      <c r="A2305" s="116">
        <v>44294</v>
      </c>
      <c r="B2305" s="10" t="s">
        <v>6463</v>
      </c>
      <c r="C2305" s="11" t="s">
        <v>5731</v>
      </c>
      <c r="D2305" s="784" t="s">
        <v>9351</v>
      </c>
      <c r="E2305" s="8">
        <v>109600</v>
      </c>
      <c r="G2305" s="6">
        <f t="shared" si="37"/>
        <v>109600</v>
      </c>
    </row>
    <row r="2306" spans="1:8" hidden="1" x14ac:dyDescent="0.25">
      <c r="A2306" s="116">
        <v>44282</v>
      </c>
      <c r="B2306" s="10" t="s">
        <v>6463</v>
      </c>
      <c r="C2306" s="11" t="s">
        <v>2327</v>
      </c>
      <c r="E2306" s="8">
        <v>16830</v>
      </c>
      <c r="G2306" s="6">
        <f t="shared" si="37"/>
        <v>16830</v>
      </c>
    </row>
    <row r="2307" spans="1:8" hidden="1" x14ac:dyDescent="0.25">
      <c r="A2307" s="116">
        <v>44293</v>
      </c>
      <c r="B2307" s="10" t="s">
        <v>6463</v>
      </c>
      <c r="C2307" s="11" t="s">
        <v>2327</v>
      </c>
      <c r="E2307" s="8">
        <v>16800</v>
      </c>
      <c r="G2307" s="6">
        <f t="shared" si="37"/>
        <v>16800</v>
      </c>
    </row>
    <row r="2308" spans="1:8" hidden="1" x14ac:dyDescent="0.25">
      <c r="A2308" s="116">
        <v>44299</v>
      </c>
      <c r="B2308" s="10" t="s">
        <v>6575</v>
      </c>
      <c r="C2308" s="11" t="s">
        <v>5113</v>
      </c>
      <c r="E2308" s="8">
        <v>90990</v>
      </c>
      <c r="G2308" s="6">
        <f t="shared" si="37"/>
        <v>90990</v>
      </c>
    </row>
    <row r="2309" spans="1:8" hidden="1" x14ac:dyDescent="0.25">
      <c r="A2309" s="116">
        <v>44270</v>
      </c>
      <c r="B2309" s="10" t="s">
        <v>6463</v>
      </c>
      <c r="C2309" s="11" t="s">
        <v>166</v>
      </c>
      <c r="E2309" s="8">
        <v>17100</v>
      </c>
      <c r="G2309" s="6">
        <f t="shared" si="37"/>
        <v>17100</v>
      </c>
    </row>
    <row r="2310" spans="1:8" hidden="1" x14ac:dyDescent="0.25">
      <c r="A2310" s="116">
        <v>44307</v>
      </c>
      <c r="B2310" s="10" t="s">
        <v>6565</v>
      </c>
      <c r="C2310" s="11" t="s">
        <v>180</v>
      </c>
      <c r="E2310" s="8">
        <v>31875</v>
      </c>
      <c r="G2310" s="6">
        <f t="shared" si="37"/>
        <v>31875</v>
      </c>
    </row>
    <row r="2311" spans="1:8" hidden="1" x14ac:dyDescent="0.25">
      <c r="A2311" s="116">
        <v>44307</v>
      </c>
      <c r="B2311" s="10" t="s">
        <v>6463</v>
      </c>
      <c r="C2311" s="11" t="s">
        <v>2327</v>
      </c>
      <c r="E2311" s="8">
        <f>10800-430</f>
        <v>10370</v>
      </c>
      <c r="G2311" s="6">
        <f t="shared" si="37"/>
        <v>10370</v>
      </c>
    </row>
    <row r="2312" spans="1:8" hidden="1" x14ac:dyDescent="0.25">
      <c r="A2312" s="116">
        <v>44308</v>
      </c>
      <c r="B2312" s="10" t="s">
        <v>6463</v>
      </c>
      <c r="C2312" s="11" t="s">
        <v>5731</v>
      </c>
      <c r="D2312" s="784" t="s">
        <v>9392</v>
      </c>
      <c r="E2312" s="8">
        <v>36700</v>
      </c>
      <c r="G2312" s="6">
        <f t="shared" si="37"/>
        <v>36700</v>
      </c>
    </row>
    <row r="2313" spans="1:8" hidden="1"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hidden="1" x14ac:dyDescent="0.25">
      <c r="A2315" s="116">
        <v>44316</v>
      </c>
      <c r="B2315" s="10" t="s">
        <v>1407</v>
      </c>
      <c r="C2315" s="11" t="s">
        <v>4853</v>
      </c>
      <c r="F2315" s="9">
        <v>33249</v>
      </c>
      <c r="G2315" s="6">
        <f t="shared" si="37"/>
        <v>-33249</v>
      </c>
      <c r="H2315" s="1132" t="s">
        <v>6965</v>
      </c>
    </row>
    <row r="2316" spans="1:8" hidden="1" x14ac:dyDescent="0.25">
      <c r="A2316" s="116">
        <v>44316</v>
      </c>
      <c r="B2316" s="10" t="s">
        <v>6564</v>
      </c>
      <c r="C2316" s="11" t="s">
        <v>4853</v>
      </c>
      <c r="F2316" s="9">
        <v>36751</v>
      </c>
      <c r="G2316" s="6">
        <f t="shared" si="37"/>
        <v>-36751</v>
      </c>
      <c r="H2316" s="1133"/>
    </row>
    <row r="2317" spans="1:8" hidden="1" x14ac:dyDescent="0.25">
      <c r="A2317" s="116">
        <v>44316</v>
      </c>
      <c r="B2317" s="10" t="s">
        <v>6463</v>
      </c>
      <c r="C2317" s="11" t="s">
        <v>5731</v>
      </c>
      <c r="F2317" s="9">
        <v>100000</v>
      </c>
      <c r="G2317" s="6">
        <f t="shared" si="37"/>
        <v>-100000</v>
      </c>
      <c r="H2317" s="7" t="s">
        <v>6967</v>
      </c>
    </row>
    <row r="2318" spans="1:8" hidden="1" x14ac:dyDescent="0.25">
      <c r="A2318" s="116">
        <v>44316</v>
      </c>
      <c r="B2318" s="10" t="s">
        <v>6575</v>
      </c>
      <c r="C2318" s="11" t="s">
        <v>2327</v>
      </c>
      <c r="F2318" s="9">
        <v>14000</v>
      </c>
      <c r="G2318" s="6">
        <f t="shared" si="37"/>
        <v>-14000</v>
      </c>
      <c r="H2318" s="1132" t="s">
        <v>6968</v>
      </c>
    </row>
    <row r="2319" spans="1:8" hidden="1" x14ac:dyDescent="0.25">
      <c r="A2319" s="116">
        <v>44316</v>
      </c>
      <c r="B2319" s="10" t="s">
        <v>6463</v>
      </c>
      <c r="C2319" s="11" t="s">
        <v>2327</v>
      </c>
      <c r="F2319" s="9">
        <v>44000</v>
      </c>
      <c r="G2319" s="6">
        <f t="shared" si="37"/>
        <v>-44000</v>
      </c>
      <c r="H2319" s="1133"/>
    </row>
    <row r="2320" spans="1:8" hidden="1" x14ac:dyDescent="0.25">
      <c r="A2320" s="116">
        <v>44316</v>
      </c>
      <c r="B2320" s="10" t="s">
        <v>6575</v>
      </c>
      <c r="C2320" s="11" t="s">
        <v>2327</v>
      </c>
      <c r="F2320" s="9">
        <v>20</v>
      </c>
      <c r="G2320" s="6">
        <f t="shared" si="37"/>
        <v>-20</v>
      </c>
      <c r="H2320" s="7" t="s">
        <v>3951</v>
      </c>
    </row>
    <row r="2321" spans="1:8" hidden="1" x14ac:dyDescent="0.25">
      <c r="A2321" s="116">
        <v>44275</v>
      </c>
      <c r="B2321" s="10" t="s">
        <v>6565</v>
      </c>
      <c r="C2321" s="11" t="s">
        <v>1816</v>
      </c>
      <c r="E2321" s="8">
        <v>4381</v>
      </c>
      <c r="G2321" s="6">
        <f t="shared" si="37"/>
        <v>4381</v>
      </c>
    </row>
    <row r="2322" spans="1:8" hidden="1" x14ac:dyDescent="0.25">
      <c r="A2322" s="116">
        <v>44275</v>
      </c>
      <c r="B2322" s="10" t="s">
        <v>1407</v>
      </c>
      <c r="C2322" s="11" t="s">
        <v>1816</v>
      </c>
      <c r="E2322" s="8">
        <v>18880</v>
      </c>
      <c r="G2322" s="6">
        <f t="shared" si="37"/>
        <v>18880</v>
      </c>
    </row>
    <row r="2323" spans="1:8" hidden="1" x14ac:dyDescent="0.25">
      <c r="A2323" s="116">
        <v>44275</v>
      </c>
      <c r="B2323" s="10" t="s">
        <v>1407</v>
      </c>
      <c r="C2323" s="11" t="s">
        <v>1816</v>
      </c>
      <c r="F2323" s="9">
        <v>20120</v>
      </c>
      <c r="G2323" s="6">
        <f t="shared" si="37"/>
        <v>-20120</v>
      </c>
      <c r="H2323" s="7" t="s">
        <v>6969</v>
      </c>
    </row>
    <row r="2324" spans="1:8" hidden="1" x14ac:dyDescent="0.25">
      <c r="A2324" s="116">
        <v>44279</v>
      </c>
      <c r="B2324" s="10" t="s">
        <v>6463</v>
      </c>
      <c r="C2324" s="11" t="s">
        <v>1816</v>
      </c>
      <c r="E2324" s="8">
        <v>18012</v>
      </c>
      <c r="G2324" s="6">
        <f t="shared" si="37"/>
        <v>18012</v>
      </c>
    </row>
    <row r="2325" spans="1:8" hidden="1" x14ac:dyDescent="0.25">
      <c r="A2325" s="116">
        <v>44281</v>
      </c>
      <c r="B2325" s="10" t="s">
        <v>6463</v>
      </c>
      <c r="C2325" s="11" t="s">
        <v>1816</v>
      </c>
      <c r="F2325" s="9">
        <v>11028</v>
      </c>
      <c r="G2325" s="6">
        <f t="shared" si="37"/>
        <v>-11028</v>
      </c>
      <c r="H2325" s="7" t="s">
        <v>6969</v>
      </c>
    </row>
    <row r="2326" spans="1:8" hidden="1" x14ac:dyDescent="0.25">
      <c r="A2326" s="116">
        <v>44281</v>
      </c>
      <c r="B2326" s="10" t="s">
        <v>1407</v>
      </c>
      <c r="C2326" s="11" t="s">
        <v>1816</v>
      </c>
      <c r="E2326" s="8">
        <v>8592</v>
      </c>
      <c r="G2326" s="6">
        <f t="shared" si="37"/>
        <v>8592</v>
      </c>
    </row>
    <row r="2327" spans="1:8" hidden="1" x14ac:dyDescent="0.25">
      <c r="A2327" s="116">
        <v>44281</v>
      </c>
      <c r="B2327" s="10" t="s">
        <v>6565</v>
      </c>
      <c r="C2327" s="11" t="s">
        <v>1816</v>
      </c>
      <c r="E2327" s="8">
        <v>3334</v>
      </c>
      <c r="G2327" s="6">
        <f t="shared" si="37"/>
        <v>3334</v>
      </c>
    </row>
    <row r="2328" spans="1:8" hidden="1" x14ac:dyDescent="0.25">
      <c r="A2328" s="116">
        <v>44284</v>
      </c>
      <c r="B2328" s="10" t="s">
        <v>6463</v>
      </c>
      <c r="C2328" s="11" t="s">
        <v>1816</v>
      </c>
      <c r="F2328" s="9">
        <v>2656</v>
      </c>
      <c r="G2328" s="6">
        <f t="shared" si="37"/>
        <v>-2656</v>
      </c>
    </row>
    <row r="2329" spans="1:8" hidden="1" x14ac:dyDescent="0.25">
      <c r="A2329" s="116">
        <v>44284</v>
      </c>
      <c r="B2329" s="10" t="s">
        <v>6463</v>
      </c>
      <c r="C2329" s="11" t="s">
        <v>1816</v>
      </c>
      <c r="E2329" s="8">
        <v>10724</v>
      </c>
      <c r="G2329" s="6">
        <f t="shared" si="37"/>
        <v>10724</v>
      </c>
    </row>
    <row r="2330" spans="1:8" hidden="1" x14ac:dyDescent="0.25">
      <c r="A2330" s="116">
        <v>44284</v>
      </c>
      <c r="B2330" s="10" t="s">
        <v>6779</v>
      </c>
      <c r="C2330" s="11" t="s">
        <v>1816</v>
      </c>
      <c r="E2330" s="8">
        <v>33917</v>
      </c>
      <c r="G2330" s="6">
        <f t="shared" si="37"/>
        <v>33917</v>
      </c>
    </row>
    <row r="2331" spans="1:8" hidden="1" x14ac:dyDescent="0.25">
      <c r="A2331" s="116">
        <v>44291</v>
      </c>
      <c r="B2331" s="10" t="s">
        <v>6568</v>
      </c>
      <c r="C2331" s="11" t="s">
        <v>1816</v>
      </c>
      <c r="E2331" s="8">
        <v>13895</v>
      </c>
      <c r="G2331" s="6">
        <f t="shared" si="37"/>
        <v>13895</v>
      </c>
    </row>
    <row r="2332" spans="1:8" hidden="1" x14ac:dyDescent="0.25">
      <c r="A2332" s="116">
        <v>44291</v>
      </c>
      <c r="B2332" s="10" t="s">
        <v>6779</v>
      </c>
      <c r="C2332" s="11" t="s">
        <v>1816</v>
      </c>
      <c r="E2332" s="8">
        <v>5105</v>
      </c>
      <c r="G2332" s="6">
        <f t="shared" si="37"/>
        <v>5105</v>
      </c>
    </row>
    <row r="2333" spans="1:8" hidden="1" x14ac:dyDescent="0.25">
      <c r="A2333" s="116">
        <v>44294</v>
      </c>
      <c r="B2333" s="10" t="s">
        <v>6568</v>
      </c>
      <c r="C2333" s="11" t="s">
        <v>1816</v>
      </c>
      <c r="E2333" s="8">
        <v>220774</v>
      </c>
      <c r="G2333" s="6">
        <f t="shared" si="37"/>
        <v>220774</v>
      </c>
    </row>
    <row r="2334" spans="1:8" hidden="1" x14ac:dyDescent="0.25">
      <c r="A2334" s="116">
        <v>44294</v>
      </c>
      <c r="B2334" s="10" t="s">
        <v>1407</v>
      </c>
      <c r="C2334" s="11" t="s">
        <v>1816</v>
      </c>
      <c r="E2334" s="8">
        <v>68510</v>
      </c>
      <c r="G2334" s="6">
        <f t="shared" si="37"/>
        <v>68510</v>
      </c>
    </row>
    <row r="2335" spans="1:8" hidden="1" x14ac:dyDescent="0.25">
      <c r="A2335" s="116">
        <v>44294</v>
      </c>
      <c r="B2335" s="10" t="s">
        <v>6779</v>
      </c>
      <c r="C2335" s="11" t="s">
        <v>1816</v>
      </c>
      <c r="E2335" s="8">
        <v>758</v>
      </c>
      <c r="G2335" s="6">
        <f t="shared" si="37"/>
        <v>758</v>
      </c>
    </row>
    <row r="2336" spans="1:8" hidden="1" x14ac:dyDescent="0.25">
      <c r="A2336" s="116">
        <v>44296</v>
      </c>
      <c r="B2336" s="10" t="s">
        <v>6568</v>
      </c>
      <c r="C2336" s="11" t="s">
        <v>1816</v>
      </c>
      <c r="E2336" s="8">
        <v>5675</v>
      </c>
      <c r="G2336" s="6">
        <f t="shared" si="37"/>
        <v>5675</v>
      </c>
    </row>
    <row r="2337" spans="1:8" hidden="1" x14ac:dyDescent="0.25">
      <c r="A2337" s="116">
        <v>44298</v>
      </c>
      <c r="B2337" s="10" t="s">
        <v>6565</v>
      </c>
      <c r="C2337" s="11" t="s">
        <v>1816</v>
      </c>
      <c r="E2337" s="8">
        <v>24564</v>
      </c>
      <c r="G2337" s="6">
        <f t="shared" si="37"/>
        <v>24564</v>
      </c>
    </row>
    <row r="2338" spans="1:8" hidden="1" x14ac:dyDescent="0.25">
      <c r="A2338" s="116">
        <v>44300</v>
      </c>
      <c r="B2338" s="10" t="s">
        <v>6565</v>
      </c>
      <c r="C2338" s="11" t="s">
        <v>1816</v>
      </c>
      <c r="E2338" s="8">
        <v>860</v>
      </c>
      <c r="G2338" s="6">
        <f t="shared" si="37"/>
        <v>860</v>
      </c>
    </row>
    <row r="2339" spans="1:8" hidden="1" x14ac:dyDescent="0.25">
      <c r="A2339" s="116">
        <v>44302</v>
      </c>
      <c r="B2339" s="10" t="s">
        <v>6568</v>
      </c>
      <c r="C2339" s="11" t="s">
        <v>1816</v>
      </c>
      <c r="E2339" s="8">
        <v>2821</v>
      </c>
      <c r="G2339" s="6">
        <f t="shared" si="37"/>
        <v>2821</v>
      </c>
    </row>
    <row r="2340" spans="1:8" hidden="1" x14ac:dyDescent="0.25">
      <c r="A2340" s="116">
        <v>44303</v>
      </c>
      <c r="B2340" s="10" t="s">
        <v>6463</v>
      </c>
      <c r="C2340" s="11" t="s">
        <v>1816</v>
      </c>
      <c r="E2340" s="8">
        <v>14409</v>
      </c>
      <c r="G2340" s="6">
        <f t="shared" si="37"/>
        <v>14409</v>
      </c>
    </row>
    <row r="2341" spans="1:8" hidden="1" x14ac:dyDescent="0.25">
      <c r="A2341" s="116">
        <v>44320</v>
      </c>
      <c r="B2341" s="10" t="s">
        <v>1407</v>
      </c>
      <c r="C2341" s="11" t="s">
        <v>5731</v>
      </c>
      <c r="D2341" s="784" t="s">
        <v>8399</v>
      </c>
      <c r="E2341" s="8">
        <v>17200</v>
      </c>
      <c r="G2341" s="6">
        <f t="shared" si="37"/>
        <v>17200</v>
      </c>
    </row>
    <row r="2342" spans="1:8" hidden="1" x14ac:dyDescent="0.25">
      <c r="A2342" s="116">
        <v>44266</v>
      </c>
      <c r="B2342" s="10" t="s">
        <v>6565</v>
      </c>
      <c r="C2342" s="11" t="s">
        <v>4853</v>
      </c>
      <c r="D2342" s="784">
        <v>5303</v>
      </c>
      <c r="E2342" s="8">
        <v>8568</v>
      </c>
      <c r="G2342" s="6">
        <f t="shared" si="37"/>
        <v>8568</v>
      </c>
    </row>
    <row r="2343" spans="1:8" hidden="1" x14ac:dyDescent="0.25">
      <c r="A2343" s="116">
        <v>44275</v>
      </c>
      <c r="B2343" s="10" t="s">
        <v>6565</v>
      </c>
      <c r="C2343" s="11" t="s">
        <v>4853</v>
      </c>
      <c r="D2343" s="784">
        <v>5493</v>
      </c>
      <c r="E2343" s="8">
        <v>5409</v>
      </c>
      <c r="G2343" s="6">
        <f t="shared" si="37"/>
        <v>5409</v>
      </c>
    </row>
    <row r="2344" spans="1:8" hidden="1" x14ac:dyDescent="0.25">
      <c r="A2344" s="116">
        <v>44287</v>
      </c>
      <c r="B2344" s="10" t="s">
        <v>6779</v>
      </c>
      <c r="C2344" s="11" t="s">
        <v>4853</v>
      </c>
      <c r="D2344" s="784">
        <v>5519</v>
      </c>
      <c r="E2344" s="8">
        <v>53870</v>
      </c>
      <c r="G2344" s="6">
        <f t="shared" si="37"/>
        <v>53870</v>
      </c>
    </row>
    <row r="2345" spans="1:8" hidden="1" x14ac:dyDescent="0.25">
      <c r="A2345" s="116">
        <v>44303</v>
      </c>
      <c r="B2345" s="10" t="s">
        <v>6565</v>
      </c>
      <c r="C2345" s="11" t="s">
        <v>4853</v>
      </c>
      <c r="D2345" s="784">
        <v>5606</v>
      </c>
      <c r="E2345" s="8">
        <v>15018</v>
      </c>
      <c r="G2345" s="6">
        <f t="shared" si="37"/>
        <v>15018</v>
      </c>
    </row>
    <row r="2346" spans="1:8" hidden="1" x14ac:dyDescent="0.25">
      <c r="A2346" s="116">
        <v>44297</v>
      </c>
      <c r="B2346" s="10" t="s">
        <v>1407</v>
      </c>
      <c r="C2346" s="11" t="s">
        <v>6867</v>
      </c>
      <c r="F2346" s="9">
        <v>200000</v>
      </c>
      <c r="G2346" s="6">
        <f t="shared" si="37"/>
        <v>-200000</v>
      </c>
      <c r="H2346" s="7" t="s">
        <v>6996</v>
      </c>
    </row>
    <row r="2347" spans="1:8" hidden="1" x14ac:dyDescent="0.25">
      <c r="A2347" s="116">
        <v>44333</v>
      </c>
      <c r="B2347" s="10" t="s">
        <v>2957</v>
      </c>
      <c r="C2347" s="11" t="s">
        <v>164</v>
      </c>
      <c r="D2347" s="784">
        <v>4445</v>
      </c>
      <c r="E2347" s="8">
        <v>6168</v>
      </c>
      <c r="G2347" s="6">
        <f t="shared" si="37"/>
        <v>6168</v>
      </c>
    </row>
    <row r="2348" spans="1:8" hidden="1" x14ac:dyDescent="0.25">
      <c r="A2348" s="116">
        <v>44333</v>
      </c>
      <c r="B2348" s="10" t="s">
        <v>1407</v>
      </c>
      <c r="C2348" s="11" t="s">
        <v>164</v>
      </c>
      <c r="D2348" s="784">
        <v>4453</v>
      </c>
      <c r="E2348" s="8">
        <v>16796</v>
      </c>
      <c r="G2348" s="6">
        <f t="shared" si="37"/>
        <v>16796</v>
      </c>
    </row>
    <row r="2349" spans="1:8" hidden="1" x14ac:dyDescent="0.25">
      <c r="A2349" s="116">
        <v>44336</v>
      </c>
      <c r="B2349" s="10" t="s">
        <v>7002</v>
      </c>
      <c r="C2349" s="11" t="s">
        <v>2327</v>
      </c>
      <c r="E2349" s="8">
        <v>18900</v>
      </c>
      <c r="G2349" s="6">
        <f t="shared" si="37"/>
        <v>18900</v>
      </c>
    </row>
    <row r="2350" spans="1:8" hidden="1" x14ac:dyDescent="0.25">
      <c r="A2350" s="116">
        <v>44340</v>
      </c>
      <c r="B2350" s="10" t="s">
        <v>1407</v>
      </c>
      <c r="C2350" s="11" t="s">
        <v>2327</v>
      </c>
      <c r="E2350" s="8">
        <v>62450</v>
      </c>
      <c r="G2350" s="6">
        <f t="shared" si="37"/>
        <v>62450</v>
      </c>
    </row>
    <row r="2351" spans="1:8" hidden="1" x14ac:dyDescent="0.25">
      <c r="A2351" s="116">
        <v>44340</v>
      </c>
      <c r="B2351" s="10" t="s">
        <v>6463</v>
      </c>
      <c r="C2351" s="11" t="s">
        <v>2327</v>
      </c>
      <c r="E2351" s="8">
        <v>42580</v>
      </c>
      <c r="G2351" s="6">
        <f t="shared" si="37"/>
        <v>42580</v>
      </c>
    </row>
    <row r="2352" spans="1:8" hidden="1" x14ac:dyDescent="0.25">
      <c r="A2352" s="116">
        <v>44340</v>
      </c>
      <c r="B2352" s="10" t="s">
        <v>6568</v>
      </c>
      <c r="C2352" s="11" t="s">
        <v>166</v>
      </c>
      <c r="E2352" s="8">
        <v>97145</v>
      </c>
      <c r="G2352" s="6">
        <f t="shared" si="37"/>
        <v>97145</v>
      </c>
    </row>
    <row r="2353" spans="1:8" hidden="1" x14ac:dyDescent="0.25">
      <c r="A2353" s="116">
        <v>44340</v>
      </c>
      <c r="B2353" s="10" t="s">
        <v>7017</v>
      </c>
      <c r="C2353" s="11" t="s">
        <v>166</v>
      </c>
      <c r="E2353" s="8">
        <v>55800</v>
      </c>
      <c r="G2353" s="6">
        <f t="shared" si="37"/>
        <v>55800</v>
      </c>
    </row>
    <row r="2354" spans="1:8" hidden="1" x14ac:dyDescent="0.25">
      <c r="A2354" s="116">
        <v>44340</v>
      </c>
      <c r="B2354" s="10" t="s">
        <v>6463</v>
      </c>
      <c r="C2354" s="11" t="s">
        <v>166</v>
      </c>
      <c r="E2354" s="8">
        <v>4970</v>
      </c>
      <c r="G2354" s="6">
        <f t="shared" si="37"/>
        <v>4970</v>
      </c>
    </row>
    <row r="2355" spans="1:8" hidden="1" x14ac:dyDescent="0.25">
      <c r="A2355" s="116">
        <v>44310</v>
      </c>
      <c r="B2355" s="10" t="s">
        <v>6568</v>
      </c>
      <c r="C2355" s="11" t="s">
        <v>1816</v>
      </c>
      <c r="E2355" s="8">
        <v>5367</v>
      </c>
      <c r="G2355" s="6">
        <f t="shared" si="37"/>
        <v>5367</v>
      </c>
    </row>
    <row r="2356" spans="1:8" hidden="1" x14ac:dyDescent="0.25">
      <c r="A2356" s="116">
        <v>44312</v>
      </c>
      <c r="B2356" s="10" t="s">
        <v>6565</v>
      </c>
      <c r="C2356" s="11" t="s">
        <v>1816</v>
      </c>
      <c r="E2356" s="8">
        <v>12568</v>
      </c>
      <c r="G2356" s="6">
        <f t="shared" si="37"/>
        <v>12568</v>
      </c>
    </row>
    <row r="2357" spans="1:8" hidden="1" x14ac:dyDescent="0.25">
      <c r="A2357" s="116">
        <v>44320</v>
      </c>
      <c r="B2357" s="10" t="s">
        <v>6568</v>
      </c>
      <c r="C2357" s="11" t="s">
        <v>1816</v>
      </c>
      <c r="E2357" s="8">
        <v>121139</v>
      </c>
      <c r="G2357" s="6">
        <f t="shared" si="37"/>
        <v>121139</v>
      </c>
    </row>
    <row r="2358" spans="1:8" hidden="1" x14ac:dyDescent="0.25">
      <c r="A2358" s="116">
        <v>44321</v>
      </c>
      <c r="B2358" s="10" t="s">
        <v>6568</v>
      </c>
      <c r="C2358" s="11" t="s">
        <v>1816</v>
      </c>
      <c r="E2358" s="8">
        <v>13264</v>
      </c>
      <c r="G2358" s="6">
        <f t="shared" si="37"/>
        <v>13264</v>
      </c>
    </row>
    <row r="2359" spans="1:8" hidden="1" x14ac:dyDescent="0.25">
      <c r="A2359" s="116">
        <v>44335</v>
      </c>
      <c r="B2359" s="10" t="s">
        <v>6568</v>
      </c>
      <c r="C2359" s="11" t="s">
        <v>1816</v>
      </c>
      <c r="E2359" s="8">
        <v>5670</v>
      </c>
      <c r="G2359" s="6">
        <f t="shared" si="37"/>
        <v>5670</v>
      </c>
    </row>
    <row r="2360" spans="1:8" hidden="1" x14ac:dyDescent="0.25">
      <c r="A2360" s="116">
        <v>44341</v>
      </c>
      <c r="B2360" s="10" t="s">
        <v>6463</v>
      </c>
      <c r="C2360" s="11" t="s">
        <v>166</v>
      </c>
      <c r="E2360" s="8">
        <v>4395</v>
      </c>
      <c r="G2360" s="6">
        <f t="shared" si="37"/>
        <v>4395</v>
      </c>
    </row>
    <row r="2361" spans="1:8" hidden="1" x14ac:dyDescent="0.25">
      <c r="A2361" s="116">
        <v>44321</v>
      </c>
      <c r="B2361" s="10" t="s">
        <v>2957</v>
      </c>
      <c r="C2361" s="11" t="s">
        <v>6826</v>
      </c>
      <c r="F2361" s="9">
        <v>25000</v>
      </c>
      <c r="G2361" s="6">
        <f t="shared" si="37"/>
        <v>-25000</v>
      </c>
      <c r="H2361" s="7" t="s">
        <v>1164</v>
      </c>
    </row>
    <row r="2362" spans="1:8" hidden="1" x14ac:dyDescent="0.25">
      <c r="A2362" s="116">
        <v>44341</v>
      </c>
      <c r="B2362" s="10" t="s">
        <v>1407</v>
      </c>
      <c r="C2362" s="11" t="s">
        <v>164</v>
      </c>
      <c r="F2362" s="9">
        <v>100000</v>
      </c>
      <c r="G2362" s="6">
        <f t="shared" si="37"/>
        <v>-100000</v>
      </c>
      <c r="H2362" s="7" t="s">
        <v>7018</v>
      </c>
    </row>
    <row r="2363" spans="1:8" hidden="1" x14ac:dyDescent="0.25">
      <c r="A2363" s="116">
        <v>44341</v>
      </c>
      <c r="B2363" s="10" t="s">
        <v>6568</v>
      </c>
      <c r="C2363" s="11" t="s">
        <v>1816</v>
      </c>
      <c r="F2363" s="9">
        <v>300000</v>
      </c>
      <c r="G2363" s="6">
        <f t="shared" si="37"/>
        <v>-300000</v>
      </c>
      <c r="H2363" s="7" t="s">
        <v>7020</v>
      </c>
    </row>
    <row r="2364" spans="1:8" hidden="1" x14ac:dyDescent="0.25">
      <c r="A2364" s="116">
        <v>44341</v>
      </c>
      <c r="B2364" s="10" t="s">
        <v>6575</v>
      </c>
      <c r="C2364" s="11" t="s">
        <v>5113</v>
      </c>
      <c r="F2364" s="9">
        <v>100000</v>
      </c>
      <c r="G2364" s="6">
        <f t="shared" si="37"/>
        <v>-100000</v>
      </c>
      <c r="H2364" s="7" t="s">
        <v>7021</v>
      </c>
    </row>
    <row r="2365" spans="1:8" hidden="1" x14ac:dyDescent="0.25">
      <c r="A2365" s="116">
        <v>44342</v>
      </c>
      <c r="B2365" s="10" t="s">
        <v>1407</v>
      </c>
      <c r="C2365" s="11" t="s">
        <v>166</v>
      </c>
      <c r="E2365" s="8">
        <v>35600</v>
      </c>
      <c r="G2365" s="6">
        <f t="shared" si="37"/>
        <v>35600</v>
      </c>
    </row>
    <row r="2366" spans="1:8" hidden="1" x14ac:dyDescent="0.25">
      <c r="A2366" s="116">
        <v>44343</v>
      </c>
      <c r="B2366" s="10" t="s">
        <v>1407</v>
      </c>
      <c r="C2366" s="11" t="s">
        <v>166</v>
      </c>
      <c r="E2366" s="8">
        <v>41800</v>
      </c>
      <c r="G2366" s="6">
        <f t="shared" si="37"/>
        <v>41800</v>
      </c>
    </row>
    <row r="2367" spans="1:8" hidden="1" x14ac:dyDescent="0.25">
      <c r="A2367" s="116">
        <v>44341</v>
      </c>
      <c r="B2367" s="10" t="s">
        <v>7017</v>
      </c>
      <c r="C2367" s="11" t="s">
        <v>166</v>
      </c>
      <c r="E2367" s="8">
        <v>55800</v>
      </c>
      <c r="G2367" s="6">
        <f t="shared" si="37"/>
        <v>55800</v>
      </c>
    </row>
    <row r="2368" spans="1:8" hidden="1" x14ac:dyDescent="0.25">
      <c r="A2368" s="116">
        <v>44345</v>
      </c>
      <c r="B2368" s="10" t="s">
        <v>6568</v>
      </c>
      <c r="C2368" s="11" t="s">
        <v>166</v>
      </c>
      <c r="E2368" s="8">
        <v>8330</v>
      </c>
      <c r="G2368" s="6">
        <f t="shared" si="37"/>
        <v>8330</v>
      </c>
    </row>
    <row r="2369" spans="1:8" hidden="1" x14ac:dyDescent="0.25">
      <c r="A2369" s="116">
        <v>44347</v>
      </c>
      <c r="B2369" s="10" t="s">
        <v>6568</v>
      </c>
      <c r="C2369" s="11" t="s">
        <v>166</v>
      </c>
      <c r="E2369" s="8">
        <v>14190</v>
      </c>
      <c r="G2369" s="6">
        <f t="shared" si="37"/>
        <v>14190</v>
      </c>
    </row>
    <row r="2370" spans="1:8" hidden="1" x14ac:dyDescent="0.25">
      <c r="A2370" s="116">
        <v>44342</v>
      </c>
      <c r="B2370" s="10" t="s">
        <v>2675</v>
      </c>
      <c r="C2370" s="11" t="s">
        <v>166</v>
      </c>
      <c r="E2370" s="8">
        <v>900</v>
      </c>
      <c r="G2370" s="6">
        <f t="shared" si="37"/>
        <v>900</v>
      </c>
      <c r="H2370" s="7" t="s">
        <v>3951</v>
      </c>
    </row>
    <row r="2371" spans="1:8" hidden="1" x14ac:dyDescent="0.25">
      <c r="A2371" s="116">
        <v>44345</v>
      </c>
      <c r="B2371" s="10" t="s">
        <v>1407</v>
      </c>
      <c r="C2371" s="11" t="s">
        <v>166</v>
      </c>
      <c r="F2371" s="9">
        <v>92268</v>
      </c>
      <c r="G2371" s="6">
        <f t="shared" si="37"/>
        <v>-92268</v>
      </c>
      <c r="H2371" s="81"/>
    </row>
    <row r="2372" spans="1:8" hidden="1" x14ac:dyDescent="0.25">
      <c r="A2372" s="116">
        <v>44345</v>
      </c>
      <c r="B2372" s="10" t="s">
        <v>6463</v>
      </c>
      <c r="C2372" s="11" t="s">
        <v>166</v>
      </c>
      <c r="F2372" s="9">
        <v>23720</v>
      </c>
      <c r="G2372" s="6">
        <f t="shared" si="37"/>
        <v>-23720</v>
      </c>
      <c r="H2372" s="82"/>
    </row>
    <row r="2373" spans="1:8" hidden="1" x14ac:dyDescent="0.25">
      <c r="A2373" s="116">
        <v>44345</v>
      </c>
      <c r="B2373" s="10" t="s">
        <v>6564</v>
      </c>
      <c r="C2373" s="11" t="s">
        <v>166</v>
      </c>
      <c r="F2373" s="9">
        <v>4575</v>
      </c>
      <c r="G2373" s="6">
        <f t="shared" si="37"/>
        <v>-4575</v>
      </c>
      <c r="H2373" s="82" t="s">
        <v>7036</v>
      </c>
    </row>
    <row r="2374" spans="1:8" hidden="1" x14ac:dyDescent="0.25">
      <c r="A2374" s="116">
        <v>44345</v>
      </c>
      <c r="B2374" s="10" t="s">
        <v>6568</v>
      </c>
      <c r="C2374" s="11" t="s">
        <v>166</v>
      </c>
      <c r="F2374" s="9">
        <v>124340</v>
      </c>
      <c r="G2374" s="6">
        <f t="shared" si="37"/>
        <v>-124340</v>
      </c>
      <c r="H2374" s="82"/>
    </row>
    <row r="2375" spans="1:8" hidden="1" x14ac:dyDescent="0.25">
      <c r="A2375" s="116">
        <v>44345</v>
      </c>
      <c r="B2375" s="10" t="s">
        <v>7017</v>
      </c>
      <c r="C2375" s="11" t="s">
        <v>166</v>
      </c>
      <c r="F2375" s="9">
        <v>111600</v>
      </c>
      <c r="G2375" s="6">
        <f t="shared" si="37"/>
        <v>-111600</v>
      </c>
      <c r="H2375" s="82"/>
    </row>
    <row r="2376" spans="1:8" hidden="1" x14ac:dyDescent="0.25">
      <c r="A2376" s="116">
        <v>44345</v>
      </c>
      <c r="B2376" s="10" t="s">
        <v>6568</v>
      </c>
      <c r="C2376" s="11" t="s">
        <v>166</v>
      </c>
      <c r="F2376" s="9">
        <v>8587</v>
      </c>
      <c r="G2376" s="6">
        <f t="shared" si="37"/>
        <v>-8587</v>
      </c>
      <c r="H2376" s="83"/>
    </row>
    <row r="2377" spans="1:8" hidden="1" x14ac:dyDescent="0.25">
      <c r="A2377" s="116">
        <v>44345</v>
      </c>
      <c r="B2377" s="10" t="s">
        <v>1407</v>
      </c>
      <c r="C2377" s="11" t="s">
        <v>2327</v>
      </c>
      <c r="F2377" s="9">
        <v>61516</v>
      </c>
      <c r="G2377" s="6">
        <f t="shared" si="37"/>
        <v>-61516</v>
      </c>
      <c r="H2377" s="81"/>
    </row>
    <row r="2378" spans="1:8" hidden="1" x14ac:dyDescent="0.25">
      <c r="A2378" s="116">
        <v>44345</v>
      </c>
      <c r="B2378" s="10" t="s">
        <v>7002</v>
      </c>
      <c r="C2378" s="11" t="s">
        <v>2327</v>
      </c>
      <c r="F2378" s="9">
        <v>18900</v>
      </c>
      <c r="G2378" s="6">
        <f t="shared" si="37"/>
        <v>-18900</v>
      </c>
      <c r="H2378" s="82"/>
    </row>
    <row r="2379" spans="1:8" hidden="1" x14ac:dyDescent="0.25">
      <c r="A2379" s="116">
        <v>44345</v>
      </c>
      <c r="B2379" s="10" t="s">
        <v>6463</v>
      </c>
      <c r="C2379" s="11" t="s">
        <v>2327</v>
      </c>
      <c r="F2379" s="9">
        <v>42580</v>
      </c>
      <c r="G2379" s="6">
        <f t="shared" si="37"/>
        <v>-42580</v>
      </c>
      <c r="H2379" s="83"/>
    </row>
    <row r="2380" spans="1:8" hidden="1" x14ac:dyDescent="0.25">
      <c r="A2380" s="116">
        <v>44280</v>
      </c>
      <c r="B2380" s="10" t="s">
        <v>1407</v>
      </c>
      <c r="C2380" s="11" t="s">
        <v>440</v>
      </c>
      <c r="E2380" s="8">
        <v>24225</v>
      </c>
      <c r="G2380" s="6">
        <f t="shared" si="37"/>
        <v>24225</v>
      </c>
      <c r="H2380" s="127"/>
    </row>
    <row r="2381" spans="1:8" hidden="1" x14ac:dyDescent="0.25">
      <c r="A2381" s="116">
        <v>44301</v>
      </c>
      <c r="B2381" s="10" t="s">
        <v>6463</v>
      </c>
      <c r="C2381" s="11" t="s">
        <v>440</v>
      </c>
      <c r="E2381" s="8">
        <v>54726</v>
      </c>
      <c r="G2381" s="6">
        <f t="shared" si="37"/>
        <v>54726</v>
      </c>
      <c r="H2381" s="127"/>
    </row>
    <row r="2382" spans="1:8" hidden="1" x14ac:dyDescent="0.25">
      <c r="A2382" s="116">
        <v>44337</v>
      </c>
      <c r="B2382" s="10" t="s">
        <v>6568</v>
      </c>
      <c r="C2382" s="11" t="s">
        <v>440</v>
      </c>
      <c r="E2382" s="8">
        <v>153496</v>
      </c>
      <c r="G2382" s="6">
        <f t="shared" si="37"/>
        <v>153496</v>
      </c>
    </row>
    <row r="2383" spans="1:8" hidden="1" x14ac:dyDescent="0.25">
      <c r="A2383" s="116">
        <v>44347</v>
      </c>
      <c r="B2383" s="10" t="s">
        <v>6568</v>
      </c>
      <c r="C2383" s="11" t="s">
        <v>440</v>
      </c>
      <c r="E2383" s="8">
        <v>79600</v>
      </c>
      <c r="G2383" s="6">
        <f t="shared" ref="G2383:G2479" si="39">E2383-F2383</f>
        <v>79600</v>
      </c>
    </row>
    <row r="2384" spans="1:8" hidden="1" x14ac:dyDescent="0.25">
      <c r="A2384" s="116">
        <v>44350</v>
      </c>
      <c r="B2384" s="10" t="s">
        <v>1407</v>
      </c>
      <c r="C2384" s="11" t="s">
        <v>166</v>
      </c>
      <c r="E2384" s="8">
        <v>30000</v>
      </c>
      <c r="G2384" s="6">
        <f t="shared" si="39"/>
        <v>30000</v>
      </c>
    </row>
    <row r="2385" spans="1:8" hidden="1" x14ac:dyDescent="0.25">
      <c r="A2385" s="116">
        <v>44350</v>
      </c>
      <c r="B2385" s="10" t="s">
        <v>6779</v>
      </c>
      <c r="C2385" s="11" t="s">
        <v>1816</v>
      </c>
      <c r="F2385" s="9">
        <v>60288</v>
      </c>
      <c r="G2385" s="6">
        <f t="shared" si="39"/>
        <v>-60288</v>
      </c>
      <c r="H2385" s="7" t="s">
        <v>4505</v>
      </c>
    </row>
    <row r="2386" spans="1:8" hidden="1" x14ac:dyDescent="0.25">
      <c r="A2386" s="116">
        <v>44352</v>
      </c>
      <c r="B2386" s="10" t="s">
        <v>6463</v>
      </c>
      <c r="C2386" s="11" t="s">
        <v>3039</v>
      </c>
      <c r="E2386" s="8">
        <v>28567</v>
      </c>
      <c r="G2386" s="6">
        <f t="shared" si="39"/>
        <v>28567</v>
      </c>
    </row>
    <row r="2387" spans="1:8" hidden="1" x14ac:dyDescent="0.25">
      <c r="A2387" s="116">
        <v>44349</v>
      </c>
      <c r="B2387" s="10" t="s">
        <v>1407</v>
      </c>
      <c r="C2387" s="11" t="s">
        <v>5731</v>
      </c>
      <c r="D2387" s="784" t="s">
        <v>9390</v>
      </c>
      <c r="E2387" s="8">
        <v>4800</v>
      </c>
      <c r="G2387" s="6">
        <f t="shared" si="39"/>
        <v>4800</v>
      </c>
    </row>
    <row r="2388" spans="1:8" hidden="1" x14ac:dyDescent="0.25">
      <c r="A2388" s="116">
        <v>44352</v>
      </c>
      <c r="B2388" s="10" t="s">
        <v>6568</v>
      </c>
      <c r="C2388" s="11" t="s">
        <v>166</v>
      </c>
      <c r="E2388" s="8">
        <v>45420</v>
      </c>
      <c r="G2388" s="6">
        <f t="shared" si="39"/>
        <v>45420</v>
      </c>
    </row>
    <row r="2389" spans="1:8" hidden="1" x14ac:dyDescent="0.25">
      <c r="A2389" s="116">
        <v>44356</v>
      </c>
      <c r="B2389" s="10" t="s">
        <v>1407</v>
      </c>
      <c r="C2389" s="11" t="s">
        <v>440</v>
      </c>
      <c r="E2389" s="8">
        <v>19000</v>
      </c>
      <c r="G2389" s="6">
        <f t="shared" si="39"/>
        <v>19000</v>
      </c>
    </row>
    <row r="2390" spans="1:8" hidden="1" x14ac:dyDescent="0.25">
      <c r="A2390" s="116">
        <v>44361</v>
      </c>
      <c r="B2390" s="10" t="s">
        <v>1407</v>
      </c>
      <c r="C2390" s="11" t="s">
        <v>440</v>
      </c>
      <c r="E2390" s="8">
        <v>22000</v>
      </c>
      <c r="G2390" s="6">
        <f t="shared" si="39"/>
        <v>22000</v>
      </c>
    </row>
    <row r="2391" spans="1:8" hidden="1" x14ac:dyDescent="0.25">
      <c r="A2391" s="116">
        <v>44362</v>
      </c>
      <c r="B2391" s="10" t="s">
        <v>1407</v>
      </c>
      <c r="C2391" s="11" t="s">
        <v>440</v>
      </c>
      <c r="E2391" s="8">
        <v>38000</v>
      </c>
      <c r="G2391" s="6">
        <f t="shared" si="39"/>
        <v>38000</v>
      </c>
    </row>
    <row r="2392" spans="1:8" hidden="1" x14ac:dyDescent="0.25">
      <c r="A2392" s="116">
        <v>44362</v>
      </c>
      <c r="B2392" s="10" t="s">
        <v>6463</v>
      </c>
      <c r="C2392" s="11" t="s">
        <v>440</v>
      </c>
      <c r="E2392" s="8">
        <v>76000</v>
      </c>
      <c r="G2392" s="6">
        <f t="shared" si="39"/>
        <v>76000</v>
      </c>
    </row>
    <row r="2393" spans="1:8" hidden="1" x14ac:dyDescent="0.25">
      <c r="A2393" s="116">
        <v>44362</v>
      </c>
      <c r="B2393" s="10" t="s">
        <v>6568</v>
      </c>
      <c r="C2393" s="11" t="s">
        <v>440</v>
      </c>
      <c r="E2393" s="8">
        <v>36600</v>
      </c>
      <c r="G2393" s="6">
        <f t="shared" si="39"/>
        <v>36600</v>
      </c>
    </row>
    <row r="2394" spans="1:8" hidden="1" x14ac:dyDescent="0.25">
      <c r="A2394" s="116">
        <v>44355</v>
      </c>
      <c r="B2394" s="10" t="s">
        <v>7017</v>
      </c>
      <c r="C2394" s="11" t="s">
        <v>166</v>
      </c>
      <c r="E2394" s="8">
        <v>21600</v>
      </c>
      <c r="G2394" s="6">
        <f t="shared" si="39"/>
        <v>21600</v>
      </c>
    </row>
    <row r="2395" spans="1:8" hidden="1" x14ac:dyDescent="0.25">
      <c r="A2395" s="116">
        <v>44355</v>
      </c>
      <c r="B2395" s="10" t="s">
        <v>1407</v>
      </c>
      <c r="C2395" s="11" t="s">
        <v>166</v>
      </c>
      <c r="E2395" s="8">
        <v>19200</v>
      </c>
      <c r="G2395" s="6">
        <f t="shared" si="39"/>
        <v>19200</v>
      </c>
    </row>
    <row r="2396" spans="1:8" hidden="1" x14ac:dyDescent="0.25">
      <c r="A2396" s="116">
        <v>44363</v>
      </c>
      <c r="B2396" s="10" t="s">
        <v>6568</v>
      </c>
      <c r="C2396" s="11" t="s">
        <v>166</v>
      </c>
      <c r="E2396" s="8">
        <v>2775</v>
      </c>
      <c r="G2396" s="6">
        <f t="shared" si="39"/>
        <v>2775</v>
      </c>
    </row>
    <row r="2397" spans="1:8" hidden="1" x14ac:dyDescent="0.25">
      <c r="A2397" s="116">
        <v>44359</v>
      </c>
      <c r="B2397" s="10" t="s">
        <v>6568</v>
      </c>
      <c r="C2397" s="11" t="s">
        <v>166</v>
      </c>
      <c r="E2397" s="8">
        <v>9130</v>
      </c>
      <c r="G2397" s="6">
        <f t="shared" si="39"/>
        <v>9130</v>
      </c>
    </row>
    <row r="2398" spans="1:8" hidden="1" x14ac:dyDescent="0.25">
      <c r="A2398" s="116">
        <v>44341</v>
      </c>
      <c r="B2398" s="10" t="s">
        <v>1407</v>
      </c>
      <c r="C2398" s="11" t="s">
        <v>1816</v>
      </c>
      <c r="E2398" s="8">
        <v>20332</v>
      </c>
      <c r="G2398" s="6">
        <f t="shared" si="39"/>
        <v>20332</v>
      </c>
    </row>
    <row r="2399" spans="1:8" hidden="1" x14ac:dyDescent="0.25">
      <c r="A2399" s="116">
        <v>44345</v>
      </c>
      <c r="B2399" s="10" t="s">
        <v>6568</v>
      </c>
      <c r="C2399" s="11" t="s">
        <v>1816</v>
      </c>
      <c r="E2399" s="8">
        <v>33768</v>
      </c>
      <c r="G2399" s="6">
        <f t="shared" si="39"/>
        <v>33768</v>
      </c>
    </row>
    <row r="2400" spans="1:8" hidden="1"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hidden="1" x14ac:dyDescent="0.25">
      <c r="A2402" s="116">
        <v>44365</v>
      </c>
      <c r="B2402" s="10" t="s">
        <v>6463</v>
      </c>
      <c r="C2402" s="11" t="s">
        <v>5731</v>
      </c>
      <c r="F2402" s="9">
        <v>46300</v>
      </c>
      <c r="G2402" s="6">
        <f t="shared" si="39"/>
        <v>-46300</v>
      </c>
      <c r="H2402" s="81"/>
    </row>
    <row r="2403" spans="1:8" hidden="1"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hidden="1" x14ac:dyDescent="0.25">
      <c r="A2408" s="116">
        <v>44371</v>
      </c>
      <c r="B2408" s="10" t="s">
        <v>6463</v>
      </c>
      <c r="C2408" s="11" t="s">
        <v>7086</v>
      </c>
      <c r="E2408" s="8">
        <v>117100</v>
      </c>
      <c r="G2408" s="6">
        <f t="shared" si="39"/>
        <v>117100</v>
      </c>
    </row>
    <row r="2409" spans="1:8" hidden="1" x14ac:dyDescent="0.25">
      <c r="A2409" s="116">
        <v>44212</v>
      </c>
      <c r="B2409" s="10" t="s">
        <v>4760</v>
      </c>
      <c r="C2409" s="11" t="s">
        <v>1828</v>
      </c>
      <c r="F2409" s="9">
        <v>33746</v>
      </c>
      <c r="G2409" s="6">
        <f t="shared" si="39"/>
        <v>-33746</v>
      </c>
    </row>
    <row r="2410" spans="1:8" hidden="1" x14ac:dyDescent="0.25">
      <c r="A2410" s="116">
        <v>44372</v>
      </c>
      <c r="B2410" s="10" t="s">
        <v>6568</v>
      </c>
      <c r="C2410" s="11" t="s">
        <v>3039</v>
      </c>
      <c r="E2410" s="8">
        <v>82595</v>
      </c>
      <c r="G2410" s="6">
        <f t="shared" si="39"/>
        <v>82595</v>
      </c>
    </row>
    <row r="2411" spans="1:8" hidden="1" x14ac:dyDescent="0.25">
      <c r="A2411" s="116">
        <v>44372</v>
      </c>
      <c r="B2411" s="10" t="s">
        <v>1407</v>
      </c>
      <c r="C2411" s="11" t="s">
        <v>164</v>
      </c>
      <c r="E2411" s="8">
        <v>1000</v>
      </c>
      <c r="G2411" s="6">
        <f t="shared" si="39"/>
        <v>1000</v>
      </c>
    </row>
    <row r="2412" spans="1:8" hidden="1" x14ac:dyDescent="0.25">
      <c r="A2412" s="116">
        <v>44373</v>
      </c>
      <c r="B2412" s="10" t="s">
        <v>6575</v>
      </c>
      <c r="C2412" s="11" t="s">
        <v>3738</v>
      </c>
      <c r="F2412" s="9">
        <v>150000</v>
      </c>
      <c r="G2412" s="6">
        <f t="shared" si="39"/>
        <v>-150000</v>
      </c>
      <c r="H2412" s="7" t="s">
        <v>7165</v>
      </c>
    </row>
    <row r="2413" spans="1:8" hidden="1" x14ac:dyDescent="0.25">
      <c r="A2413" s="116">
        <v>44373</v>
      </c>
      <c r="B2413" s="10" t="s">
        <v>2957</v>
      </c>
      <c r="C2413" s="11" t="s">
        <v>6826</v>
      </c>
      <c r="F2413" s="9">
        <v>25000</v>
      </c>
      <c r="G2413" s="6">
        <f t="shared" si="39"/>
        <v>-25000</v>
      </c>
      <c r="H2413" s="7" t="s">
        <v>7178</v>
      </c>
    </row>
    <row r="2414" spans="1:8" hidden="1" x14ac:dyDescent="0.25">
      <c r="A2414" s="116">
        <v>44373</v>
      </c>
      <c r="B2414" s="10" t="s">
        <v>2957</v>
      </c>
      <c r="C2414" s="11" t="s">
        <v>6826</v>
      </c>
      <c r="F2414" s="9">
        <v>10000</v>
      </c>
      <c r="G2414" s="6">
        <f t="shared" si="39"/>
        <v>-10000</v>
      </c>
    </row>
    <row r="2415" spans="1:8" hidden="1" x14ac:dyDescent="0.25">
      <c r="A2415" s="116">
        <v>44373</v>
      </c>
      <c r="B2415" s="10" t="s">
        <v>2957</v>
      </c>
      <c r="C2415" s="11" t="s">
        <v>6826</v>
      </c>
      <c r="F2415" s="9">
        <v>1200</v>
      </c>
      <c r="G2415" s="6">
        <f t="shared" si="39"/>
        <v>-1200</v>
      </c>
      <c r="H2415" s="7" t="s">
        <v>5019</v>
      </c>
    </row>
    <row r="2416" spans="1:8" hidden="1" x14ac:dyDescent="0.25">
      <c r="A2416" s="116">
        <v>44373</v>
      </c>
      <c r="B2416" s="10" t="s">
        <v>6779</v>
      </c>
      <c r="C2416" s="11" t="s">
        <v>4853</v>
      </c>
      <c r="F2416" s="9">
        <v>53870</v>
      </c>
      <c r="G2416" s="6">
        <f t="shared" si="39"/>
        <v>-53870</v>
      </c>
      <c r="H2416" s="81" t="s">
        <v>7094</v>
      </c>
    </row>
    <row r="2417" spans="1:8" hidden="1" x14ac:dyDescent="0.25">
      <c r="A2417" s="116">
        <v>44373</v>
      </c>
      <c r="B2417" s="10" t="s">
        <v>6565</v>
      </c>
      <c r="C2417" s="11" t="s">
        <v>4853</v>
      </c>
      <c r="F2417" s="9">
        <v>16130</v>
      </c>
      <c r="G2417" s="6">
        <f t="shared" si="39"/>
        <v>-16130</v>
      </c>
      <c r="H2417" s="83"/>
    </row>
    <row r="2418" spans="1:8" hidden="1" x14ac:dyDescent="0.25">
      <c r="A2418" s="116">
        <v>44373</v>
      </c>
      <c r="B2418" s="10" t="s">
        <v>6575</v>
      </c>
      <c r="C2418" s="11" t="s">
        <v>162</v>
      </c>
      <c r="F2418" s="9">
        <v>100000</v>
      </c>
      <c r="G2418" s="6">
        <f t="shared" si="39"/>
        <v>-100000</v>
      </c>
      <c r="H2418" s="7" t="s">
        <v>7095</v>
      </c>
    </row>
    <row r="2419" spans="1:8" hidden="1" x14ac:dyDescent="0.25">
      <c r="A2419" s="116">
        <v>44373</v>
      </c>
      <c r="B2419" s="10" t="s">
        <v>6568</v>
      </c>
      <c r="C2419" s="11" t="s">
        <v>5731</v>
      </c>
      <c r="D2419" s="784" t="s">
        <v>9389</v>
      </c>
      <c r="E2419" s="8">
        <v>128600</v>
      </c>
      <c r="G2419" s="6">
        <f t="shared" si="39"/>
        <v>128600</v>
      </c>
    </row>
    <row r="2420" spans="1:8" hidden="1" x14ac:dyDescent="0.25">
      <c r="A2420" s="116">
        <v>44372</v>
      </c>
      <c r="B2420" s="10" t="s">
        <v>7017</v>
      </c>
      <c r="C2420" s="11" t="s">
        <v>166</v>
      </c>
      <c r="E2420" s="8">
        <v>13200</v>
      </c>
      <c r="G2420" s="6">
        <f t="shared" si="39"/>
        <v>13200</v>
      </c>
    </row>
    <row r="2421" spans="1:8" hidden="1" x14ac:dyDescent="0.25">
      <c r="A2421" s="116">
        <v>44372</v>
      </c>
      <c r="B2421" s="10" t="s">
        <v>6568</v>
      </c>
      <c r="C2421" s="11" t="s">
        <v>166</v>
      </c>
      <c r="E2421" s="8">
        <v>13000</v>
      </c>
      <c r="G2421" s="6">
        <f t="shared" si="39"/>
        <v>13000</v>
      </c>
    </row>
    <row r="2422" spans="1:8" hidden="1" x14ac:dyDescent="0.25">
      <c r="A2422" s="116">
        <v>44361</v>
      </c>
      <c r="B2422" s="10" t="s">
        <v>6568</v>
      </c>
      <c r="C2422" s="11" t="s">
        <v>1816</v>
      </c>
      <c r="E2422" s="8">
        <v>50037</v>
      </c>
      <c r="G2422" s="6">
        <f t="shared" si="39"/>
        <v>50037</v>
      </c>
    </row>
    <row r="2423" spans="1:8" hidden="1" x14ac:dyDescent="0.25">
      <c r="A2423" s="116">
        <v>44368</v>
      </c>
      <c r="B2423" s="10" t="s">
        <v>1407</v>
      </c>
      <c r="C2423" s="11" t="s">
        <v>1816</v>
      </c>
      <c r="E2423" s="8">
        <v>34937</v>
      </c>
      <c r="G2423" s="6">
        <f t="shared" si="39"/>
        <v>34937</v>
      </c>
    </row>
    <row r="2424" spans="1:8" hidden="1" x14ac:dyDescent="0.25">
      <c r="A2424" s="116">
        <v>44371</v>
      </c>
      <c r="B2424" s="10" t="s">
        <v>6568</v>
      </c>
      <c r="C2424" s="11" t="s">
        <v>1816</v>
      </c>
      <c r="E2424" s="8">
        <v>7734</v>
      </c>
      <c r="G2424" s="6">
        <f t="shared" si="39"/>
        <v>7734</v>
      </c>
    </row>
    <row r="2425" spans="1:8" hidden="1" x14ac:dyDescent="0.25">
      <c r="A2425" s="116">
        <v>44373</v>
      </c>
      <c r="B2425" s="10" t="s">
        <v>6568</v>
      </c>
      <c r="C2425" s="11" t="s">
        <v>1816</v>
      </c>
      <c r="E2425" s="8">
        <v>3019</v>
      </c>
      <c r="G2425" s="6">
        <f t="shared" si="39"/>
        <v>3019</v>
      </c>
    </row>
    <row r="2426" spans="1:8" hidden="1" x14ac:dyDescent="0.25">
      <c r="A2426" s="116">
        <v>44377</v>
      </c>
      <c r="B2426" s="10" t="s">
        <v>6568</v>
      </c>
      <c r="C2426" s="11" t="s">
        <v>166</v>
      </c>
      <c r="E2426" s="8">
        <v>7920</v>
      </c>
      <c r="G2426" s="6">
        <f t="shared" si="39"/>
        <v>7920</v>
      </c>
    </row>
    <row r="2427" spans="1:8" hidden="1" x14ac:dyDescent="0.25">
      <c r="A2427" s="116">
        <v>44373</v>
      </c>
      <c r="B2427" s="10" t="s">
        <v>7017</v>
      </c>
      <c r="C2427" s="11" t="s">
        <v>440</v>
      </c>
      <c r="E2427" s="8">
        <v>21000</v>
      </c>
      <c r="G2427" s="6">
        <f t="shared" si="39"/>
        <v>21000</v>
      </c>
    </row>
    <row r="2428" spans="1:8" hidden="1" x14ac:dyDescent="0.25">
      <c r="A2428" s="116">
        <v>44377</v>
      </c>
      <c r="B2428" s="10" t="s">
        <v>3979</v>
      </c>
      <c r="C2428" s="11" t="s">
        <v>440</v>
      </c>
      <c r="E2428" s="8">
        <v>55300</v>
      </c>
      <c r="G2428" s="6">
        <f t="shared" si="39"/>
        <v>55300</v>
      </c>
    </row>
    <row r="2429" spans="1:8" hidden="1" x14ac:dyDescent="0.25">
      <c r="A2429" s="116">
        <v>44380</v>
      </c>
      <c r="B2429" s="10" t="s">
        <v>3979</v>
      </c>
      <c r="C2429" s="11" t="s">
        <v>440</v>
      </c>
      <c r="E2429" s="8">
        <v>193500</v>
      </c>
      <c r="G2429" s="6">
        <f t="shared" si="39"/>
        <v>193500</v>
      </c>
    </row>
    <row r="2430" spans="1:8" hidden="1" x14ac:dyDescent="0.25">
      <c r="A2430" s="116">
        <v>44381</v>
      </c>
      <c r="B2430" s="10" t="s">
        <v>6568</v>
      </c>
      <c r="C2430" s="11" t="s">
        <v>440</v>
      </c>
      <c r="E2430" s="8">
        <v>230800</v>
      </c>
      <c r="G2430" s="6">
        <f t="shared" si="39"/>
        <v>230800</v>
      </c>
    </row>
    <row r="2431" spans="1:8" hidden="1" x14ac:dyDescent="0.25">
      <c r="A2431" s="116">
        <v>44384</v>
      </c>
      <c r="B2431" s="10" t="s">
        <v>1407</v>
      </c>
      <c r="C2431" s="11" t="s">
        <v>164</v>
      </c>
      <c r="E2431" s="8">
        <v>21211</v>
      </c>
      <c r="G2431" s="6">
        <f t="shared" si="39"/>
        <v>21211</v>
      </c>
    </row>
    <row r="2432" spans="1:8" hidden="1" x14ac:dyDescent="0.25">
      <c r="A2432" s="116">
        <v>44383</v>
      </c>
      <c r="B2432" s="10" t="s">
        <v>6568</v>
      </c>
      <c r="C2432" s="11" t="s">
        <v>3039</v>
      </c>
      <c r="E2432" s="8">
        <v>11119</v>
      </c>
      <c r="G2432" s="6">
        <f t="shared" si="39"/>
        <v>11119</v>
      </c>
    </row>
    <row r="2433" spans="1:8" hidden="1" x14ac:dyDescent="0.25">
      <c r="A2433" s="116">
        <v>44387</v>
      </c>
      <c r="B2433" s="10" t="s">
        <v>3979</v>
      </c>
      <c r="C2433" s="11" t="s">
        <v>440</v>
      </c>
      <c r="E2433" s="8">
        <v>4000</v>
      </c>
      <c r="G2433" s="6">
        <f t="shared" si="39"/>
        <v>4000</v>
      </c>
    </row>
    <row r="2434" spans="1:8" hidden="1" x14ac:dyDescent="0.25">
      <c r="A2434" s="116">
        <v>44387</v>
      </c>
      <c r="B2434" s="10" t="s">
        <v>7132</v>
      </c>
      <c r="C2434" s="11" t="s">
        <v>440</v>
      </c>
      <c r="E2434" s="8">
        <v>30000</v>
      </c>
      <c r="G2434" s="6">
        <f t="shared" si="39"/>
        <v>30000</v>
      </c>
    </row>
    <row r="2435" spans="1:8" hidden="1" x14ac:dyDescent="0.25">
      <c r="A2435" s="116">
        <v>44390</v>
      </c>
      <c r="B2435" s="10" t="s">
        <v>7017</v>
      </c>
      <c r="C2435" s="11" t="s">
        <v>440</v>
      </c>
      <c r="E2435" s="8">
        <v>113360</v>
      </c>
      <c r="G2435" s="6">
        <f t="shared" si="39"/>
        <v>113360</v>
      </c>
    </row>
    <row r="2436" spans="1:8" hidden="1" x14ac:dyDescent="0.25">
      <c r="A2436" s="116">
        <v>44390</v>
      </c>
      <c r="B2436" s="10" t="s">
        <v>7017</v>
      </c>
      <c r="C2436" s="11" t="s">
        <v>164</v>
      </c>
      <c r="E2436" s="8">
        <v>17710</v>
      </c>
      <c r="G2436" s="6">
        <f t="shared" si="39"/>
        <v>17710</v>
      </c>
    </row>
    <row r="2437" spans="1:8" hidden="1" x14ac:dyDescent="0.25">
      <c r="A2437" s="116">
        <v>44392</v>
      </c>
      <c r="B2437" s="10" t="s">
        <v>6568</v>
      </c>
      <c r="C2437" s="11" t="s">
        <v>3039</v>
      </c>
      <c r="F2437" s="9">
        <v>75000</v>
      </c>
      <c r="G2437" s="6">
        <f t="shared" si="39"/>
        <v>-75000</v>
      </c>
      <c r="H2437" s="7" t="s">
        <v>1164</v>
      </c>
    </row>
    <row r="2438" spans="1:8" hidden="1" x14ac:dyDescent="0.25">
      <c r="A2438" s="116">
        <v>44391</v>
      </c>
      <c r="B2438" s="10" t="s">
        <v>6568</v>
      </c>
      <c r="C2438" s="11" t="s">
        <v>440</v>
      </c>
      <c r="E2438" s="8">
        <v>2710</v>
      </c>
      <c r="G2438" s="6">
        <f t="shared" si="39"/>
        <v>2710</v>
      </c>
    </row>
    <row r="2439" spans="1:8" hidden="1" x14ac:dyDescent="0.25">
      <c r="A2439" s="668">
        <v>44392</v>
      </c>
      <c r="B2439" s="669" t="s">
        <v>6568</v>
      </c>
      <c r="C2439" s="670" t="s">
        <v>166</v>
      </c>
      <c r="E2439" s="671"/>
      <c r="F2439" s="672">
        <v>92178</v>
      </c>
      <c r="G2439" s="673">
        <f t="shared" si="39"/>
        <v>-92178</v>
      </c>
      <c r="H2439" s="1215" t="s">
        <v>7204</v>
      </c>
    </row>
    <row r="2440" spans="1:8" hidden="1" x14ac:dyDescent="0.25">
      <c r="A2440" s="668">
        <v>44392</v>
      </c>
      <c r="B2440" s="669" t="s">
        <v>7017</v>
      </c>
      <c r="C2440" s="670" t="s">
        <v>166</v>
      </c>
      <c r="E2440" s="671"/>
      <c r="F2440" s="674">
        <v>34800</v>
      </c>
      <c r="G2440" s="673">
        <f t="shared" si="39"/>
        <v>-34800</v>
      </c>
      <c r="H2440" s="1216"/>
    </row>
    <row r="2441" spans="1:8" ht="16.5" hidden="1" thickBot="1" x14ac:dyDescent="0.3">
      <c r="A2441" s="668">
        <v>44392</v>
      </c>
      <c r="B2441" s="669" t="s">
        <v>1407</v>
      </c>
      <c r="C2441" s="670" t="s">
        <v>166</v>
      </c>
      <c r="E2441" s="671"/>
      <c r="F2441" s="675">
        <v>23022</v>
      </c>
      <c r="G2441" s="673">
        <f t="shared" si="39"/>
        <v>-23022</v>
      </c>
      <c r="H2441" s="1217"/>
    </row>
    <row r="2442" spans="1:8" hidden="1" x14ac:dyDescent="0.25">
      <c r="A2442" s="661">
        <v>44392</v>
      </c>
      <c r="B2442" s="662" t="s">
        <v>6568</v>
      </c>
      <c r="C2442" s="663" t="s">
        <v>440</v>
      </c>
      <c r="E2442" s="664"/>
      <c r="F2442" s="665">
        <f>480791-39410</f>
        <v>441381</v>
      </c>
      <c r="G2442" s="666">
        <f t="shared" si="39"/>
        <v>-441381</v>
      </c>
      <c r="H2442" s="1220" t="s">
        <v>7206</v>
      </c>
    </row>
    <row r="2443" spans="1:8" hidden="1" x14ac:dyDescent="0.25">
      <c r="A2443" s="661">
        <v>44392</v>
      </c>
      <c r="B2443" s="662" t="s">
        <v>7017</v>
      </c>
      <c r="C2443" s="663" t="s">
        <v>440</v>
      </c>
      <c r="E2443" s="664"/>
      <c r="F2443" s="682">
        <v>39410</v>
      </c>
      <c r="G2443" s="666">
        <f t="shared" si="39"/>
        <v>-39410</v>
      </c>
      <c r="H2443" s="1221"/>
    </row>
    <row r="2444" spans="1:8" ht="16.5" hidden="1" thickBot="1" x14ac:dyDescent="0.3">
      <c r="A2444" s="661">
        <v>44392</v>
      </c>
      <c r="B2444" s="662" t="s">
        <v>6463</v>
      </c>
      <c r="C2444" s="663" t="s">
        <v>440</v>
      </c>
      <c r="E2444" s="664"/>
      <c r="F2444" s="667">
        <v>40445</v>
      </c>
      <c r="G2444" s="666">
        <f t="shared" si="39"/>
        <v>-40445</v>
      </c>
      <c r="H2444" s="1222"/>
    </row>
    <row r="2445" spans="1:8" hidden="1" x14ac:dyDescent="0.25">
      <c r="A2445" s="668">
        <v>44392</v>
      </c>
      <c r="B2445" s="669" t="s">
        <v>7017</v>
      </c>
      <c r="C2445" s="670" t="s">
        <v>440</v>
      </c>
      <c r="E2445" s="671"/>
      <c r="F2445" s="672">
        <v>134360</v>
      </c>
      <c r="G2445" s="673">
        <f t="shared" si="39"/>
        <v>-134360</v>
      </c>
      <c r="H2445" s="1213" t="s">
        <v>7207</v>
      </c>
    </row>
    <row r="2446" spans="1:8" hidden="1" x14ac:dyDescent="0.25">
      <c r="A2446" s="668">
        <v>44392</v>
      </c>
      <c r="B2446" s="669" t="s">
        <v>1407</v>
      </c>
      <c r="C2446" s="670" t="s">
        <v>440</v>
      </c>
      <c r="E2446" s="671"/>
      <c r="F2446" s="674">
        <v>79000</v>
      </c>
      <c r="G2446" s="673">
        <f t="shared" si="39"/>
        <v>-79000</v>
      </c>
      <c r="H2446" s="1214"/>
    </row>
    <row r="2447" spans="1:8" hidden="1" x14ac:dyDescent="0.25">
      <c r="A2447" s="668">
        <v>44392</v>
      </c>
      <c r="B2447" s="669" t="s">
        <v>6463</v>
      </c>
      <c r="C2447" s="670" t="s">
        <v>440</v>
      </c>
      <c r="E2447" s="671"/>
      <c r="F2447" s="674">
        <v>35561</v>
      </c>
      <c r="G2447" s="673">
        <f t="shared" si="39"/>
        <v>-35561</v>
      </c>
      <c r="H2447" s="1214"/>
    </row>
    <row r="2448" spans="1:8" hidden="1" x14ac:dyDescent="0.25">
      <c r="A2448" s="668">
        <v>44392</v>
      </c>
      <c r="B2448" s="669" t="s">
        <v>3979</v>
      </c>
      <c r="C2448" s="670" t="s">
        <v>440</v>
      </c>
      <c r="E2448" s="671"/>
      <c r="F2448" s="674">
        <v>252800</v>
      </c>
      <c r="G2448" s="673">
        <f t="shared" si="39"/>
        <v>-252800</v>
      </c>
      <c r="H2448" s="1214"/>
    </row>
    <row r="2449" spans="1:8" ht="16.5" hidden="1" thickBot="1" x14ac:dyDescent="0.3">
      <c r="A2449" s="668">
        <v>44392</v>
      </c>
      <c r="B2449" s="669" t="s">
        <v>7132</v>
      </c>
      <c r="C2449" s="670" t="s">
        <v>440</v>
      </c>
      <c r="E2449" s="671"/>
      <c r="F2449" s="675">
        <v>209</v>
      </c>
      <c r="G2449" s="673">
        <f t="shared" si="39"/>
        <v>-209</v>
      </c>
      <c r="H2449" s="1214"/>
    </row>
    <row r="2450" spans="1:8" hidden="1" x14ac:dyDescent="0.25">
      <c r="A2450" s="116">
        <v>44392</v>
      </c>
      <c r="B2450" s="10" t="s">
        <v>6568</v>
      </c>
      <c r="C2450" s="11" t="s">
        <v>166</v>
      </c>
      <c r="E2450" s="8">
        <v>4760</v>
      </c>
      <c r="G2450" s="280">
        <f t="shared" si="39"/>
        <v>4760</v>
      </c>
    </row>
    <row r="2451" spans="1:8" hidden="1"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hidden="1" x14ac:dyDescent="0.25">
      <c r="A2453" s="116">
        <v>44394</v>
      </c>
      <c r="B2453" s="10" t="s">
        <v>1407</v>
      </c>
      <c r="C2453" s="11" t="s">
        <v>6867</v>
      </c>
      <c r="F2453" s="9">
        <v>150000</v>
      </c>
      <c r="G2453" s="280">
        <f t="shared" si="39"/>
        <v>-150000</v>
      </c>
      <c r="H2453" s="7" t="s">
        <v>7218</v>
      </c>
    </row>
    <row r="2454" spans="1:8" hidden="1" x14ac:dyDescent="0.25">
      <c r="A2454" s="116">
        <v>44405</v>
      </c>
      <c r="B2454" s="10" t="s">
        <v>1407</v>
      </c>
      <c r="C2454" s="11" t="s">
        <v>164</v>
      </c>
      <c r="E2454" s="8">
        <v>10716</v>
      </c>
      <c r="G2454" s="280">
        <f t="shared" si="39"/>
        <v>10716</v>
      </c>
    </row>
    <row r="2455" spans="1:8" hidden="1" x14ac:dyDescent="0.25">
      <c r="A2455" s="116">
        <v>44405</v>
      </c>
      <c r="B2455" s="10" t="s">
        <v>2957</v>
      </c>
      <c r="C2455" s="11" t="s">
        <v>164</v>
      </c>
      <c r="F2455" s="9">
        <v>10100</v>
      </c>
      <c r="G2455" s="280">
        <f t="shared" si="39"/>
        <v>-10100</v>
      </c>
      <c r="H2455" s="81"/>
    </row>
    <row r="2456" spans="1:8" hidden="1" x14ac:dyDescent="0.25">
      <c r="A2456" s="116">
        <v>44405</v>
      </c>
      <c r="B2456" s="10" t="s">
        <v>11</v>
      </c>
      <c r="C2456" s="11" t="s">
        <v>164</v>
      </c>
      <c r="F2456" s="9">
        <v>3293</v>
      </c>
      <c r="G2456" s="280">
        <f t="shared" si="39"/>
        <v>-3293</v>
      </c>
      <c r="H2456" s="82"/>
    </row>
    <row r="2457" spans="1:8" hidden="1" x14ac:dyDescent="0.25">
      <c r="A2457" s="116">
        <v>44405</v>
      </c>
      <c r="B2457" s="10" t="s">
        <v>2675</v>
      </c>
      <c r="C2457" s="11" t="s">
        <v>164</v>
      </c>
      <c r="F2457" s="9">
        <v>813</v>
      </c>
      <c r="G2457" s="280">
        <f t="shared" si="39"/>
        <v>-813</v>
      </c>
      <c r="H2457" s="82" t="s">
        <v>7245</v>
      </c>
    </row>
    <row r="2458" spans="1:8" hidden="1" x14ac:dyDescent="0.25">
      <c r="A2458" s="116">
        <v>44405</v>
      </c>
      <c r="B2458" s="10" t="s">
        <v>7017</v>
      </c>
      <c r="C2458" s="11" t="s">
        <v>164</v>
      </c>
      <c r="F2458" s="9">
        <v>17710</v>
      </c>
      <c r="G2458" s="280">
        <f t="shared" si="39"/>
        <v>-17710</v>
      </c>
      <c r="H2458" s="82"/>
    </row>
    <row r="2459" spans="1:8" hidden="1" x14ac:dyDescent="0.25">
      <c r="A2459" s="116">
        <v>44405</v>
      </c>
      <c r="B2459" s="10" t="s">
        <v>1407</v>
      </c>
      <c r="C2459" s="11" t="s">
        <v>164</v>
      </c>
      <c r="F2459" s="9">
        <v>28084</v>
      </c>
      <c r="G2459" s="280">
        <f t="shared" si="39"/>
        <v>-28084</v>
      </c>
      <c r="H2459" s="83"/>
    </row>
    <row r="2460" spans="1:8" hidden="1" x14ac:dyDescent="0.25">
      <c r="A2460" s="116">
        <v>44377</v>
      </c>
      <c r="B2460" s="10" t="s">
        <v>6568</v>
      </c>
      <c r="C2460" s="11" t="s">
        <v>1816</v>
      </c>
      <c r="E2460" s="8">
        <v>12141</v>
      </c>
      <c r="G2460" s="280">
        <f t="shared" si="39"/>
        <v>12141</v>
      </c>
    </row>
    <row r="2461" spans="1:8" hidden="1" x14ac:dyDescent="0.25">
      <c r="A2461" s="116">
        <v>44380</v>
      </c>
      <c r="B2461" s="10" t="s">
        <v>6565</v>
      </c>
      <c r="C2461" s="11" t="s">
        <v>1816</v>
      </c>
      <c r="E2461" s="8">
        <v>87672</v>
      </c>
      <c r="G2461" s="280">
        <f t="shared" si="39"/>
        <v>87672</v>
      </c>
    </row>
    <row r="2462" spans="1:8" hidden="1" x14ac:dyDescent="0.25">
      <c r="A2462" s="116">
        <v>44383</v>
      </c>
      <c r="B2462" s="10" t="s">
        <v>6565</v>
      </c>
      <c r="C2462" s="11" t="s">
        <v>1816</v>
      </c>
      <c r="E2462" s="8">
        <v>15308</v>
      </c>
      <c r="G2462" s="280">
        <f t="shared" si="39"/>
        <v>15308</v>
      </c>
    </row>
    <row r="2463" spans="1:8" hidden="1" x14ac:dyDescent="0.25">
      <c r="A2463" s="116">
        <v>44380</v>
      </c>
      <c r="B2463" s="10" t="s">
        <v>6565</v>
      </c>
      <c r="C2463" s="11" t="s">
        <v>1816</v>
      </c>
      <c r="F2463" s="9">
        <v>19745</v>
      </c>
      <c r="G2463" s="280">
        <f t="shared" si="39"/>
        <v>-19745</v>
      </c>
      <c r="H2463" s="7" t="s">
        <v>2337</v>
      </c>
    </row>
    <row r="2464" spans="1:8" hidden="1" x14ac:dyDescent="0.25">
      <c r="A2464" s="116">
        <v>44405</v>
      </c>
      <c r="B2464" s="10" t="s">
        <v>6575</v>
      </c>
      <c r="C2464" s="11" t="s">
        <v>7246</v>
      </c>
      <c r="E2464" s="8">
        <v>68110</v>
      </c>
      <c r="G2464" s="280">
        <f t="shared" si="39"/>
        <v>68110</v>
      </c>
      <c r="H2464" s="7" t="s">
        <v>7247</v>
      </c>
    </row>
    <row r="2465" spans="1:8" hidden="1" x14ac:dyDescent="0.25">
      <c r="A2465" s="116">
        <v>44405</v>
      </c>
      <c r="B2465" s="10" t="s">
        <v>6575</v>
      </c>
      <c r="C2465" s="11" t="s">
        <v>7246</v>
      </c>
      <c r="E2465" s="8">
        <v>39000</v>
      </c>
      <c r="G2465" s="280">
        <f t="shared" si="39"/>
        <v>39000</v>
      </c>
      <c r="H2465" s="7" t="s">
        <v>2729</v>
      </c>
    </row>
    <row r="2466" spans="1:8" hidden="1" x14ac:dyDescent="0.25">
      <c r="A2466" s="116">
        <v>44405</v>
      </c>
      <c r="B2466" s="10" t="s">
        <v>2957</v>
      </c>
      <c r="C2466" s="11" t="s">
        <v>2327</v>
      </c>
      <c r="E2466" s="8">
        <v>12575</v>
      </c>
      <c r="G2466" s="6">
        <f t="shared" si="39"/>
        <v>12575</v>
      </c>
    </row>
    <row r="2467" spans="1:8" hidden="1" x14ac:dyDescent="0.25">
      <c r="A2467" s="116">
        <v>44405</v>
      </c>
      <c r="B2467" s="10" t="s">
        <v>7017</v>
      </c>
      <c r="C2467" s="11" t="s">
        <v>2327</v>
      </c>
      <c r="E2467" s="8">
        <v>35130</v>
      </c>
      <c r="G2467" s="6">
        <f t="shared" si="39"/>
        <v>35130</v>
      </c>
    </row>
    <row r="2468" spans="1:8" hidden="1" x14ac:dyDescent="0.25">
      <c r="A2468" s="116">
        <v>44405</v>
      </c>
      <c r="B2468" s="10" t="s">
        <v>2957</v>
      </c>
      <c r="C2468" s="11" t="s">
        <v>2327</v>
      </c>
      <c r="E2468" s="8">
        <v>22400</v>
      </c>
      <c r="G2468" s="6">
        <f t="shared" si="39"/>
        <v>22400</v>
      </c>
    </row>
    <row r="2469" spans="1:8" hidden="1" x14ac:dyDescent="0.25">
      <c r="A2469" s="116">
        <v>44405</v>
      </c>
      <c r="B2469" s="10" t="s">
        <v>6568</v>
      </c>
      <c r="C2469" s="11" t="s">
        <v>2327</v>
      </c>
      <c r="E2469" s="8">
        <v>26570</v>
      </c>
      <c r="G2469" s="6">
        <f t="shared" si="39"/>
        <v>26570</v>
      </c>
    </row>
    <row r="2470" spans="1:8" hidden="1" x14ac:dyDescent="0.25">
      <c r="A2470" s="116">
        <v>44405</v>
      </c>
      <c r="B2470" s="10" t="s">
        <v>6568</v>
      </c>
      <c r="C2470" s="11" t="s">
        <v>2327</v>
      </c>
      <c r="E2470" s="8">
        <v>78500</v>
      </c>
      <c r="G2470" s="6">
        <f t="shared" si="39"/>
        <v>78500</v>
      </c>
    </row>
    <row r="2471" spans="1:8" hidden="1" x14ac:dyDescent="0.25">
      <c r="A2471" s="116">
        <v>44405</v>
      </c>
      <c r="B2471" s="10" t="s">
        <v>2957</v>
      </c>
      <c r="C2471" s="11" t="s">
        <v>2327</v>
      </c>
      <c r="E2471" s="8">
        <v>27110</v>
      </c>
      <c r="G2471" s="6">
        <f t="shared" si="39"/>
        <v>27110</v>
      </c>
    </row>
    <row r="2472" spans="1:8" hidden="1" x14ac:dyDescent="0.25">
      <c r="A2472" s="116">
        <v>44405</v>
      </c>
      <c r="B2472" s="10" t="s">
        <v>2957</v>
      </c>
      <c r="C2472" s="11" t="s">
        <v>2327</v>
      </c>
      <c r="E2472" s="8">
        <f>4624-920</f>
        <v>3704</v>
      </c>
      <c r="G2472" s="6">
        <f t="shared" si="39"/>
        <v>3704</v>
      </c>
    </row>
    <row r="2473" spans="1:8" hidden="1" x14ac:dyDescent="0.25">
      <c r="A2473" s="116">
        <v>44405</v>
      </c>
      <c r="B2473" s="10" t="s">
        <v>7177</v>
      </c>
      <c r="C2473" s="11" t="s">
        <v>7248</v>
      </c>
      <c r="E2473" s="8">
        <v>31500</v>
      </c>
      <c r="G2473" s="6">
        <f t="shared" si="39"/>
        <v>31500</v>
      </c>
    </row>
    <row r="2474" spans="1:8" hidden="1" x14ac:dyDescent="0.25">
      <c r="A2474" s="116">
        <v>44405</v>
      </c>
      <c r="B2474" s="10" t="s">
        <v>6463</v>
      </c>
      <c r="C2474" s="11" t="s">
        <v>3738</v>
      </c>
      <c r="E2474" s="8">
        <v>111430</v>
      </c>
      <c r="G2474" s="6">
        <f t="shared" si="39"/>
        <v>111430</v>
      </c>
    </row>
    <row r="2475" spans="1:8" hidden="1" x14ac:dyDescent="0.25">
      <c r="A2475" s="116">
        <v>44406</v>
      </c>
      <c r="B2475" s="10" t="s">
        <v>7017</v>
      </c>
      <c r="C2475" s="11" t="s">
        <v>164</v>
      </c>
      <c r="E2475" s="8">
        <v>9655</v>
      </c>
      <c r="G2475" s="6">
        <f t="shared" si="39"/>
        <v>9655</v>
      </c>
    </row>
    <row r="2476" spans="1:8" hidden="1" x14ac:dyDescent="0.25">
      <c r="A2476" s="116">
        <v>44406</v>
      </c>
      <c r="B2476" s="10" t="s">
        <v>6568</v>
      </c>
      <c r="C2476" s="10" t="s">
        <v>2609</v>
      </c>
      <c r="E2476" s="8">
        <v>269000</v>
      </c>
      <c r="G2476" s="6">
        <f t="shared" si="39"/>
        <v>269000</v>
      </c>
    </row>
    <row r="2477" spans="1:8" hidden="1" x14ac:dyDescent="0.25">
      <c r="A2477" s="116">
        <v>44406</v>
      </c>
      <c r="B2477" s="10" t="s">
        <v>6568</v>
      </c>
      <c r="C2477" s="10" t="s">
        <v>2609</v>
      </c>
      <c r="F2477" s="9">
        <v>200000</v>
      </c>
      <c r="G2477" s="6">
        <f t="shared" si="39"/>
        <v>-200000</v>
      </c>
      <c r="H2477" s="7" t="s">
        <v>7260</v>
      </c>
    </row>
    <row r="2478" spans="1:8" hidden="1" x14ac:dyDescent="0.25">
      <c r="A2478" s="116">
        <v>44405</v>
      </c>
      <c r="B2478" s="10" t="s">
        <v>7017</v>
      </c>
      <c r="C2478" s="11" t="s">
        <v>440</v>
      </c>
      <c r="E2478" s="8">
        <v>56900</v>
      </c>
      <c r="G2478" s="6">
        <f t="shared" si="39"/>
        <v>56900</v>
      </c>
    </row>
    <row r="2479" spans="1:8" hidden="1" x14ac:dyDescent="0.25">
      <c r="A2479" s="116">
        <v>44411</v>
      </c>
      <c r="B2479" s="10" t="s">
        <v>7017</v>
      </c>
      <c r="C2479" s="11" t="s">
        <v>440</v>
      </c>
      <c r="E2479" s="8">
        <v>22000</v>
      </c>
      <c r="G2479" s="6">
        <f t="shared" si="39"/>
        <v>22000</v>
      </c>
    </row>
    <row r="2480" spans="1:8" hidden="1" x14ac:dyDescent="0.25">
      <c r="A2480" s="116">
        <v>44412</v>
      </c>
      <c r="B2480" s="10" t="s">
        <v>7017</v>
      </c>
      <c r="C2480" s="11" t="s">
        <v>7248</v>
      </c>
      <c r="E2480" s="8">
        <v>13500</v>
      </c>
      <c r="G2480" s="6">
        <f t="shared" ref="G2480:G2522" si="40">E2480-F2480</f>
        <v>13500</v>
      </c>
    </row>
    <row r="2481" spans="1:8" hidden="1" x14ac:dyDescent="0.25">
      <c r="A2481" s="116">
        <v>44413</v>
      </c>
      <c r="B2481" s="10" t="s">
        <v>2957</v>
      </c>
      <c r="C2481" s="11" t="s">
        <v>2327</v>
      </c>
      <c r="F2481" s="9">
        <v>65789</v>
      </c>
      <c r="G2481" s="6">
        <f t="shared" si="40"/>
        <v>-65789</v>
      </c>
      <c r="H2481" s="1173" t="s">
        <v>7281</v>
      </c>
    </row>
    <row r="2482" spans="1:8" hidden="1" x14ac:dyDescent="0.25">
      <c r="A2482" s="116">
        <v>44413</v>
      </c>
      <c r="B2482" s="10" t="s">
        <v>1407</v>
      </c>
      <c r="C2482" s="11" t="s">
        <v>2327</v>
      </c>
      <c r="F2482" s="9">
        <v>934</v>
      </c>
      <c r="G2482" s="6">
        <f t="shared" si="40"/>
        <v>-934</v>
      </c>
      <c r="H2482" s="1174"/>
    </row>
    <row r="2483" spans="1:8" hidden="1" x14ac:dyDescent="0.25">
      <c r="A2483" s="116">
        <v>44413</v>
      </c>
      <c r="B2483" s="10" t="s">
        <v>7017</v>
      </c>
      <c r="C2483" s="11" t="s">
        <v>2327</v>
      </c>
      <c r="F2483" s="9">
        <v>35130</v>
      </c>
      <c r="G2483" s="6">
        <f t="shared" si="40"/>
        <v>-35130</v>
      </c>
      <c r="H2483" s="1174"/>
    </row>
    <row r="2484" spans="1:8" hidden="1" x14ac:dyDescent="0.25">
      <c r="A2484" s="116">
        <v>44413</v>
      </c>
      <c r="B2484" s="10" t="s">
        <v>6568</v>
      </c>
      <c r="C2484" s="11" t="s">
        <v>2327</v>
      </c>
      <c r="F2484" s="9">
        <v>105070</v>
      </c>
      <c r="G2484" s="6">
        <f t="shared" si="40"/>
        <v>-105070</v>
      </c>
      <c r="H2484" s="1175"/>
    </row>
    <row r="2485" spans="1:8" hidden="1" x14ac:dyDescent="0.25">
      <c r="A2485" s="116">
        <v>44413</v>
      </c>
      <c r="B2485" s="10" t="s">
        <v>6575</v>
      </c>
      <c r="C2485" s="11" t="s">
        <v>7246</v>
      </c>
      <c r="F2485" s="9">
        <v>96000</v>
      </c>
      <c r="G2485" s="6">
        <f t="shared" si="40"/>
        <v>-96000</v>
      </c>
      <c r="H2485" s="7" t="s">
        <v>7282</v>
      </c>
    </row>
    <row r="2486" spans="1:8" hidden="1" x14ac:dyDescent="0.25">
      <c r="A2486" s="116">
        <v>44413</v>
      </c>
      <c r="B2486" s="10" t="s">
        <v>6575</v>
      </c>
      <c r="C2486" s="11" t="s">
        <v>7246</v>
      </c>
      <c r="F2486" s="9">
        <v>11110</v>
      </c>
      <c r="G2486" s="6">
        <f t="shared" si="40"/>
        <v>-11110</v>
      </c>
      <c r="H2486" s="7" t="s">
        <v>7283</v>
      </c>
    </row>
    <row r="2487" spans="1:8" hidden="1" x14ac:dyDescent="0.25">
      <c r="A2487" s="116">
        <v>44419</v>
      </c>
      <c r="B2487" s="10" t="s">
        <v>1407</v>
      </c>
      <c r="C2487" s="11" t="s">
        <v>5731</v>
      </c>
      <c r="D2487" s="784" t="s">
        <v>9388</v>
      </c>
      <c r="E2487" s="8">
        <v>3000</v>
      </c>
      <c r="G2487" s="6">
        <f t="shared" si="40"/>
        <v>3000</v>
      </c>
    </row>
    <row r="2488" spans="1:8" hidden="1" x14ac:dyDescent="0.25">
      <c r="A2488" s="116">
        <v>44419</v>
      </c>
      <c r="B2488" s="10" t="s">
        <v>6463</v>
      </c>
      <c r="C2488" s="11" t="s">
        <v>5731</v>
      </c>
      <c r="D2488" s="784" t="s">
        <v>9387</v>
      </c>
      <c r="E2488" s="8">
        <v>9500</v>
      </c>
      <c r="G2488" s="6">
        <f t="shared" si="40"/>
        <v>9500</v>
      </c>
    </row>
    <row r="2489" spans="1:8" hidden="1" x14ac:dyDescent="0.25">
      <c r="A2489" s="116">
        <v>44419</v>
      </c>
      <c r="B2489" s="10" t="s">
        <v>6463</v>
      </c>
      <c r="C2489" s="11" t="s">
        <v>7309</v>
      </c>
      <c r="E2489" s="8">
        <v>2404</v>
      </c>
      <c r="G2489" s="6">
        <f t="shared" si="40"/>
        <v>2404</v>
      </c>
    </row>
    <row r="2490" spans="1:8" hidden="1" x14ac:dyDescent="0.25">
      <c r="A2490" s="116">
        <v>44419</v>
      </c>
      <c r="B2490" s="10" t="s">
        <v>1407</v>
      </c>
      <c r="C2490" s="11" t="s">
        <v>7309</v>
      </c>
      <c r="E2490" s="8">
        <v>17273</v>
      </c>
      <c r="G2490" s="6">
        <f t="shared" si="40"/>
        <v>17273</v>
      </c>
    </row>
    <row r="2491" spans="1:8" hidden="1" x14ac:dyDescent="0.25">
      <c r="A2491" s="116">
        <v>44419</v>
      </c>
      <c r="B2491" s="10" t="s">
        <v>7177</v>
      </c>
      <c r="C2491" s="11" t="s">
        <v>7309</v>
      </c>
      <c r="E2491" s="8">
        <v>153871</v>
      </c>
      <c r="G2491" s="6">
        <f t="shared" si="40"/>
        <v>153871</v>
      </c>
    </row>
    <row r="2492" spans="1:8" hidden="1" x14ac:dyDescent="0.25">
      <c r="A2492" s="116">
        <v>44419</v>
      </c>
      <c r="B2492" s="10" t="s">
        <v>7017</v>
      </c>
      <c r="C2492" s="11" t="s">
        <v>7309</v>
      </c>
      <c r="E2492" s="8">
        <v>253657</v>
      </c>
      <c r="G2492" s="6">
        <f t="shared" si="40"/>
        <v>253657</v>
      </c>
    </row>
    <row r="2493" spans="1:8" hidden="1" x14ac:dyDescent="0.25">
      <c r="A2493" s="116">
        <v>44407</v>
      </c>
      <c r="B2493" s="10" t="s">
        <v>7017</v>
      </c>
      <c r="C2493" s="11" t="s">
        <v>7309</v>
      </c>
      <c r="F2493" s="9">
        <v>200000</v>
      </c>
      <c r="G2493" s="6">
        <f t="shared" si="40"/>
        <v>-200000</v>
      </c>
      <c r="H2493" s="7" t="s">
        <v>7259</v>
      </c>
    </row>
    <row r="2494" spans="1:8" hidden="1" x14ac:dyDescent="0.25">
      <c r="A2494" s="116">
        <v>44420</v>
      </c>
      <c r="B2494" s="10" t="s">
        <v>7177</v>
      </c>
      <c r="C2494" s="11" t="s">
        <v>7309</v>
      </c>
      <c r="F2494" s="9">
        <v>100000</v>
      </c>
      <c r="G2494" s="6">
        <f t="shared" si="40"/>
        <v>-100000</v>
      </c>
      <c r="H2494" s="7" t="s">
        <v>7310</v>
      </c>
    </row>
    <row r="2495" spans="1:8" hidden="1" x14ac:dyDescent="0.25">
      <c r="A2495" s="116">
        <v>44420</v>
      </c>
      <c r="B2495" s="10" t="s">
        <v>2957</v>
      </c>
      <c r="C2495" s="11" t="s">
        <v>2327</v>
      </c>
      <c r="E2495" s="8">
        <v>19800</v>
      </c>
      <c r="G2495" s="6">
        <f t="shared" si="40"/>
        <v>19800</v>
      </c>
    </row>
    <row r="2496" spans="1:8" hidden="1" x14ac:dyDescent="0.25">
      <c r="A2496" s="116">
        <v>44425</v>
      </c>
      <c r="B2496" s="10" t="s">
        <v>6568</v>
      </c>
      <c r="C2496" s="11" t="s">
        <v>440</v>
      </c>
      <c r="F2496" s="9">
        <v>39410</v>
      </c>
      <c r="G2496" s="6">
        <f t="shared" si="40"/>
        <v>-39410</v>
      </c>
      <c r="H2496" s="7" t="s">
        <v>6563</v>
      </c>
    </row>
    <row r="2497" spans="1:8" hidden="1" x14ac:dyDescent="0.25">
      <c r="A2497" s="116">
        <v>44389</v>
      </c>
      <c r="B2497" s="10" t="s">
        <v>7017</v>
      </c>
      <c r="C2497" s="11" t="s">
        <v>166</v>
      </c>
      <c r="E2497" s="8">
        <v>8175</v>
      </c>
      <c r="G2497" s="6">
        <f t="shared" si="40"/>
        <v>8175</v>
      </c>
    </row>
    <row r="2498" spans="1:8" hidden="1" x14ac:dyDescent="0.25">
      <c r="A2498" s="116">
        <v>44389</v>
      </c>
      <c r="B2498" s="10" t="s">
        <v>7017</v>
      </c>
      <c r="C2498" s="11" t="s">
        <v>169</v>
      </c>
      <c r="E2498" s="8">
        <v>19000</v>
      </c>
      <c r="G2498" s="6">
        <f t="shared" si="40"/>
        <v>19000</v>
      </c>
    </row>
    <row r="2499" spans="1:8" hidden="1" x14ac:dyDescent="0.25">
      <c r="A2499" s="116">
        <v>44389</v>
      </c>
      <c r="B2499" s="10" t="s">
        <v>7017</v>
      </c>
      <c r="C2499" s="11" t="s">
        <v>7309</v>
      </c>
      <c r="E2499" s="8">
        <v>10800</v>
      </c>
      <c r="G2499" s="6">
        <f t="shared" si="40"/>
        <v>10800</v>
      </c>
    </row>
    <row r="2500" spans="1:8" hidden="1" x14ac:dyDescent="0.25">
      <c r="A2500" s="116">
        <v>44394</v>
      </c>
      <c r="B2500" s="10" t="s">
        <v>7017</v>
      </c>
      <c r="C2500" s="11" t="s">
        <v>440</v>
      </c>
      <c r="E2500" s="8">
        <v>58300</v>
      </c>
      <c r="G2500" s="6">
        <f t="shared" si="40"/>
        <v>58300</v>
      </c>
    </row>
    <row r="2501" spans="1:8" hidden="1" x14ac:dyDescent="0.25">
      <c r="A2501" s="116">
        <v>44431</v>
      </c>
      <c r="B2501" s="10" t="s">
        <v>7017</v>
      </c>
      <c r="C2501" s="11" t="s">
        <v>7309</v>
      </c>
      <c r="F2501" s="9">
        <v>50000</v>
      </c>
      <c r="G2501" s="6">
        <f t="shared" si="40"/>
        <v>-50000</v>
      </c>
      <c r="H2501" s="1226" t="s">
        <v>7320</v>
      </c>
    </row>
    <row r="2502" spans="1:8" hidden="1" x14ac:dyDescent="0.25">
      <c r="A2502" s="116">
        <v>44431</v>
      </c>
      <c r="B2502" s="10" t="s">
        <v>7177</v>
      </c>
      <c r="C2502" s="11" t="s">
        <v>7309</v>
      </c>
      <c r="F2502" s="9">
        <v>50000</v>
      </c>
      <c r="G2502" s="6">
        <f t="shared" si="40"/>
        <v>-50000</v>
      </c>
      <c r="H2502" s="1226"/>
    </row>
    <row r="2503" spans="1:8" hidden="1" x14ac:dyDescent="0.25">
      <c r="A2503" s="116">
        <v>44406</v>
      </c>
      <c r="B2503" s="10" t="s">
        <v>6568</v>
      </c>
      <c r="C2503" s="11" t="s">
        <v>440</v>
      </c>
      <c r="E2503" s="8">
        <v>18500</v>
      </c>
      <c r="G2503" s="6">
        <f t="shared" si="40"/>
        <v>18500</v>
      </c>
    </row>
    <row r="2504" spans="1:8" hidden="1" x14ac:dyDescent="0.25">
      <c r="A2504" s="116">
        <v>44382</v>
      </c>
      <c r="B2504" s="10" t="s">
        <v>6568</v>
      </c>
      <c r="C2504" s="11" t="s">
        <v>440</v>
      </c>
      <c r="E2504" s="8">
        <v>10900</v>
      </c>
      <c r="G2504" s="6">
        <f t="shared" si="40"/>
        <v>10900</v>
      </c>
    </row>
    <row r="2505" spans="1:8" hidden="1" x14ac:dyDescent="0.25">
      <c r="A2505" s="116">
        <v>44382</v>
      </c>
      <c r="B2505" s="10" t="s">
        <v>6568</v>
      </c>
      <c r="C2505" s="11" t="s">
        <v>440</v>
      </c>
      <c r="E2505" s="8">
        <v>15900</v>
      </c>
      <c r="G2505" s="6">
        <f t="shared" si="40"/>
        <v>15900</v>
      </c>
    </row>
    <row r="2506" spans="1:8" hidden="1" x14ac:dyDescent="0.25">
      <c r="A2506" s="116">
        <v>44413</v>
      </c>
      <c r="B2506" s="10" t="s">
        <v>7017</v>
      </c>
      <c r="C2506" s="11" t="s">
        <v>440</v>
      </c>
      <c r="E2506" s="8">
        <v>44500</v>
      </c>
      <c r="G2506" s="6">
        <f t="shared" si="40"/>
        <v>44500</v>
      </c>
    </row>
    <row r="2507" spans="1:8" hidden="1" x14ac:dyDescent="0.25">
      <c r="A2507" s="116">
        <v>44417</v>
      </c>
      <c r="B2507" s="10" t="s">
        <v>6463</v>
      </c>
      <c r="C2507" s="11" t="s">
        <v>440</v>
      </c>
      <c r="E2507" s="8">
        <v>87105</v>
      </c>
      <c r="G2507" s="6">
        <f t="shared" si="40"/>
        <v>87105</v>
      </c>
    </row>
    <row r="2508" spans="1:8" hidden="1" x14ac:dyDescent="0.25">
      <c r="A2508" s="116">
        <v>44420</v>
      </c>
      <c r="B2508" s="10" t="s">
        <v>1407</v>
      </c>
      <c r="C2508" s="11" t="s">
        <v>440</v>
      </c>
      <c r="E2508" s="8">
        <v>170800</v>
      </c>
      <c r="G2508" s="6">
        <f t="shared" si="40"/>
        <v>170800</v>
      </c>
    </row>
    <row r="2509" spans="1:8" hidden="1" x14ac:dyDescent="0.25">
      <c r="A2509" s="116">
        <v>44420</v>
      </c>
      <c r="B2509" s="10" t="s">
        <v>1407</v>
      </c>
      <c r="C2509" s="11" t="s">
        <v>1816</v>
      </c>
      <c r="F2509" s="9">
        <v>485000</v>
      </c>
      <c r="G2509" s="6">
        <f t="shared" si="40"/>
        <v>-485000</v>
      </c>
      <c r="H2509" s="7" t="s">
        <v>7333</v>
      </c>
    </row>
    <row r="2510" spans="1:8" hidden="1" x14ac:dyDescent="0.25">
      <c r="A2510" s="116">
        <v>44447</v>
      </c>
      <c r="B2510" s="10" t="s">
        <v>6463</v>
      </c>
      <c r="C2510" s="11" t="s">
        <v>3738</v>
      </c>
      <c r="F2510" s="9">
        <v>100000</v>
      </c>
      <c r="G2510" s="6">
        <f t="shared" si="40"/>
        <v>-100000</v>
      </c>
      <c r="H2510" s="7" t="s">
        <v>7343</v>
      </c>
    </row>
    <row r="2511" spans="1:8" hidden="1" x14ac:dyDescent="0.25">
      <c r="A2511" s="116">
        <v>44455</v>
      </c>
      <c r="B2511" s="10" t="s">
        <v>2675</v>
      </c>
      <c r="C2511" s="11" t="s">
        <v>180</v>
      </c>
      <c r="F2511" s="9">
        <v>30210</v>
      </c>
      <c r="G2511" s="6">
        <f t="shared" si="40"/>
        <v>-30210</v>
      </c>
      <c r="H2511" s="7" t="s">
        <v>7358</v>
      </c>
    </row>
    <row r="2512" spans="1:8" hidden="1" x14ac:dyDescent="0.25">
      <c r="A2512" s="116">
        <v>44391</v>
      </c>
      <c r="B2512" s="10" t="s">
        <v>7017</v>
      </c>
      <c r="C2512" s="11" t="s">
        <v>166</v>
      </c>
      <c r="E2512" s="8">
        <v>28800</v>
      </c>
      <c r="G2512" s="6">
        <f t="shared" si="40"/>
        <v>28800</v>
      </c>
    </row>
    <row r="2513" spans="1:8" hidden="1" x14ac:dyDescent="0.25">
      <c r="A2513" s="116">
        <v>44392</v>
      </c>
      <c r="B2513" s="10" t="s">
        <v>7177</v>
      </c>
      <c r="C2513" s="11" t="s">
        <v>166</v>
      </c>
      <c r="E2513" s="8">
        <v>23400</v>
      </c>
      <c r="G2513" s="6">
        <f t="shared" si="40"/>
        <v>23400</v>
      </c>
    </row>
    <row r="2514" spans="1:8" hidden="1" x14ac:dyDescent="0.25">
      <c r="A2514" s="116">
        <v>44403</v>
      </c>
      <c r="B2514" s="10" t="s">
        <v>7017</v>
      </c>
      <c r="C2514" s="11" t="s">
        <v>166</v>
      </c>
      <c r="E2514" s="8">
        <v>21000</v>
      </c>
      <c r="G2514" s="6">
        <f t="shared" si="40"/>
        <v>21000</v>
      </c>
    </row>
    <row r="2515" spans="1:8" hidden="1" x14ac:dyDescent="0.25">
      <c r="A2515" s="116">
        <v>44403</v>
      </c>
      <c r="B2515" s="10" t="s">
        <v>1407</v>
      </c>
      <c r="C2515" s="11" t="s">
        <v>166</v>
      </c>
      <c r="E2515" s="8">
        <v>12780</v>
      </c>
      <c r="G2515" s="6">
        <f t="shared" si="40"/>
        <v>12780</v>
      </c>
    </row>
    <row r="2516" spans="1:8" hidden="1" x14ac:dyDescent="0.25">
      <c r="A2516" s="116">
        <v>44404</v>
      </c>
      <c r="B2516" s="10" t="s">
        <v>7017</v>
      </c>
      <c r="C2516" s="11" t="s">
        <v>166</v>
      </c>
      <c r="E2516" s="8">
        <v>7380</v>
      </c>
      <c r="G2516" s="6">
        <f t="shared" si="40"/>
        <v>7380</v>
      </c>
    </row>
    <row r="2517" spans="1:8" hidden="1" x14ac:dyDescent="0.25">
      <c r="A2517" s="116">
        <v>44405</v>
      </c>
      <c r="B2517" s="10" t="s">
        <v>7017</v>
      </c>
      <c r="C2517" s="11" t="s">
        <v>166</v>
      </c>
      <c r="E2517" s="8">
        <v>6800</v>
      </c>
      <c r="G2517" s="6">
        <f t="shared" si="40"/>
        <v>6800</v>
      </c>
    </row>
    <row r="2518" spans="1:8" hidden="1" x14ac:dyDescent="0.25">
      <c r="A2518" s="116">
        <v>44406</v>
      </c>
      <c r="B2518" s="10" t="s">
        <v>7017</v>
      </c>
      <c r="C2518" s="11" t="s">
        <v>166</v>
      </c>
      <c r="E2518" s="8">
        <v>30725</v>
      </c>
      <c r="G2518" s="6">
        <f t="shared" si="40"/>
        <v>30725</v>
      </c>
    </row>
    <row r="2519" spans="1:8" hidden="1" x14ac:dyDescent="0.25">
      <c r="A2519" s="116">
        <v>44406</v>
      </c>
      <c r="B2519" s="10" t="s">
        <v>6568</v>
      </c>
      <c r="C2519" s="11" t="s">
        <v>166</v>
      </c>
      <c r="E2519" s="8">
        <v>1995</v>
      </c>
      <c r="G2519" s="6">
        <f t="shared" si="40"/>
        <v>1995</v>
      </c>
    </row>
    <row r="2520" spans="1:8" hidden="1" x14ac:dyDescent="0.25">
      <c r="A2520" s="116">
        <v>44407</v>
      </c>
      <c r="B2520" s="10" t="s">
        <v>7017</v>
      </c>
      <c r="C2520" s="11" t="s">
        <v>166</v>
      </c>
      <c r="E2520" s="8">
        <v>13000</v>
      </c>
      <c r="G2520" s="6">
        <f t="shared" si="40"/>
        <v>13000</v>
      </c>
    </row>
    <row r="2521" spans="1:8" hidden="1" x14ac:dyDescent="0.25">
      <c r="A2521" s="116">
        <v>44412</v>
      </c>
      <c r="B2521" s="10" t="s">
        <v>7017</v>
      </c>
      <c r="C2521" s="11" t="s">
        <v>166</v>
      </c>
      <c r="E2521" s="8">
        <v>7800</v>
      </c>
      <c r="G2521" s="6">
        <f t="shared" si="40"/>
        <v>7800</v>
      </c>
    </row>
    <row r="2522" spans="1:8" hidden="1" x14ac:dyDescent="0.25">
      <c r="A2522" s="116">
        <v>44419</v>
      </c>
      <c r="B2522" s="10" t="s">
        <v>6463</v>
      </c>
      <c r="C2522" s="11" t="s">
        <v>166</v>
      </c>
      <c r="E2522" s="8">
        <v>13600</v>
      </c>
      <c r="G2522" s="6">
        <f t="shared" si="40"/>
        <v>13600</v>
      </c>
    </row>
    <row r="2523" spans="1:8" hidden="1" x14ac:dyDescent="0.25">
      <c r="A2523" s="116">
        <v>44429</v>
      </c>
      <c r="B2523" s="10" t="s">
        <v>7177</v>
      </c>
      <c r="C2523" s="11" t="s">
        <v>166</v>
      </c>
      <c r="E2523" s="8">
        <v>23400</v>
      </c>
      <c r="G2523" s="6">
        <f t="shared" ref="G2523:G2563" si="41">E2523-F2523</f>
        <v>23400</v>
      </c>
    </row>
    <row r="2524" spans="1:8" hidden="1" x14ac:dyDescent="0.25">
      <c r="A2524" s="116">
        <v>44380</v>
      </c>
      <c r="B2524" s="10" t="s">
        <v>7132</v>
      </c>
      <c r="C2524" s="11" t="s">
        <v>166</v>
      </c>
      <c r="E2524" s="8">
        <v>22290</v>
      </c>
      <c r="G2524" s="6">
        <f t="shared" si="41"/>
        <v>22290</v>
      </c>
    </row>
    <row r="2525" spans="1:8" hidden="1" x14ac:dyDescent="0.25">
      <c r="A2525" s="116">
        <v>44455</v>
      </c>
      <c r="B2525" s="10" t="s">
        <v>6565</v>
      </c>
      <c r="C2525" s="11" t="s">
        <v>180</v>
      </c>
      <c r="F2525" s="9">
        <v>250000</v>
      </c>
      <c r="G2525" s="6">
        <f t="shared" si="41"/>
        <v>-250000</v>
      </c>
      <c r="H2525" s="7" t="s">
        <v>7362</v>
      </c>
    </row>
    <row r="2526" spans="1:8" hidden="1" x14ac:dyDescent="0.25">
      <c r="A2526" s="116">
        <v>44455</v>
      </c>
      <c r="B2526" s="10" t="s">
        <v>6568</v>
      </c>
      <c r="C2526" s="11" t="s">
        <v>440</v>
      </c>
      <c r="E2526" s="8">
        <v>92500</v>
      </c>
      <c r="G2526" s="6">
        <f t="shared" si="41"/>
        <v>92500</v>
      </c>
    </row>
    <row r="2527" spans="1:8" hidden="1" x14ac:dyDescent="0.25">
      <c r="A2527" s="116">
        <v>44455</v>
      </c>
      <c r="B2527" s="10" t="s">
        <v>7177</v>
      </c>
      <c r="C2527" s="11" t="s">
        <v>7248</v>
      </c>
      <c r="F2527" s="9">
        <v>25000</v>
      </c>
      <c r="G2527" s="6">
        <f t="shared" si="41"/>
        <v>-25000</v>
      </c>
    </row>
    <row r="2528" spans="1:8" hidden="1" x14ac:dyDescent="0.25">
      <c r="A2528" s="116">
        <v>44456</v>
      </c>
      <c r="B2528" s="10" t="s">
        <v>7017</v>
      </c>
      <c r="C2528" s="11" t="s">
        <v>440</v>
      </c>
      <c r="F2528" s="9">
        <v>142290</v>
      </c>
      <c r="G2528" s="6">
        <f t="shared" si="41"/>
        <v>-142290</v>
      </c>
      <c r="H2528" s="1173" t="s">
        <v>7368</v>
      </c>
    </row>
    <row r="2529" spans="1:8" hidden="1" x14ac:dyDescent="0.25">
      <c r="A2529" s="116">
        <v>44456</v>
      </c>
      <c r="B2529" s="10" t="s">
        <v>6568</v>
      </c>
      <c r="C2529" s="11" t="s">
        <v>440</v>
      </c>
      <c r="F2529" s="9">
        <v>137800</v>
      </c>
      <c r="G2529" s="6">
        <f t="shared" si="41"/>
        <v>-137800</v>
      </c>
      <c r="H2529" s="1174"/>
    </row>
    <row r="2530" spans="1:8" hidden="1" x14ac:dyDescent="0.25">
      <c r="A2530" s="116">
        <v>44456</v>
      </c>
      <c r="B2530" s="10" t="s">
        <v>7132</v>
      </c>
      <c r="C2530" s="11" t="s">
        <v>440</v>
      </c>
      <c r="F2530" s="9">
        <v>29791</v>
      </c>
      <c r="G2530" s="6">
        <f t="shared" si="41"/>
        <v>-29791</v>
      </c>
      <c r="H2530" s="1174"/>
    </row>
    <row r="2531" spans="1:8" hidden="1" x14ac:dyDescent="0.25">
      <c r="A2531" s="116">
        <v>44456</v>
      </c>
      <c r="B2531" s="10" t="s">
        <v>6463</v>
      </c>
      <c r="C2531" s="11" t="s">
        <v>440</v>
      </c>
      <c r="F2531" s="9">
        <v>87105</v>
      </c>
      <c r="G2531" s="6">
        <f t="shared" si="41"/>
        <v>-87105</v>
      </c>
      <c r="H2531" s="1174"/>
    </row>
    <row r="2532" spans="1:8" hidden="1" x14ac:dyDescent="0.25">
      <c r="A2532" s="116">
        <v>44456</v>
      </c>
      <c r="B2532" s="10" t="s">
        <v>1407</v>
      </c>
      <c r="C2532" s="11" t="s">
        <v>440</v>
      </c>
      <c r="F2532" s="9">
        <v>3014</v>
      </c>
      <c r="G2532" s="6">
        <f t="shared" si="41"/>
        <v>-3014</v>
      </c>
      <c r="H2532" s="1175"/>
    </row>
    <row r="2533" spans="1:8" hidden="1" x14ac:dyDescent="0.25">
      <c r="A2533" s="116">
        <v>44456</v>
      </c>
      <c r="B2533" s="10" t="s">
        <v>6575</v>
      </c>
      <c r="C2533" s="11" t="s">
        <v>162</v>
      </c>
      <c r="F2533" s="9">
        <v>45000</v>
      </c>
      <c r="G2533" s="6">
        <f t="shared" si="41"/>
        <v>-45000</v>
      </c>
    </row>
    <row r="2534" spans="1:8" hidden="1" x14ac:dyDescent="0.25">
      <c r="A2534" s="116">
        <v>44456</v>
      </c>
      <c r="B2534" s="10" t="s">
        <v>1407</v>
      </c>
      <c r="C2534" s="11" t="s">
        <v>6867</v>
      </c>
      <c r="F2534" s="9">
        <v>186000</v>
      </c>
      <c r="G2534" s="6">
        <f t="shared" si="41"/>
        <v>-186000</v>
      </c>
      <c r="H2534" s="7" t="s">
        <v>7378</v>
      </c>
    </row>
    <row r="2535" spans="1:8" hidden="1" x14ac:dyDescent="0.25">
      <c r="A2535" s="116">
        <v>44457</v>
      </c>
      <c r="B2535" s="10" t="s">
        <v>1407</v>
      </c>
      <c r="C2535" s="11" t="s">
        <v>6867</v>
      </c>
      <c r="F2535" s="9">
        <v>100000</v>
      </c>
      <c r="G2535" s="6">
        <f t="shared" si="41"/>
        <v>-100000</v>
      </c>
      <c r="H2535" s="7" t="s">
        <v>7379</v>
      </c>
    </row>
    <row r="2536" spans="1:8" hidden="1" x14ac:dyDescent="0.25">
      <c r="A2536" s="116">
        <v>44458</v>
      </c>
      <c r="B2536" s="10" t="s">
        <v>1407</v>
      </c>
      <c r="C2536" s="11" t="s">
        <v>1828</v>
      </c>
      <c r="D2536" s="785" t="s">
        <v>8255</v>
      </c>
      <c r="E2536" s="8">
        <v>17148</v>
      </c>
      <c r="G2536" s="6">
        <f>E2536-F2536</f>
        <v>17148</v>
      </c>
    </row>
    <row r="2537" spans="1:8" hidden="1" x14ac:dyDescent="0.25">
      <c r="A2537" s="116">
        <v>44392</v>
      </c>
      <c r="B2537" s="10" t="s">
        <v>6565</v>
      </c>
      <c r="C2537" s="11" t="s">
        <v>1816</v>
      </c>
      <c r="E2537" s="8">
        <v>1664</v>
      </c>
      <c r="G2537" s="6">
        <f t="shared" si="41"/>
        <v>1664</v>
      </c>
    </row>
    <row r="2538" spans="1:8" hidden="1" x14ac:dyDescent="0.25">
      <c r="A2538" s="116">
        <v>44410</v>
      </c>
      <c r="B2538" s="10" t="s">
        <v>6463</v>
      </c>
      <c r="C2538" s="11" t="s">
        <v>1816</v>
      </c>
      <c r="E2538" s="8">
        <v>46108</v>
      </c>
      <c r="G2538" s="6">
        <f t="shared" si="41"/>
        <v>46108</v>
      </c>
    </row>
    <row r="2539" spans="1:8" hidden="1" x14ac:dyDescent="0.25">
      <c r="A2539" s="116">
        <v>44411</v>
      </c>
      <c r="B2539" s="10" t="s">
        <v>6565</v>
      </c>
      <c r="C2539" s="11" t="s">
        <v>1816</v>
      </c>
      <c r="E2539" s="8">
        <v>32518</v>
      </c>
      <c r="G2539" s="6">
        <f t="shared" si="41"/>
        <v>32518</v>
      </c>
    </row>
    <row r="2540" spans="1:8" hidden="1" x14ac:dyDescent="0.25">
      <c r="A2540" s="116">
        <v>44418</v>
      </c>
      <c r="B2540" s="10" t="s">
        <v>1407</v>
      </c>
      <c r="C2540" s="11" t="s">
        <v>1816</v>
      </c>
      <c r="E2540" s="8">
        <v>16360</v>
      </c>
      <c r="G2540" s="6">
        <f t="shared" si="41"/>
        <v>16360</v>
      </c>
    </row>
    <row r="2541" spans="1:8" hidden="1" x14ac:dyDescent="0.25">
      <c r="A2541" s="116">
        <v>44424</v>
      </c>
      <c r="B2541" s="10" t="s">
        <v>6463</v>
      </c>
      <c r="C2541" s="11" t="s">
        <v>1816</v>
      </c>
      <c r="E2541" s="8">
        <v>12103</v>
      </c>
      <c r="G2541" s="6">
        <f t="shared" si="41"/>
        <v>12103</v>
      </c>
    </row>
    <row r="2542" spans="1:8" hidden="1" x14ac:dyDescent="0.25">
      <c r="A2542" s="116">
        <v>44424</v>
      </c>
      <c r="B2542" s="10" t="s">
        <v>6565</v>
      </c>
      <c r="C2542" s="11" t="s">
        <v>1816</v>
      </c>
      <c r="E2542" s="8">
        <v>96855</v>
      </c>
      <c r="G2542" s="6">
        <f t="shared" si="41"/>
        <v>96855</v>
      </c>
    </row>
    <row r="2543" spans="1:8" hidden="1" x14ac:dyDescent="0.25">
      <c r="A2543" s="116">
        <v>44429</v>
      </c>
      <c r="B2543" s="10" t="s">
        <v>6565</v>
      </c>
      <c r="C2543" s="11" t="s">
        <v>1816</v>
      </c>
      <c r="E2543" s="8">
        <v>1756</v>
      </c>
      <c r="G2543" s="6">
        <f t="shared" si="41"/>
        <v>1756</v>
      </c>
    </row>
    <row r="2544" spans="1:8" hidden="1" x14ac:dyDescent="0.25">
      <c r="A2544" s="116">
        <v>44431</v>
      </c>
      <c r="B2544" s="10" t="s">
        <v>6565</v>
      </c>
      <c r="C2544" s="11" t="s">
        <v>1816</v>
      </c>
      <c r="E2544" s="8">
        <v>1343</v>
      </c>
      <c r="G2544" s="6">
        <f t="shared" si="41"/>
        <v>1343</v>
      </c>
    </row>
    <row r="2545" spans="1:8" hidden="1" x14ac:dyDescent="0.25">
      <c r="A2545" s="116">
        <v>44440</v>
      </c>
      <c r="B2545" s="10" t="s">
        <v>1407</v>
      </c>
      <c r="C2545" s="11" t="s">
        <v>1816</v>
      </c>
      <c r="E2545" s="8">
        <v>1827</v>
      </c>
      <c r="G2545" s="6">
        <f t="shared" si="41"/>
        <v>1827</v>
      </c>
    </row>
    <row r="2546" spans="1:8" hidden="1" x14ac:dyDescent="0.25">
      <c r="A2546" s="116">
        <v>44439</v>
      </c>
      <c r="B2546" s="10" t="s">
        <v>6568</v>
      </c>
      <c r="C2546" s="11" t="s">
        <v>1816</v>
      </c>
      <c r="F2546" s="9">
        <v>33680</v>
      </c>
      <c r="G2546" s="6">
        <f t="shared" si="41"/>
        <v>-33680</v>
      </c>
      <c r="H2546" s="7" t="s">
        <v>6563</v>
      </c>
    </row>
    <row r="2547" spans="1:8" hidden="1" x14ac:dyDescent="0.25">
      <c r="A2547" s="116">
        <v>44457</v>
      </c>
      <c r="B2547" s="10" t="s">
        <v>6463</v>
      </c>
      <c r="C2547" s="11" t="s">
        <v>2327</v>
      </c>
      <c r="E2547" s="8">
        <v>8300</v>
      </c>
      <c r="G2547" s="6">
        <f t="shared" si="41"/>
        <v>8300</v>
      </c>
    </row>
    <row r="2548" spans="1:8" hidden="1" x14ac:dyDescent="0.25">
      <c r="A2548" s="116">
        <v>44460</v>
      </c>
      <c r="B2548" s="10" t="s">
        <v>7177</v>
      </c>
      <c r="C2548" s="11" t="s">
        <v>166</v>
      </c>
      <c r="F2548" s="9">
        <v>46800</v>
      </c>
      <c r="G2548" s="6">
        <f t="shared" si="41"/>
        <v>-46800</v>
      </c>
      <c r="H2548" s="1227" t="s">
        <v>7384</v>
      </c>
    </row>
    <row r="2549" spans="1:8" hidden="1" x14ac:dyDescent="0.25">
      <c r="A2549" s="116">
        <v>44460</v>
      </c>
      <c r="B2549" s="10" t="s">
        <v>7017</v>
      </c>
      <c r="C2549" s="11" t="s">
        <v>166</v>
      </c>
      <c r="F2549" s="9">
        <v>123680</v>
      </c>
      <c r="G2549" s="6">
        <f t="shared" si="41"/>
        <v>-123680</v>
      </c>
      <c r="H2549" s="1227"/>
    </row>
    <row r="2550" spans="1:8" hidden="1" x14ac:dyDescent="0.25">
      <c r="A2550" s="116">
        <v>44460</v>
      </c>
      <c r="B2550" s="10" t="s">
        <v>6463</v>
      </c>
      <c r="C2550" s="11" t="s">
        <v>166</v>
      </c>
      <c r="F2550" s="9">
        <v>13600</v>
      </c>
      <c r="G2550" s="6">
        <f t="shared" si="41"/>
        <v>-13600</v>
      </c>
      <c r="H2550" s="1227"/>
    </row>
    <row r="2551" spans="1:8" hidden="1" x14ac:dyDescent="0.25">
      <c r="A2551" s="116">
        <v>44460</v>
      </c>
      <c r="B2551" s="10" t="s">
        <v>6568</v>
      </c>
      <c r="C2551" s="11" t="s">
        <v>166</v>
      </c>
      <c r="F2551" s="9">
        <v>6755</v>
      </c>
      <c r="G2551" s="6">
        <f t="shared" si="41"/>
        <v>-6755</v>
      </c>
      <c r="H2551" s="1227"/>
    </row>
    <row r="2552" spans="1:8" hidden="1" x14ac:dyDescent="0.25">
      <c r="A2552" s="116">
        <v>44460</v>
      </c>
      <c r="B2552" s="10" t="s">
        <v>1407</v>
      </c>
      <c r="C2552" s="11" t="s">
        <v>166</v>
      </c>
      <c r="F2552" s="9">
        <v>9165</v>
      </c>
      <c r="G2552" s="6">
        <f t="shared" si="41"/>
        <v>-9165</v>
      </c>
      <c r="H2552" s="1227"/>
    </row>
    <row r="2553" spans="1:8" hidden="1" x14ac:dyDescent="0.25">
      <c r="A2553" s="116">
        <v>44464</v>
      </c>
      <c r="B2553" s="10" t="s">
        <v>7132</v>
      </c>
      <c r="C2553" s="11" t="s">
        <v>180</v>
      </c>
      <c r="E2553" s="8">
        <v>234864</v>
      </c>
      <c r="G2553" s="6">
        <f t="shared" si="41"/>
        <v>234864</v>
      </c>
    </row>
    <row r="2554" spans="1:8" hidden="1" x14ac:dyDescent="0.25">
      <c r="A2554" s="116">
        <v>44453</v>
      </c>
      <c r="B2554" s="10" t="s">
        <v>1407</v>
      </c>
      <c r="C2554" s="11" t="s">
        <v>1828</v>
      </c>
      <c r="E2554" s="8">
        <v>63580</v>
      </c>
      <c r="G2554" s="6">
        <f t="shared" si="41"/>
        <v>63580</v>
      </c>
    </row>
    <row r="2555" spans="1:8" hidden="1" x14ac:dyDescent="0.25">
      <c r="A2555" s="116">
        <v>44457</v>
      </c>
      <c r="B2555" s="10" t="s">
        <v>7132</v>
      </c>
      <c r="C2555" s="11" t="s">
        <v>166</v>
      </c>
      <c r="E2555" s="8">
        <v>13200</v>
      </c>
      <c r="G2555" s="6">
        <f t="shared" si="41"/>
        <v>13200</v>
      </c>
    </row>
    <row r="2556" spans="1:8" hidden="1" x14ac:dyDescent="0.25">
      <c r="A2556" s="116">
        <v>44469</v>
      </c>
      <c r="B2556" s="10" t="s">
        <v>7017</v>
      </c>
      <c r="C2556" s="11" t="s">
        <v>7248</v>
      </c>
      <c r="F2556" s="9">
        <v>13500</v>
      </c>
      <c r="G2556" s="6">
        <f t="shared" si="41"/>
        <v>-13500</v>
      </c>
    </row>
    <row r="2557" spans="1:8" hidden="1" x14ac:dyDescent="0.25">
      <c r="A2557" s="116">
        <v>44469</v>
      </c>
      <c r="B2557" s="10" t="s">
        <v>7177</v>
      </c>
      <c r="C2557" s="11" t="s">
        <v>7248</v>
      </c>
      <c r="F2557" s="9">
        <v>6500</v>
      </c>
      <c r="G2557" s="6">
        <f t="shared" si="41"/>
        <v>-6500</v>
      </c>
    </row>
    <row r="2558" spans="1:8" hidden="1" x14ac:dyDescent="0.25">
      <c r="A2558" s="116">
        <v>44476</v>
      </c>
      <c r="B2558" s="10" t="s">
        <v>6568</v>
      </c>
      <c r="C2558" s="683" t="s">
        <v>2609</v>
      </c>
      <c r="E2558" s="684"/>
      <c r="F2558" s="588"/>
      <c r="G2558" s="686">
        <f t="shared" si="41"/>
        <v>0</v>
      </c>
      <c r="H2558" s="7" t="s">
        <v>7436</v>
      </c>
    </row>
    <row r="2559" spans="1:8" hidden="1" x14ac:dyDescent="0.25">
      <c r="A2559" s="116">
        <v>44476</v>
      </c>
      <c r="B2559" s="10" t="s">
        <v>1407</v>
      </c>
      <c r="C2559" s="670" t="s">
        <v>7309</v>
      </c>
      <c r="E2559" s="671"/>
      <c r="F2559" s="674">
        <v>17273</v>
      </c>
      <c r="G2559" s="673">
        <f t="shared" si="41"/>
        <v>-17273</v>
      </c>
      <c r="H2559" s="1226" t="s">
        <v>7433</v>
      </c>
    </row>
    <row r="2560" spans="1:8" hidden="1" x14ac:dyDescent="0.25">
      <c r="A2560" s="116">
        <v>44476</v>
      </c>
      <c r="B2560" s="10" t="s">
        <v>6463</v>
      </c>
      <c r="C2560" s="670" t="s">
        <v>7309</v>
      </c>
      <c r="E2560" s="671"/>
      <c r="F2560" s="674">
        <v>2404</v>
      </c>
      <c r="G2560" s="673">
        <f t="shared" si="41"/>
        <v>-2404</v>
      </c>
      <c r="H2560" s="1226"/>
    </row>
    <row r="2561" spans="1:8" hidden="1" x14ac:dyDescent="0.25">
      <c r="A2561" s="116">
        <v>44476</v>
      </c>
      <c r="B2561" s="10" t="s">
        <v>7017</v>
      </c>
      <c r="C2561" s="670" t="s">
        <v>7309</v>
      </c>
      <c r="E2561" s="671"/>
      <c r="F2561" s="674">
        <v>14457</v>
      </c>
      <c r="G2561" s="673">
        <f t="shared" si="41"/>
        <v>-14457</v>
      </c>
      <c r="H2561" s="1226"/>
    </row>
    <row r="2562" spans="1:8" hidden="1" x14ac:dyDescent="0.25">
      <c r="A2562" s="116">
        <v>44476</v>
      </c>
      <c r="B2562" s="10" t="s">
        <v>7177</v>
      </c>
      <c r="C2562" s="670" t="s">
        <v>7309</v>
      </c>
      <c r="E2562" s="671"/>
      <c r="F2562" s="674">
        <v>3866</v>
      </c>
      <c r="G2562" s="673">
        <f t="shared" si="41"/>
        <v>-3866</v>
      </c>
      <c r="H2562" s="1226"/>
    </row>
    <row r="2563" spans="1:8" hidden="1" x14ac:dyDescent="0.25">
      <c r="A2563" s="116">
        <v>44476</v>
      </c>
      <c r="B2563" s="10" t="s">
        <v>7177</v>
      </c>
      <c r="C2563" s="670" t="s">
        <v>7309</v>
      </c>
      <c r="E2563" s="671"/>
      <c r="F2563" s="674">
        <v>5</v>
      </c>
      <c r="G2563" s="673">
        <f t="shared" si="41"/>
        <v>-5</v>
      </c>
      <c r="H2563" s="7" t="s">
        <v>7431</v>
      </c>
    </row>
    <row r="2564" spans="1:8" hidden="1" x14ac:dyDescent="0.25">
      <c r="A2564" s="116">
        <v>44482</v>
      </c>
      <c r="B2564" s="10" t="s">
        <v>6568</v>
      </c>
      <c r="C2564" s="683" t="s">
        <v>2609</v>
      </c>
      <c r="E2564" s="684"/>
      <c r="F2564" s="685">
        <v>50000</v>
      </c>
      <c r="G2564" s="686">
        <f t="shared" ref="G2564:G2650" si="42">E2564-F2564</f>
        <v>-50000</v>
      </c>
      <c r="H2564" s="7" t="s">
        <v>7454</v>
      </c>
    </row>
    <row r="2565" spans="1:8" hidden="1" x14ac:dyDescent="0.25">
      <c r="A2565" s="116">
        <v>44482</v>
      </c>
      <c r="B2565" s="10" t="s">
        <v>7132</v>
      </c>
      <c r="C2565" s="11" t="s">
        <v>164</v>
      </c>
      <c r="E2565" s="8">
        <v>47966</v>
      </c>
      <c r="G2565" s="280">
        <f t="shared" si="42"/>
        <v>47966</v>
      </c>
    </row>
    <row r="2566" spans="1:8" hidden="1" x14ac:dyDescent="0.25">
      <c r="A2566" s="116">
        <v>44482</v>
      </c>
      <c r="B2566" s="10" t="s">
        <v>7132</v>
      </c>
      <c r="C2566" s="11" t="s">
        <v>164</v>
      </c>
      <c r="E2566" s="8">
        <v>20787</v>
      </c>
      <c r="G2566" s="280">
        <f t="shared" si="42"/>
        <v>20787</v>
      </c>
    </row>
    <row r="2567" spans="1:8" hidden="1"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hidden="1" x14ac:dyDescent="0.25">
      <c r="A2583" s="116">
        <v>44483</v>
      </c>
      <c r="B2583" s="10" t="s">
        <v>7132</v>
      </c>
      <c r="C2583" s="11" t="s">
        <v>180</v>
      </c>
      <c r="E2583" s="8">
        <v>52200</v>
      </c>
      <c r="G2583" s="6">
        <f t="shared" si="42"/>
        <v>52200</v>
      </c>
    </row>
    <row r="2584" spans="1:7" hidden="1" x14ac:dyDescent="0.25">
      <c r="A2584" s="116">
        <v>44452</v>
      </c>
      <c r="B2584" s="10" t="s">
        <v>3979</v>
      </c>
      <c r="C2584" s="11" t="s">
        <v>440</v>
      </c>
      <c r="D2584" s="784">
        <v>23090</v>
      </c>
      <c r="E2584" s="8">
        <v>161200</v>
      </c>
      <c r="G2584" s="6">
        <f t="shared" si="42"/>
        <v>161200</v>
      </c>
    </row>
    <row r="2585" spans="1:7" hidden="1" x14ac:dyDescent="0.25">
      <c r="A2585" s="116">
        <v>44442</v>
      </c>
      <c r="B2585" s="10" t="s">
        <v>5862</v>
      </c>
      <c r="C2585" s="11" t="s">
        <v>440</v>
      </c>
      <c r="D2585" s="784">
        <v>23076</v>
      </c>
      <c r="E2585" s="8">
        <v>63000</v>
      </c>
      <c r="G2585" s="6">
        <f t="shared" si="42"/>
        <v>63000</v>
      </c>
    </row>
    <row r="2586" spans="1:7" hidden="1" x14ac:dyDescent="0.25">
      <c r="A2586" s="116">
        <v>44478</v>
      </c>
      <c r="B2586" s="693" t="s">
        <v>7132</v>
      </c>
      <c r="C2586" s="85" t="s">
        <v>166</v>
      </c>
      <c r="D2586" s="784">
        <v>2772</v>
      </c>
      <c r="E2586" s="231">
        <v>22365</v>
      </c>
      <c r="G2586" s="6">
        <f t="shared" si="42"/>
        <v>22365</v>
      </c>
    </row>
    <row r="2587" spans="1:7" hidden="1" x14ac:dyDescent="0.25">
      <c r="A2587" s="116">
        <v>44478</v>
      </c>
      <c r="B2587" s="693" t="s">
        <v>7132</v>
      </c>
      <c r="C2587" s="85" t="s">
        <v>166</v>
      </c>
      <c r="D2587" s="784">
        <v>2768</v>
      </c>
      <c r="E2587" s="231">
        <v>13200</v>
      </c>
      <c r="G2587" s="6">
        <f t="shared" si="42"/>
        <v>13200</v>
      </c>
    </row>
    <row r="2588" spans="1:7" hidden="1" x14ac:dyDescent="0.25">
      <c r="A2588" s="116">
        <v>44481</v>
      </c>
      <c r="B2588" s="10" t="s">
        <v>7132</v>
      </c>
      <c r="C2588" s="11" t="s">
        <v>166</v>
      </c>
      <c r="D2588" s="784">
        <v>17495</v>
      </c>
      <c r="E2588" s="8">
        <v>112632</v>
      </c>
      <c r="G2588" s="6">
        <f t="shared" si="42"/>
        <v>112632</v>
      </c>
    </row>
    <row r="2589" spans="1:7" hidden="1" x14ac:dyDescent="0.25">
      <c r="A2589" s="116">
        <v>44489</v>
      </c>
      <c r="B2589" s="10" t="s">
        <v>7132</v>
      </c>
      <c r="C2589" s="11" t="s">
        <v>166</v>
      </c>
      <c r="D2589" s="784">
        <v>17542</v>
      </c>
      <c r="E2589" s="8">
        <v>159144</v>
      </c>
      <c r="G2589" s="6">
        <f t="shared" si="42"/>
        <v>159144</v>
      </c>
    </row>
    <row r="2590" spans="1:7" hidden="1" x14ac:dyDescent="0.25">
      <c r="A2590" s="116">
        <v>44490</v>
      </c>
      <c r="B2590" s="10" t="s">
        <v>7017</v>
      </c>
      <c r="C2590" s="11" t="s">
        <v>166</v>
      </c>
      <c r="D2590" s="784">
        <v>2821</v>
      </c>
      <c r="E2590" s="8">
        <v>1100</v>
      </c>
      <c r="G2590" s="6">
        <f t="shared" si="42"/>
        <v>1100</v>
      </c>
    </row>
    <row r="2591" spans="1:7" hidden="1" x14ac:dyDescent="0.25">
      <c r="A2591" s="116">
        <v>44494</v>
      </c>
      <c r="B2591" s="10" t="s">
        <v>7132</v>
      </c>
      <c r="C2591" s="11" t="s">
        <v>166</v>
      </c>
      <c r="D2591" s="784">
        <v>2844</v>
      </c>
      <c r="E2591" s="8">
        <v>14875</v>
      </c>
      <c r="G2591" s="6">
        <f t="shared" si="42"/>
        <v>14875</v>
      </c>
    </row>
    <row r="2592" spans="1:7" hidden="1" x14ac:dyDescent="0.25">
      <c r="A2592" s="116">
        <v>44495</v>
      </c>
      <c r="B2592" s="10" t="s">
        <v>7132</v>
      </c>
      <c r="C2592" s="11" t="s">
        <v>166</v>
      </c>
      <c r="D2592" s="784">
        <v>2849</v>
      </c>
      <c r="E2592" s="8">
        <v>5100</v>
      </c>
      <c r="G2592" s="6">
        <f t="shared" si="42"/>
        <v>5100</v>
      </c>
    </row>
    <row r="2593" spans="1:8" hidden="1" x14ac:dyDescent="0.25">
      <c r="A2593" s="116">
        <v>44495</v>
      </c>
      <c r="B2593" s="10" t="s">
        <v>7132</v>
      </c>
      <c r="C2593" s="11" t="s">
        <v>2327</v>
      </c>
      <c r="E2593" s="8">
        <v>280400</v>
      </c>
      <c r="G2593" s="6">
        <f t="shared" si="42"/>
        <v>280400</v>
      </c>
    </row>
    <row r="2594" spans="1:8" hidden="1" x14ac:dyDescent="0.25">
      <c r="A2594" s="116">
        <v>44494</v>
      </c>
      <c r="B2594" s="10" t="s">
        <v>7132</v>
      </c>
      <c r="C2594" s="11" t="s">
        <v>164</v>
      </c>
      <c r="D2594" s="785" t="s">
        <v>7495</v>
      </c>
      <c r="E2594" s="8">
        <v>40225</v>
      </c>
      <c r="G2594" s="6">
        <f t="shared" si="42"/>
        <v>40225</v>
      </c>
    </row>
    <row r="2595" spans="1:8" hidden="1" x14ac:dyDescent="0.25">
      <c r="A2595" s="272">
        <v>44494</v>
      </c>
      <c r="B2595" s="10" t="s">
        <v>7132</v>
      </c>
      <c r="C2595" s="11" t="s">
        <v>164</v>
      </c>
      <c r="D2595" s="785" t="s">
        <v>7496</v>
      </c>
      <c r="E2595" s="694">
        <v>1520</v>
      </c>
      <c r="G2595" s="6">
        <f t="shared" si="42"/>
        <v>1520</v>
      </c>
    </row>
    <row r="2596" spans="1:8" hidden="1" x14ac:dyDescent="0.25">
      <c r="A2596" s="116">
        <v>44495</v>
      </c>
      <c r="B2596" s="21" t="s">
        <v>1407</v>
      </c>
      <c r="C2596" s="759" t="s">
        <v>440</v>
      </c>
      <c r="D2596" s="782"/>
      <c r="E2596" s="760"/>
      <c r="F2596" s="761">
        <v>75800</v>
      </c>
      <c r="G2596" s="14">
        <f t="shared" si="42"/>
        <v>-75800</v>
      </c>
      <c r="H2596" s="1223" t="s">
        <v>7501</v>
      </c>
    </row>
    <row r="2597" spans="1:8" hidden="1" x14ac:dyDescent="0.25">
      <c r="A2597" s="116">
        <v>44495</v>
      </c>
      <c r="B2597" s="21" t="s">
        <v>5862</v>
      </c>
      <c r="C2597" s="759" t="s">
        <v>440</v>
      </c>
      <c r="D2597" s="782"/>
      <c r="E2597" s="760"/>
      <c r="F2597" s="761">
        <v>63000</v>
      </c>
      <c r="G2597" s="14">
        <f t="shared" si="42"/>
        <v>-63000</v>
      </c>
      <c r="H2597" s="1223"/>
    </row>
    <row r="2598" spans="1:8" hidden="1" x14ac:dyDescent="0.25">
      <c r="A2598" s="116">
        <v>44495</v>
      </c>
      <c r="B2598" s="21" t="s">
        <v>3979</v>
      </c>
      <c r="C2598" s="759" t="s">
        <v>440</v>
      </c>
      <c r="D2598" s="782"/>
      <c r="E2598" s="760"/>
      <c r="F2598" s="761">
        <v>161200</v>
      </c>
      <c r="G2598" s="14">
        <f t="shared" si="42"/>
        <v>-161200</v>
      </c>
      <c r="H2598" s="1223"/>
    </row>
    <row r="2599" spans="1:8" ht="15.75" hidden="1" customHeight="1" x14ac:dyDescent="0.25">
      <c r="A2599" s="116">
        <v>44495</v>
      </c>
      <c r="B2599" s="21" t="s">
        <v>6463</v>
      </c>
      <c r="C2599" s="731" t="s">
        <v>2327</v>
      </c>
      <c r="D2599" s="782"/>
      <c r="E2599" s="732"/>
      <c r="F2599" s="733">
        <v>8300</v>
      </c>
      <c r="G2599" s="14">
        <f t="shared" si="42"/>
        <v>-8300</v>
      </c>
      <c r="H2599" s="1223" t="s">
        <v>7501</v>
      </c>
    </row>
    <row r="2600" spans="1:8" hidden="1" x14ac:dyDescent="0.25">
      <c r="A2600" s="116">
        <v>44495</v>
      </c>
      <c r="B2600" s="21" t="s">
        <v>7132</v>
      </c>
      <c r="C2600" s="731" t="s">
        <v>2327</v>
      </c>
      <c r="D2600" s="782"/>
      <c r="E2600" s="732"/>
      <c r="F2600" s="733">
        <v>280400</v>
      </c>
      <c r="G2600" s="14">
        <f t="shared" si="42"/>
        <v>-280400</v>
      </c>
      <c r="H2600" s="1223"/>
    </row>
    <row r="2601" spans="1:8" hidden="1" x14ac:dyDescent="0.25">
      <c r="A2601" s="116">
        <v>44495</v>
      </c>
      <c r="B2601" s="21" t="s">
        <v>2957</v>
      </c>
      <c r="C2601" s="731" t="s">
        <v>2327</v>
      </c>
      <c r="D2601" s="782"/>
      <c r="E2601" s="732"/>
      <c r="F2601" s="733">
        <v>11300</v>
      </c>
      <c r="G2601" s="14">
        <f t="shared" si="42"/>
        <v>-11300</v>
      </c>
      <c r="H2601" s="1223"/>
    </row>
    <row r="2602" spans="1:8" hidden="1" x14ac:dyDescent="0.25">
      <c r="A2602" s="116">
        <v>44499</v>
      </c>
      <c r="B2602" s="21" t="s">
        <v>7132</v>
      </c>
      <c r="C2602" s="13" t="s">
        <v>164</v>
      </c>
      <c r="D2602" s="782"/>
      <c r="E2602" s="22">
        <v>1598</v>
      </c>
      <c r="F2602" s="19"/>
      <c r="G2602" s="14">
        <f t="shared" si="42"/>
        <v>1598</v>
      </c>
      <c r="H2602" s="13"/>
    </row>
    <row r="2603" spans="1:8" hidden="1" x14ac:dyDescent="0.25">
      <c r="A2603" s="116">
        <v>44470</v>
      </c>
      <c r="B2603" s="21" t="s">
        <v>7627</v>
      </c>
      <c r="C2603" s="13" t="s">
        <v>164</v>
      </c>
      <c r="D2603" s="794" t="s">
        <v>7512</v>
      </c>
      <c r="E2603" s="22">
        <v>460774</v>
      </c>
      <c r="F2603" s="19"/>
      <c r="G2603" s="14">
        <f t="shared" si="42"/>
        <v>460774</v>
      </c>
      <c r="H2603" s="13"/>
    </row>
    <row r="2604" spans="1:8" hidden="1" x14ac:dyDescent="0.25">
      <c r="A2604" s="116">
        <v>44499</v>
      </c>
      <c r="B2604" s="21" t="s">
        <v>7132</v>
      </c>
      <c r="C2604" s="13" t="s">
        <v>164</v>
      </c>
      <c r="D2604" s="794" t="s">
        <v>7517</v>
      </c>
      <c r="E2604" s="22">
        <v>15282</v>
      </c>
      <c r="F2604" s="19"/>
      <c r="G2604" s="14">
        <f t="shared" si="42"/>
        <v>15282</v>
      </c>
      <c r="H2604" s="13"/>
    </row>
    <row r="2605" spans="1:8" hidden="1" x14ac:dyDescent="0.25">
      <c r="A2605" s="116">
        <v>44503</v>
      </c>
      <c r="B2605" s="21" t="s">
        <v>7132</v>
      </c>
      <c r="C2605" s="13" t="s">
        <v>164</v>
      </c>
      <c r="D2605" s="794" t="s">
        <v>7518</v>
      </c>
      <c r="E2605" s="22">
        <v>10984</v>
      </c>
      <c r="F2605" s="19"/>
      <c r="G2605" s="14">
        <f t="shared" si="42"/>
        <v>10984</v>
      </c>
      <c r="H2605" s="13"/>
    </row>
    <row r="2606" spans="1:8" hidden="1" x14ac:dyDescent="0.25">
      <c r="A2606" s="116">
        <v>44504</v>
      </c>
      <c r="B2606" s="21" t="s">
        <v>7132</v>
      </c>
      <c r="C2606" s="13" t="s">
        <v>164</v>
      </c>
      <c r="D2606" s="794" t="s">
        <v>7519</v>
      </c>
      <c r="E2606" s="22">
        <v>1676</v>
      </c>
      <c r="F2606" s="19"/>
      <c r="G2606" s="14">
        <f t="shared" si="42"/>
        <v>1676</v>
      </c>
      <c r="H2606" s="13"/>
    </row>
    <row r="2607" spans="1:8" hidden="1" x14ac:dyDescent="0.25">
      <c r="A2607" s="116">
        <v>44505</v>
      </c>
      <c r="B2607" s="21" t="s">
        <v>7177</v>
      </c>
      <c r="C2607" s="13" t="s">
        <v>164</v>
      </c>
      <c r="D2607" s="794" t="s">
        <v>7520</v>
      </c>
      <c r="E2607" s="22">
        <v>20030</v>
      </c>
      <c r="F2607" s="19"/>
      <c r="G2607" s="14">
        <f t="shared" si="42"/>
        <v>20030</v>
      </c>
      <c r="H2607" s="13"/>
    </row>
    <row r="2608" spans="1:8" hidden="1" x14ac:dyDescent="0.25">
      <c r="A2608" s="116">
        <v>44236</v>
      </c>
      <c r="B2608" s="21" t="s">
        <v>6568</v>
      </c>
      <c r="C2608" s="13" t="s">
        <v>7538</v>
      </c>
      <c r="D2608" s="782">
        <v>30000219</v>
      </c>
      <c r="E2608" s="22">
        <v>4660</v>
      </c>
      <c r="F2608" s="19"/>
      <c r="G2608" s="14">
        <f t="shared" si="42"/>
        <v>4660</v>
      </c>
      <c r="H2608" s="13"/>
    </row>
    <row r="2609" spans="1:8" hidden="1" x14ac:dyDescent="0.25">
      <c r="A2609" s="116">
        <v>44365</v>
      </c>
      <c r="B2609" s="21" t="s">
        <v>6568</v>
      </c>
      <c r="C2609" s="13" t="s">
        <v>7538</v>
      </c>
      <c r="D2609" s="782">
        <v>30000343</v>
      </c>
      <c r="E2609" s="22">
        <v>1800</v>
      </c>
      <c r="F2609" s="19"/>
      <c r="G2609" s="14">
        <f t="shared" si="42"/>
        <v>1800</v>
      </c>
      <c r="H2609" s="13"/>
    </row>
    <row r="2610" spans="1:8" hidden="1" x14ac:dyDescent="0.25">
      <c r="A2610" s="116">
        <v>44375</v>
      </c>
      <c r="B2610" s="21" t="s">
        <v>6568</v>
      </c>
      <c r="C2610" s="13" t="s">
        <v>7538</v>
      </c>
      <c r="D2610" s="782">
        <v>30000348</v>
      </c>
      <c r="E2610" s="22">
        <v>40553</v>
      </c>
      <c r="F2610" s="19"/>
      <c r="G2610" s="14">
        <f t="shared" si="42"/>
        <v>40553</v>
      </c>
      <c r="H2610" s="13"/>
    </row>
    <row r="2611" spans="1:8" hidden="1" x14ac:dyDescent="0.25">
      <c r="A2611" s="116">
        <v>44393</v>
      </c>
      <c r="B2611" s="21" t="s">
        <v>7017</v>
      </c>
      <c r="C2611" s="13" t="s">
        <v>7538</v>
      </c>
      <c r="D2611" s="782">
        <v>30000360</v>
      </c>
      <c r="E2611" s="22">
        <v>15081</v>
      </c>
      <c r="F2611" s="19"/>
      <c r="G2611" s="14">
        <f t="shared" si="42"/>
        <v>15081</v>
      </c>
      <c r="H2611" s="13"/>
    </row>
    <row r="2612" spans="1:8" hidden="1" x14ac:dyDescent="0.25">
      <c r="A2612" s="116">
        <v>44397</v>
      </c>
      <c r="B2612" s="21" t="s">
        <v>7017</v>
      </c>
      <c r="C2612" s="13" t="s">
        <v>7538</v>
      </c>
      <c r="D2612" s="782">
        <v>30000364</v>
      </c>
      <c r="E2612" s="22">
        <f>62299-30988</f>
        <v>31311</v>
      </c>
      <c r="F2612" s="19"/>
      <c r="G2612" s="14">
        <f t="shared" si="42"/>
        <v>31311</v>
      </c>
      <c r="H2612" s="13"/>
    </row>
    <row r="2613" spans="1:8" hidden="1" x14ac:dyDescent="0.25">
      <c r="A2613" s="116">
        <v>44397</v>
      </c>
      <c r="B2613" s="21" t="s">
        <v>7177</v>
      </c>
      <c r="C2613" s="13" t="s">
        <v>7538</v>
      </c>
      <c r="D2613" s="782">
        <v>30000364</v>
      </c>
      <c r="E2613" s="22">
        <v>30988</v>
      </c>
      <c r="F2613" s="19"/>
      <c r="G2613" s="14">
        <f t="shared" si="42"/>
        <v>30988</v>
      </c>
      <c r="H2613" s="13"/>
    </row>
    <row r="2614" spans="1:8" hidden="1" x14ac:dyDescent="0.25">
      <c r="A2614" s="116">
        <v>44404</v>
      </c>
      <c r="B2614" s="21" t="s">
        <v>7017</v>
      </c>
      <c r="C2614" s="13" t="s">
        <v>7538</v>
      </c>
      <c r="D2614" s="782">
        <v>30000366</v>
      </c>
      <c r="E2614" s="22">
        <v>6930</v>
      </c>
      <c r="F2614" s="19"/>
      <c r="G2614" s="14">
        <f t="shared" si="42"/>
        <v>6930</v>
      </c>
      <c r="H2614" s="13"/>
    </row>
    <row r="2615" spans="1:8" hidden="1" x14ac:dyDescent="0.25">
      <c r="A2615" s="116">
        <v>44408</v>
      </c>
      <c r="B2615" s="21" t="s">
        <v>7017</v>
      </c>
      <c r="C2615" s="13" t="s">
        <v>7538</v>
      </c>
      <c r="D2615" s="782">
        <v>30000370</v>
      </c>
      <c r="E2615" s="22">
        <v>19829</v>
      </c>
      <c r="F2615" s="19"/>
      <c r="G2615" s="14">
        <f t="shared" si="42"/>
        <v>19829</v>
      </c>
      <c r="H2615" s="13"/>
    </row>
    <row r="2616" spans="1:8" hidden="1" x14ac:dyDescent="0.25">
      <c r="A2616" s="116">
        <v>44483</v>
      </c>
      <c r="B2616" s="21" t="s">
        <v>7132</v>
      </c>
      <c r="C2616" s="13" t="s">
        <v>7538</v>
      </c>
      <c r="D2616" s="782">
        <v>30000444</v>
      </c>
      <c r="E2616" s="22">
        <v>16800</v>
      </c>
      <c r="F2616" s="19"/>
      <c r="G2616" s="14">
        <f t="shared" si="42"/>
        <v>16800</v>
      </c>
      <c r="H2616" s="13"/>
    </row>
    <row r="2617" spans="1:8" hidden="1" x14ac:dyDescent="0.25">
      <c r="A2617" s="116">
        <v>44497</v>
      </c>
      <c r="B2617" s="21" t="s">
        <v>7132</v>
      </c>
      <c r="C2617" s="13" t="s">
        <v>7538</v>
      </c>
      <c r="D2617" s="782">
        <v>30000458</v>
      </c>
      <c r="E2617" s="22">
        <v>4505</v>
      </c>
      <c r="F2617" s="19"/>
      <c r="G2617" s="14">
        <f t="shared" si="42"/>
        <v>4505</v>
      </c>
      <c r="H2617" s="13"/>
    </row>
    <row r="2618" spans="1:8" hidden="1" x14ac:dyDescent="0.25">
      <c r="A2618" s="116">
        <v>44510</v>
      </c>
      <c r="B2618" s="21" t="s">
        <v>6568</v>
      </c>
      <c r="C2618" s="13" t="s">
        <v>7538</v>
      </c>
      <c r="D2618" s="782"/>
      <c r="E2618" s="22"/>
      <c r="F2618" s="19">
        <v>47013</v>
      </c>
      <c r="G2618" s="14">
        <f t="shared" si="42"/>
        <v>-47013</v>
      </c>
      <c r="H2618" s="1188" t="s">
        <v>7539</v>
      </c>
    </row>
    <row r="2619" spans="1:8" hidden="1" x14ac:dyDescent="0.25">
      <c r="A2619" s="116">
        <v>44510</v>
      </c>
      <c r="B2619" s="21" t="s">
        <v>7177</v>
      </c>
      <c r="C2619" s="13" t="s">
        <v>7538</v>
      </c>
      <c r="D2619" s="782"/>
      <c r="E2619" s="22"/>
      <c r="F2619" s="19">
        <v>30988</v>
      </c>
      <c r="G2619" s="14">
        <f t="shared" si="42"/>
        <v>-30988</v>
      </c>
      <c r="H2619" s="1188"/>
    </row>
    <row r="2620" spans="1:8" hidden="1" x14ac:dyDescent="0.25">
      <c r="A2620" s="116">
        <v>44510</v>
      </c>
      <c r="B2620" s="21" t="s">
        <v>7017</v>
      </c>
      <c r="C2620" s="13" t="s">
        <v>7538</v>
      </c>
      <c r="D2620" s="782"/>
      <c r="E2620" s="22"/>
      <c r="F2620" s="19">
        <v>21999</v>
      </c>
      <c r="G2620" s="14">
        <f t="shared" si="42"/>
        <v>-21999</v>
      </c>
      <c r="H2620" s="1188"/>
    </row>
    <row r="2621" spans="1:8" hidden="1" x14ac:dyDescent="0.25">
      <c r="A2621" s="116">
        <v>44510</v>
      </c>
      <c r="B2621" s="21" t="s">
        <v>7132</v>
      </c>
      <c r="C2621" s="13" t="s">
        <v>2327</v>
      </c>
      <c r="D2621" s="782"/>
      <c r="E2621" s="22">
        <v>278800</v>
      </c>
      <c r="F2621" s="19"/>
      <c r="G2621" s="14">
        <f t="shared" si="42"/>
        <v>278800</v>
      </c>
      <c r="H2621" s="13"/>
    </row>
    <row r="2622" spans="1:8" hidden="1" x14ac:dyDescent="0.25">
      <c r="A2622" s="116">
        <v>44501</v>
      </c>
      <c r="B2622" s="21" t="s">
        <v>7132</v>
      </c>
      <c r="C2622" s="13" t="s">
        <v>166</v>
      </c>
      <c r="D2622" s="782">
        <v>2874</v>
      </c>
      <c r="E2622" s="22">
        <v>3000</v>
      </c>
      <c r="F2622" s="19"/>
      <c r="G2622" s="14">
        <f t="shared" si="42"/>
        <v>3000</v>
      </c>
      <c r="H2622" s="13"/>
    </row>
    <row r="2623" spans="1:8" hidden="1" x14ac:dyDescent="0.25">
      <c r="A2623" s="116">
        <v>44502</v>
      </c>
      <c r="B2623" s="21" t="s">
        <v>7132</v>
      </c>
      <c r="C2623" s="13" t="s">
        <v>166</v>
      </c>
      <c r="D2623" s="782">
        <v>17622</v>
      </c>
      <c r="E2623" s="22">
        <v>104515</v>
      </c>
      <c r="F2623" s="19"/>
      <c r="G2623" s="14">
        <f t="shared" si="42"/>
        <v>104515</v>
      </c>
      <c r="H2623" s="13"/>
    </row>
    <row r="2624" spans="1:8" hidden="1" x14ac:dyDescent="0.25">
      <c r="A2624" s="116">
        <v>44505</v>
      </c>
      <c r="B2624" s="21" t="s">
        <v>7132</v>
      </c>
      <c r="C2624" s="13" t="s">
        <v>166</v>
      </c>
      <c r="D2624" s="782">
        <v>2891</v>
      </c>
      <c r="E2624" s="22">
        <v>4200</v>
      </c>
      <c r="F2624" s="19"/>
      <c r="G2624" s="14">
        <f t="shared" si="42"/>
        <v>4200</v>
      </c>
      <c r="H2624" s="13"/>
    </row>
    <row r="2625" spans="1:8" hidden="1" x14ac:dyDescent="0.25">
      <c r="A2625" s="116">
        <v>44510</v>
      </c>
      <c r="B2625" s="21" t="s">
        <v>7132</v>
      </c>
      <c r="C2625" s="13" t="s">
        <v>166</v>
      </c>
      <c r="D2625" s="782">
        <v>2910</v>
      </c>
      <c r="E2625" s="22">
        <v>4200</v>
      </c>
      <c r="F2625" s="19"/>
      <c r="G2625" s="14">
        <f t="shared" si="42"/>
        <v>4200</v>
      </c>
      <c r="H2625" s="13"/>
    </row>
    <row r="2626" spans="1:8" hidden="1" x14ac:dyDescent="0.25">
      <c r="A2626" s="116">
        <v>44512</v>
      </c>
      <c r="B2626" s="21" t="s">
        <v>7627</v>
      </c>
      <c r="C2626" s="13" t="s">
        <v>164</v>
      </c>
      <c r="D2626" s="794" t="s">
        <v>7558</v>
      </c>
      <c r="E2626" s="22">
        <v>11822</v>
      </c>
      <c r="F2626" s="19"/>
      <c r="G2626" s="14">
        <f t="shared" si="42"/>
        <v>11822</v>
      </c>
      <c r="H2626" s="13"/>
    </row>
    <row r="2627" spans="1:8" hidden="1" x14ac:dyDescent="0.25">
      <c r="A2627" s="116">
        <v>44516</v>
      </c>
      <c r="B2627" s="21" t="s">
        <v>7627</v>
      </c>
      <c r="C2627" s="13" t="s">
        <v>164</v>
      </c>
      <c r="D2627" s="794" t="s">
        <v>7559</v>
      </c>
      <c r="E2627" s="22">
        <v>1578</v>
      </c>
      <c r="F2627" s="19"/>
      <c r="G2627" s="14">
        <f t="shared" si="42"/>
        <v>1578</v>
      </c>
      <c r="H2627" s="13"/>
    </row>
    <row r="2628" spans="1:8" hidden="1" x14ac:dyDescent="0.25">
      <c r="A2628" s="116">
        <v>44517</v>
      </c>
      <c r="B2628" s="21" t="s">
        <v>7132</v>
      </c>
      <c r="C2628" s="13" t="s">
        <v>7560</v>
      </c>
      <c r="D2628" s="782"/>
      <c r="E2628" s="22">
        <f>271505-50000-50000-50000</f>
        <v>121505</v>
      </c>
      <c r="F2628" s="19"/>
      <c r="G2628" s="14">
        <f t="shared" si="42"/>
        <v>121505</v>
      </c>
      <c r="H2628" s="13"/>
    </row>
    <row r="2629" spans="1:8" hidden="1" x14ac:dyDescent="0.25">
      <c r="A2629" s="116">
        <v>44517</v>
      </c>
      <c r="B2629" s="21" t="s">
        <v>7132</v>
      </c>
      <c r="C2629" s="13" t="s">
        <v>166</v>
      </c>
      <c r="D2629" s="782"/>
      <c r="E2629" s="22"/>
      <c r="F2629" s="19">
        <v>5585</v>
      </c>
      <c r="G2629" s="14">
        <f t="shared" si="42"/>
        <v>-5585</v>
      </c>
      <c r="H2629" s="13"/>
    </row>
    <row r="2630" spans="1:8" hidden="1" x14ac:dyDescent="0.25">
      <c r="A2630" s="116">
        <v>44517</v>
      </c>
      <c r="B2630" s="21" t="s">
        <v>7132</v>
      </c>
      <c r="C2630" s="13" t="s">
        <v>166</v>
      </c>
      <c r="D2630" s="782"/>
      <c r="E2630" s="22"/>
      <c r="F2630" s="19">
        <v>5900</v>
      </c>
      <c r="G2630" s="14">
        <f t="shared" si="42"/>
        <v>-5900</v>
      </c>
      <c r="H2630" s="13"/>
    </row>
    <row r="2631" spans="1:8" hidden="1" x14ac:dyDescent="0.25">
      <c r="A2631" s="116">
        <v>44508</v>
      </c>
      <c r="B2631" s="21" t="s">
        <v>7132</v>
      </c>
      <c r="C2631" s="13" t="s">
        <v>162</v>
      </c>
      <c r="D2631" s="782">
        <v>2200</v>
      </c>
      <c r="E2631" s="22">
        <v>461142</v>
      </c>
      <c r="F2631" s="19"/>
      <c r="G2631" s="14">
        <f t="shared" si="42"/>
        <v>461142</v>
      </c>
      <c r="H2631" s="13"/>
    </row>
    <row r="2632" spans="1:8" hidden="1" x14ac:dyDescent="0.25">
      <c r="A2632" s="116">
        <v>44508</v>
      </c>
      <c r="B2632" s="21" t="s">
        <v>7132</v>
      </c>
      <c r="C2632" s="13" t="s">
        <v>164</v>
      </c>
      <c r="D2632" s="794" t="s">
        <v>7586</v>
      </c>
      <c r="E2632" s="22">
        <v>4777</v>
      </c>
      <c r="F2632" s="19"/>
      <c r="G2632" s="14">
        <f t="shared" si="42"/>
        <v>4777</v>
      </c>
      <c r="H2632" s="13"/>
    </row>
    <row r="2633" spans="1:8" hidden="1" x14ac:dyDescent="0.25">
      <c r="A2633" s="116">
        <v>44523</v>
      </c>
      <c r="B2633" s="21" t="s">
        <v>3979</v>
      </c>
      <c r="C2633" s="13" t="s">
        <v>7587</v>
      </c>
      <c r="D2633" s="782"/>
      <c r="E2633" s="22">
        <v>56000</v>
      </c>
      <c r="F2633" s="19"/>
      <c r="G2633" s="14">
        <f t="shared" si="42"/>
        <v>56000</v>
      </c>
      <c r="H2633" s="13"/>
    </row>
    <row r="2634" spans="1:8" hidden="1" x14ac:dyDescent="0.25">
      <c r="A2634" s="116">
        <v>44529</v>
      </c>
      <c r="B2634" s="21" t="s">
        <v>7132</v>
      </c>
      <c r="C2634" s="13" t="s">
        <v>166</v>
      </c>
      <c r="D2634" s="782"/>
      <c r="E2634" s="22"/>
      <c r="F2634" s="19">
        <v>150000</v>
      </c>
      <c r="G2634" s="14">
        <f t="shared" si="42"/>
        <v>-150000</v>
      </c>
      <c r="H2634" s="13" t="s">
        <v>7594</v>
      </c>
    </row>
    <row r="2635" spans="1:8" hidden="1" x14ac:dyDescent="0.25">
      <c r="A2635" s="116">
        <v>44529</v>
      </c>
      <c r="B2635" s="21" t="s">
        <v>7132</v>
      </c>
      <c r="C2635" s="13" t="s">
        <v>180</v>
      </c>
      <c r="D2635" s="782"/>
      <c r="E2635" s="22">
        <v>9255</v>
      </c>
      <c r="F2635" s="19"/>
      <c r="G2635" s="14">
        <f t="shared" si="42"/>
        <v>9255</v>
      </c>
      <c r="H2635" s="13" t="s">
        <v>7595</v>
      </c>
    </row>
    <row r="2636" spans="1:8" hidden="1" x14ac:dyDescent="0.25">
      <c r="A2636" s="116">
        <v>44529</v>
      </c>
      <c r="B2636" s="21" t="s">
        <v>7132</v>
      </c>
      <c r="C2636" s="13" t="s">
        <v>180</v>
      </c>
      <c r="D2636" s="782"/>
      <c r="E2636" s="22">
        <f>12970+27</f>
        <v>12997</v>
      </c>
      <c r="F2636" s="19"/>
      <c r="G2636" s="14">
        <f t="shared" si="42"/>
        <v>12997</v>
      </c>
      <c r="H2636" s="13" t="s">
        <v>7596</v>
      </c>
    </row>
    <row r="2637" spans="1:8" hidden="1" x14ac:dyDescent="0.25">
      <c r="A2637" s="116">
        <v>44529</v>
      </c>
      <c r="B2637" s="21" t="s">
        <v>7132</v>
      </c>
      <c r="C2637" s="13" t="s">
        <v>180</v>
      </c>
      <c r="D2637" s="782"/>
      <c r="E2637" s="22"/>
      <c r="F2637" s="19">
        <v>309316</v>
      </c>
      <c r="G2637" s="14">
        <f t="shared" si="42"/>
        <v>-309316</v>
      </c>
      <c r="H2637" s="1223" t="s">
        <v>7594</v>
      </c>
    </row>
    <row r="2638" spans="1:8" hidden="1" x14ac:dyDescent="0.25">
      <c r="A2638" s="116">
        <v>44529</v>
      </c>
      <c r="B2638" s="21" t="s">
        <v>6565</v>
      </c>
      <c r="C2638" s="13" t="s">
        <v>180</v>
      </c>
      <c r="D2638" s="782"/>
      <c r="E2638" s="22"/>
      <c r="F2638" s="19">
        <v>27915</v>
      </c>
      <c r="G2638" s="14">
        <f t="shared" si="42"/>
        <v>-27915</v>
      </c>
      <c r="H2638" s="1223"/>
    </row>
    <row r="2639" spans="1:8" x14ac:dyDescent="0.25">
      <c r="A2639" s="116">
        <v>44527</v>
      </c>
      <c r="B2639" s="21" t="s">
        <v>7132</v>
      </c>
      <c r="C2639" s="13" t="s">
        <v>168</v>
      </c>
      <c r="D2639" s="782">
        <v>4325</v>
      </c>
      <c r="E2639" s="22">
        <v>26304</v>
      </c>
      <c r="F2639" s="19"/>
      <c r="G2639" s="14">
        <f t="shared" si="42"/>
        <v>26304</v>
      </c>
      <c r="H2639" s="13"/>
    </row>
    <row r="2640" spans="1:8" hidden="1" x14ac:dyDescent="0.25">
      <c r="A2640" s="116">
        <v>44532</v>
      </c>
      <c r="B2640" s="21" t="s">
        <v>6463</v>
      </c>
      <c r="C2640" s="13" t="s">
        <v>1816</v>
      </c>
      <c r="D2640" s="782"/>
      <c r="E2640" s="22"/>
      <c r="F2640" s="19">
        <v>110233</v>
      </c>
      <c r="G2640" s="14">
        <f t="shared" si="42"/>
        <v>-110233</v>
      </c>
      <c r="H2640" s="1225" t="s">
        <v>7608</v>
      </c>
    </row>
    <row r="2641" spans="1:8" hidden="1" x14ac:dyDescent="0.25">
      <c r="A2641" s="116">
        <v>44532</v>
      </c>
      <c r="B2641" s="21" t="s">
        <v>6565</v>
      </c>
      <c r="C2641" s="13" t="s">
        <v>1816</v>
      </c>
      <c r="D2641" s="782"/>
      <c r="E2641" s="22"/>
      <c r="F2641" s="19">
        <v>230169</v>
      </c>
      <c r="G2641" s="14">
        <f t="shared" si="42"/>
        <v>-230169</v>
      </c>
      <c r="H2641" s="1225"/>
    </row>
    <row r="2642" spans="1:8" hidden="1" x14ac:dyDescent="0.25">
      <c r="A2642" s="116">
        <v>44532</v>
      </c>
      <c r="B2642" s="21" t="s">
        <v>6568</v>
      </c>
      <c r="C2642" s="13" t="s">
        <v>1816</v>
      </c>
      <c r="D2642" s="782"/>
      <c r="E2642" s="22"/>
      <c r="F2642" s="19">
        <v>136986</v>
      </c>
      <c r="G2642" s="14">
        <f t="shared" si="42"/>
        <v>-136986</v>
      </c>
      <c r="H2642" s="1225"/>
    </row>
    <row r="2643" spans="1:8" hidden="1" x14ac:dyDescent="0.25">
      <c r="A2643" s="116">
        <v>44532</v>
      </c>
      <c r="B2643" s="21" t="s">
        <v>6779</v>
      </c>
      <c r="C2643" s="13" t="s">
        <v>1816</v>
      </c>
      <c r="D2643" s="782"/>
      <c r="E2643" s="22"/>
      <c r="F2643" s="19">
        <v>10112</v>
      </c>
      <c r="G2643" s="14">
        <f t="shared" si="42"/>
        <v>-10112</v>
      </c>
      <c r="H2643" s="1225"/>
    </row>
    <row r="2644" spans="1:8" ht="37.5" hidden="1" x14ac:dyDescent="0.25">
      <c r="A2644" s="116">
        <v>44534</v>
      </c>
      <c r="B2644" s="21" t="s">
        <v>7132</v>
      </c>
      <c r="C2644" s="13" t="s">
        <v>166</v>
      </c>
      <c r="D2644" s="782"/>
      <c r="E2644" s="22"/>
      <c r="F2644" s="19">
        <v>250000</v>
      </c>
      <c r="G2644" s="14">
        <f t="shared" si="42"/>
        <v>-250000</v>
      </c>
      <c r="H2644" s="697" t="s">
        <v>7607</v>
      </c>
    </row>
    <row r="2645" spans="1:8" hidden="1" x14ac:dyDescent="0.25">
      <c r="A2645" s="116">
        <v>44534</v>
      </c>
      <c r="B2645" s="21" t="s">
        <v>7177</v>
      </c>
      <c r="C2645" s="13" t="s">
        <v>2327</v>
      </c>
      <c r="D2645" s="782"/>
      <c r="E2645" s="22">
        <v>49700</v>
      </c>
      <c r="F2645" s="19"/>
      <c r="G2645" s="14">
        <f t="shared" si="42"/>
        <v>49700</v>
      </c>
      <c r="H2645" s="79"/>
    </row>
    <row r="2646" spans="1:8" ht="31.5" hidden="1" customHeight="1" x14ac:dyDescent="0.25">
      <c r="A2646" s="116">
        <v>44534</v>
      </c>
      <c r="B2646" s="21" t="s">
        <v>7132</v>
      </c>
      <c r="C2646" s="13" t="s">
        <v>2327</v>
      </c>
      <c r="D2646" s="782"/>
      <c r="E2646" s="22"/>
      <c r="F2646" s="19">
        <v>273470</v>
      </c>
      <c r="G2646" s="14">
        <f t="shared" si="42"/>
        <v>-273470</v>
      </c>
      <c r="H2646" s="1197" t="s">
        <v>7609</v>
      </c>
    </row>
    <row r="2647" spans="1:8" hidden="1" x14ac:dyDescent="0.25">
      <c r="A2647" s="116">
        <v>44534</v>
      </c>
      <c r="B2647" s="21" t="s">
        <v>2957</v>
      </c>
      <c r="C2647" s="13" t="s">
        <v>2327</v>
      </c>
      <c r="D2647" s="782"/>
      <c r="E2647" s="22"/>
      <c r="F2647" s="19">
        <v>8500</v>
      </c>
      <c r="G2647" s="14">
        <f t="shared" si="42"/>
        <v>-8500</v>
      </c>
      <c r="H2647" s="1197"/>
    </row>
    <row r="2648" spans="1:8" hidden="1" x14ac:dyDescent="0.25">
      <c r="A2648" s="116">
        <v>44534</v>
      </c>
      <c r="B2648" s="21" t="s">
        <v>7177</v>
      </c>
      <c r="C2648" s="13" t="s">
        <v>2327</v>
      </c>
      <c r="D2648" s="782"/>
      <c r="E2648" s="22"/>
      <c r="F2648" s="19">
        <v>49700</v>
      </c>
      <c r="G2648" s="14">
        <f t="shared" si="42"/>
        <v>-49700</v>
      </c>
      <c r="H2648" s="1197"/>
    </row>
    <row r="2649" spans="1:8" hidden="1" x14ac:dyDescent="0.25">
      <c r="A2649" s="116">
        <v>44536</v>
      </c>
      <c r="B2649" s="21" t="s">
        <v>7132</v>
      </c>
      <c r="C2649" s="13" t="s">
        <v>164</v>
      </c>
      <c r="D2649" s="794" t="s">
        <v>7610</v>
      </c>
      <c r="E2649" s="22">
        <v>3543</v>
      </c>
      <c r="F2649" s="19"/>
      <c r="G2649" s="14">
        <f t="shared" si="42"/>
        <v>3543</v>
      </c>
      <c r="H2649" s="13"/>
    </row>
    <row r="2650" spans="1:8" hidden="1" x14ac:dyDescent="0.25">
      <c r="A2650" s="116">
        <v>44538</v>
      </c>
      <c r="B2650" s="21" t="s">
        <v>1407</v>
      </c>
      <c r="C2650" s="13" t="s">
        <v>5731</v>
      </c>
      <c r="D2650" s="782"/>
      <c r="E2650" s="22"/>
      <c r="F2650" s="19">
        <v>9100</v>
      </c>
      <c r="G2650" s="14">
        <f t="shared" si="42"/>
        <v>-9100</v>
      </c>
      <c r="H2650" s="1224" t="s">
        <v>7628</v>
      </c>
    </row>
    <row r="2651" spans="1:8" hidden="1" x14ac:dyDescent="0.25">
      <c r="A2651" s="116">
        <v>44538</v>
      </c>
      <c r="B2651" s="21" t="s">
        <v>2675</v>
      </c>
      <c r="C2651" s="13" t="s">
        <v>5731</v>
      </c>
      <c r="D2651" s="782"/>
      <c r="E2651" s="22"/>
      <c r="F2651" s="19">
        <v>72300</v>
      </c>
      <c r="G2651" s="14">
        <f t="shared" ref="G2651:G2724" si="43">E2651-F2651</f>
        <v>-72300</v>
      </c>
      <c r="H2651" s="1224"/>
    </row>
    <row r="2652" spans="1:8" hidden="1" x14ac:dyDescent="0.25">
      <c r="A2652" s="116">
        <v>44538</v>
      </c>
      <c r="B2652" s="21" t="s">
        <v>6463</v>
      </c>
      <c r="C2652" s="13" t="s">
        <v>5731</v>
      </c>
      <c r="D2652" s="782"/>
      <c r="E2652" s="22"/>
      <c r="F2652" s="19">
        <v>9500</v>
      </c>
      <c r="G2652" s="14">
        <f t="shared" si="43"/>
        <v>-9500</v>
      </c>
      <c r="H2652" s="1224"/>
    </row>
    <row r="2653" spans="1:8" hidden="1" x14ac:dyDescent="0.25">
      <c r="A2653" s="116">
        <v>44538</v>
      </c>
      <c r="B2653" s="21" t="s">
        <v>6568</v>
      </c>
      <c r="C2653" s="13" t="s">
        <v>5731</v>
      </c>
      <c r="D2653" s="782"/>
      <c r="E2653" s="22"/>
      <c r="F2653" s="19">
        <v>59100</v>
      </c>
      <c r="G2653" s="14">
        <f t="shared" si="43"/>
        <v>-59100</v>
      </c>
      <c r="H2653" s="1224"/>
    </row>
    <row r="2654" spans="1:8" hidden="1" x14ac:dyDescent="0.25">
      <c r="A2654" s="116">
        <v>44539</v>
      </c>
      <c r="B2654" s="21" t="s">
        <v>7017</v>
      </c>
      <c r="C2654" s="13" t="s">
        <v>7634</v>
      </c>
      <c r="D2654" s="782"/>
      <c r="E2654" s="22">
        <v>44807</v>
      </c>
      <c r="F2654" s="19"/>
      <c r="G2654" s="14">
        <f t="shared" si="43"/>
        <v>44807</v>
      </c>
      <c r="H2654" s="13" t="s">
        <v>1475</v>
      </c>
    </row>
    <row r="2655" spans="1:8" hidden="1" x14ac:dyDescent="0.25">
      <c r="A2655" s="116">
        <v>44513</v>
      </c>
      <c r="B2655" s="21" t="s">
        <v>1407</v>
      </c>
      <c r="C2655" s="13" t="s">
        <v>166</v>
      </c>
      <c r="D2655" s="782">
        <v>17687</v>
      </c>
      <c r="E2655" s="22">
        <v>62100</v>
      </c>
      <c r="F2655" s="19"/>
      <c r="G2655" s="14">
        <f t="shared" si="43"/>
        <v>62100</v>
      </c>
      <c r="H2655" s="13"/>
    </row>
    <row r="2656" spans="1:8" hidden="1" x14ac:dyDescent="0.25">
      <c r="A2656" s="116">
        <v>44523</v>
      </c>
      <c r="B2656" s="21" t="s">
        <v>7132</v>
      </c>
      <c r="C2656" s="13" t="s">
        <v>166</v>
      </c>
      <c r="D2656" s="782">
        <v>17730</v>
      </c>
      <c r="E2656" s="22">
        <v>40856</v>
      </c>
      <c r="F2656" s="19"/>
      <c r="G2656" s="14">
        <f t="shared" si="43"/>
        <v>40856</v>
      </c>
      <c r="H2656" s="34"/>
    </row>
    <row r="2657" spans="1:8" hidden="1" x14ac:dyDescent="0.25">
      <c r="A2657" s="116">
        <v>44534</v>
      </c>
      <c r="B2657" s="21" t="s">
        <v>7132</v>
      </c>
      <c r="C2657" s="13" t="s">
        <v>166</v>
      </c>
      <c r="D2657" s="782">
        <v>17785</v>
      </c>
      <c r="E2657" s="22">
        <v>11400</v>
      </c>
      <c r="F2657" s="19"/>
      <c r="G2657" s="14">
        <f t="shared" si="43"/>
        <v>11400</v>
      </c>
      <c r="H2657" s="13"/>
    </row>
    <row r="2658" spans="1:8" hidden="1" x14ac:dyDescent="0.25">
      <c r="A2658" s="116">
        <v>44537</v>
      </c>
      <c r="B2658" s="21" t="s">
        <v>7017</v>
      </c>
      <c r="C2658" s="13" t="s">
        <v>166</v>
      </c>
      <c r="D2658" s="782">
        <v>2992</v>
      </c>
      <c r="E2658" s="22">
        <v>4400</v>
      </c>
      <c r="F2658" s="19"/>
      <c r="G2658" s="14">
        <f t="shared" si="43"/>
        <v>4400</v>
      </c>
      <c r="H2658" s="13"/>
    </row>
    <row r="2659" spans="1:8" hidden="1"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hidden="1" x14ac:dyDescent="0.25">
      <c r="A2661" s="116">
        <v>44546</v>
      </c>
      <c r="B2661" s="21" t="s">
        <v>1407</v>
      </c>
      <c r="C2661" s="13" t="s">
        <v>166</v>
      </c>
      <c r="D2661" s="782">
        <v>17842</v>
      </c>
      <c r="E2661" s="22">
        <v>39330</v>
      </c>
      <c r="F2661" s="19"/>
      <c r="G2661" s="14">
        <f t="shared" si="43"/>
        <v>39330</v>
      </c>
      <c r="H2661" s="13"/>
    </row>
    <row r="2662" spans="1:8" hidden="1" x14ac:dyDescent="0.25">
      <c r="A2662" s="116">
        <v>44546</v>
      </c>
      <c r="B2662" s="21" t="s">
        <v>7132</v>
      </c>
      <c r="C2662" s="13" t="s">
        <v>166</v>
      </c>
      <c r="D2662" s="782">
        <v>17838</v>
      </c>
      <c r="E2662" s="22">
        <v>4788</v>
      </c>
      <c r="F2662" s="19"/>
      <c r="G2662" s="14">
        <f t="shared" si="43"/>
        <v>4788</v>
      </c>
      <c r="H2662" s="13"/>
    </row>
    <row r="2663" spans="1:8" hidden="1" x14ac:dyDescent="0.25">
      <c r="A2663" s="116">
        <v>44548</v>
      </c>
      <c r="B2663" s="21" t="s">
        <v>7132</v>
      </c>
      <c r="C2663" s="13" t="s">
        <v>166</v>
      </c>
      <c r="D2663" s="782">
        <v>3025</v>
      </c>
      <c r="E2663" s="22">
        <v>19116</v>
      </c>
      <c r="F2663" s="19"/>
      <c r="G2663" s="14">
        <f t="shared" si="43"/>
        <v>19116</v>
      </c>
      <c r="H2663" s="13"/>
    </row>
    <row r="2664" spans="1:8" hidden="1" x14ac:dyDescent="0.25">
      <c r="A2664" s="116">
        <v>44548</v>
      </c>
      <c r="B2664" s="21" t="s">
        <v>7132</v>
      </c>
      <c r="C2664" s="13" t="s">
        <v>2327</v>
      </c>
      <c r="D2664" s="782"/>
      <c r="E2664" s="22">
        <v>83820</v>
      </c>
      <c r="F2664" s="19"/>
      <c r="G2664" s="14">
        <f t="shared" si="43"/>
        <v>83820</v>
      </c>
      <c r="H2664" s="13"/>
    </row>
    <row r="2665" spans="1:8" hidden="1" x14ac:dyDescent="0.25">
      <c r="A2665" s="116">
        <v>44548</v>
      </c>
      <c r="B2665" s="21" t="s">
        <v>7132</v>
      </c>
      <c r="C2665" s="13" t="s">
        <v>2327</v>
      </c>
      <c r="D2665" s="782"/>
      <c r="E2665" s="22">
        <v>9950</v>
      </c>
      <c r="F2665" s="19"/>
      <c r="G2665" s="14">
        <f t="shared" si="43"/>
        <v>9950</v>
      </c>
      <c r="H2665" s="13" t="s">
        <v>7647</v>
      </c>
    </row>
    <row r="2666" spans="1:8" hidden="1" x14ac:dyDescent="0.25">
      <c r="A2666" s="116">
        <v>44452</v>
      </c>
      <c r="B2666" s="21" t="s">
        <v>6565</v>
      </c>
      <c r="C2666" s="13" t="s">
        <v>1816</v>
      </c>
      <c r="D2666" s="782">
        <v>243</v>
      </c>
      <c r="E2666" s="22">
        <v>4340</v>
      </c>
      <c r="F2666" s="19"/>
      <c r="G2666" s="14">
        <f t="shared" si="43"/>
        <v>4340</v>
      </c>
      <c r="H2666" s="13"/>
    </row>
    <row r="2667" spans="1:8" hidden="1" x14ac:dyDescent="0.25">
      <c r="A2667" s="116">
        <v>44487</v>
      </c>
      <c r="B2667" s="21" t="s">
        <v>1407</v>
      </c>
      <c r="C2667" s="13" t="s">
        <v>1816</v>
      </c>
      <c r="D2667" s="782">
        <v>333</v>
      </c>
      <c r="E2667" s="22">
        <v>3096</v>
      </c>
      <c r="F2667" s="19"/>
      <c r="G2667" s="14">
        <f t="shared" si="43"/>
        <v>3096</v>
      </c>
      <c r="H2667" s="13"/>
    </row>
    <row r="2668" spans="1:8" hidden="1" x14ac:dyDescent="0.25">
      <c r="A2668" s="116">
        <v>44491</v>
      </c>
      <c r="B2668" s="21" t="s">
        <v>1407</v>
      </c>
      <c r="C2668" s="13" t="s">
        <v>1816</v>
      </c>
      <c r="D2668" s="782">
        <v>400</v>
      </c>
      <c r="E2668" s="22">
        <v>3856</v>
      </c>
      <c r="F2668" s="19"/>
      <c r="G2668" s="14">
        <f t="shared" si="43"/>
        <v>3856</v>
      </c>
      <c r="H2668" s="13"/>
    </row>
    <row r="2669" spans="1:8" hidden="1" x14ac:dyDescent="0.25">
      <c r="A2669" s="116">
        <v>44490</v>
      </c>
      <c r="B2669" s="21" t="s">
        <v>7627</v>
      </c>
      <c r="C2669" s="13" t="s">
        <v>164</v>
      </c>
      <c r="D2669" s="782"/>
      <c r="E2669" s="22"/>
      <c r="F2669" s="19">
        <v>250000</v>
      </c>
      <c r="G2669" s="14">
        <f t="shared" si="43"/>
        <v>-250000</v>
      </c>
      <c r="H2669" s="13" t="s">
        <v>7648</v>
      </c>
    </row>
    <row r="2670" spans="1:8" hidden="1" x14ac:dyDescent="0.25">
      <c r="A2670" s="116">
        <v>44540</v>
      </c>
      <c r="B2670" s="21" t="s">
        <v>7177</v>
      </c>
      <c r="C2670" s="13" t="s">
        <v>2327</v>
      </c>
      <c r="D2670" s="782"/>
      <c r="E2670" s="22">
        <v>4400</v>
      </c>
      <c r="F2670" s="19"/>
      <c r="G2670" s="14">
        <f t="shared" si="43"/>
        <v>4400</v>
      </c>
      <c r="H2670" s="13"/>
    </row>
    <row r="2671" spans="1:8" hidden="1" x14ac:dyDescent="0.25">
      <c r="A2671" s="116">
        <v>44554</v>
      </c>
      <c r="B2671" s="21" t="s">
        <v>7132</v>
      </c>
      <c r="C2671" s="13" t="s">
        <v>162</v>
      </c>
      <c r="D2671" s="782"/>
      <c r="E2671" s="22"/>
      <c r="F2671" s="19">
        <v>150000</v>
      </c>
      <c r="G2671" s="14">
        <f t="shared" si="43"/>
        <v>-150000</v>
      </c>
      <c r="H2671" s="13" t="s">
        <v>7652</v>
      </c>
    </row>
    <row r="2672" spans="1:8" hidden="1" x14ac:dyDescent="0.25">
      <c r="A2672" s="116">
        <v>44554</v>
      </c>
      <c r="B2672" s="21" t="s">
        <v>7177</v>
      </c>
      <c r="C2672" s="13" t="s">
        <v>2327</v>
      </c>
      <c r="D2672" s="782"/>
      <c r="E2672" s="22"/>
      <c r="F2672" s="19">
        <v>4400</v>
      </c>
      <c r="G2672" s="14">
        <f t="shared" si="43"/>
        <v>-4400</v>
      </c>
      <c r="H2672" s="1198" t="s">
        <v>7653</v>
      </c>
    </row>
    <row r="2673" spans="1:8" hidden="1" x14ac:dyDescent="0.25">
      <c r="A2673" s="116">
        <v>44554</v>
      </c>
      <c r="B2673" s="21" t="s">
        <v>7132</v>
      </c>
      <c r="C2673" s="13" t="s">
        <v>2327</v>
      </c>
      <c r="D2673" s="782"/>
      <c r="E2673" s="22"/>
      <c r="F2673" s="19">
        <v>95600</v>
      </c>
      <c r="G2673" s="14">
        <f t="shared" si="43"/>
        <v>-95600</v>
      </c>
      <c r="H2673" s="1198"/>
    </row>
    <row r="2674" spans="1:8" hidden="1" x14ac:dyDescent="0.25">
      <c r="A2674" s="116">
        <v>44554</v>
      </c>
      <c r="B2674" s="21" t="s">
        <v>7132</v>
      </c>
      <c r="C2674" s="13" t="s">
        <v>7560</v>
      </c>
      <c r="D2674" s="782"/>
      <c r="E2674" s="22"/>
      <c r="F2674" s="19">
        <v>100000</v>
      </c>
      <c r="G2674" s="14">
        <f t="shared" si="43"/>
        <v>-100000</v>
      </c>
      <c r="H2674" s="13" t="s">
        <v>7654</v>
      </c>
    </row>
    <row r="2675" spans="1:8" hidden="1" x14ac:dyDescent="0.25">
      <c r="A2675" s="116">
        <v>44554</v>
      </c>
      <c r="B2675" s="21" t="s">
        <v>7132</v>
      </c>
      <c r="C2675" s="13" t="s">
        <v>7560</v>
      </c>
      <c r="D2675" s="782"/>
      <c r="E2675" s="22"/>
      <c r="F2675" s="762">
        <v>21505</v>
      </c>
      <c r="G2675" s="14">
        <f t="shared" si="43"/>
        <v>-21505</v>
      </c>
      <c r="H2675" s="13" t="s">
        <v>7655</v>
      </c>
    </row>
    <row r="2676" spans="1:8" hidden="1" x14ac:dyDescent="0.25">
      <c r="A2676" s="116">
        <v>44519</v>
      </c>
      <c r="B2676" s="21" t="s">
        <v>6565</v>
      </c>
      <c r="C2676" s="13" t="s">
        <v>4853</v>
      </c>
      <c r="D2676" s="782">
        <v>6744</v>
      </c>
      <c r="E2676" s="22">
        <v>6089</v>
      </c>
      <c r="F2676" s="19"/>
      <c r="G2676" s="14">
        <f t="shared" si="43"/>
        <v>6089</v>
      </c>
      <c r="H2676" s="13"/>
    </row>
    <row r="2677" spans="1:8" hidden="1" x14ac:dyDescent="0.25">
      <c r="A2677" s="116">
        <v>44529</v>
      </c>
      <c r="B2677" s="21" t="s">
        <v>6565</v>
      </c>
      <c r="C2677" s="13" t="s">
        <v>4853</v>
      </c>
      <c r="D2677" s="782">
        <v>6812</v>
      </c>
      <c r="E2677" s="22">
        <v>1901</v>
      </c>
      <c r="F2677" s="19"/>
      <c r="G2677" s="14">
        <f t="shared" si="43"/>
        <v>1901</v>
      </c>
      <c r="H2677" s="13"/>
    </row>
    <row r="2678" spans="1:8" hidden="1" x14ac:dyDescent="0.25">
      <c r="A2678" s="116">
        <v>44528</v>
      </c>
      <c r="B2678" s="21" t="s">
        <v>7132</v>
      </c>
      <c r="C2678" s="13" t="s">
        <v>166</v>
      </c>
      <c r="D2678" s="782"/>
      <c r="E2678" s="22"/>
      <c r="F2678" s="19">
        <v>163897</v>
      </c>
      <c r="G2678" s="14">
        <f t="shared" si="43"/>
        <v>-163897</v>
      </c>
      <c r="H2678" s="13" t="s">
        <v>7594</v>
      </c>
    </row>
    <row r="2679" spans="1:8" hidden="1" x14ac:dyDescent="0.25">
      <c r="A2679" s="116">
        <v>44528</v>
      </c>
      <c r="B2679" s="21" t="s">
        <v>6565</v>
      </c>
      <c r="C2679" s="13" t="s">
        <v>4853</v>
      </c>
      <c r="D2679" s="782"/>
      <c r="E2679" s="22">
        <v>8959</v>
      </c>
      <c r="F2679" s="19"/>
      <c r="G2679" s="14">
        <f t="shared" si="43"/>
        <v>8959</v>
      </c>
      <c r="H2679" s="13"/>
    </row>
    <row r="2680" spans="1:8" hidden="1" x14ac:dyDescent="0.25">
      <c r="A2680" s="116">
        <v>44528</v>
      </c>
      <c r="B2680" s="21" t="s">
        <v>1407</v>
      </c>
      <c r="C2680" s="13" t="s">
        <v>4853</v>
      </c>
      <c r="D2680" s="782"/>
      <c r="E2680" s="22"/>
      <c r="F2680" s="19">
        <v>20186</v>
      </c>
      <c r="G2680" s="14">
        <f t="shared" si="43"/>
        <v>-20186</v>
      </c>
      <c r="H2680" s="1188" t="s">
        <v>7681</v>
      </c>
    </row>
    <row r="2681" spans="1:8" hidden="1" x14ac:dyDescent="0.25">
      <c r="A2681" s="116">
        <v>44528</v>
      </c>
      <c r="B2681" s="21" t="s">
        <v>6565</v>
      </c>
      <c r="C2681" s="13" t="s">
        <v>4853</v>
      </c>
      <c r="D2681" s="782"/>
      <c r="E2681" s="22"/>
      <c r="F2681" s="19">
        <v>29814</v>
      </c>
      <c r="G2681" s="14">
        <f t="shared" si="43"/>
        <v>-29814</v>
      </c>
      <c r="H2681" s="1188"/>
    </row>
    <row r="2682" spans="1:8" hidden="1" x14ac:dyDescent="0.25">
      <c r="A2682" s="116">
        <v>44528</v>
      </c>
      <c r="B2682" s="21" t="s">
        <v>6568</v>
      </c>
      <c r="C2682" s="13" t="s">
        <v>2609</v>
      </c>
      <c r="D2682" s="782"/>
      <c r="E2682" s="22"/>
      <c r="F2682" s="19">
        <v>15000</v>
      </c>
      <c r="G2682" s="14">
        <f t="shared" si="43"/>
        <v>-15000</v>
      </c>
      <c r="H2682" s="13"/>
    </row>
    <row r="2683" spans="1:8" hidden="1" x14ac:dyDescent="0.25">
      <c r="A2683" s="116">
        <v>44528</v>
      </c>
      <c r="B2683" s="21" t="s">
        <v>6568</v>
      </c>
      <c r="C2683" s="13" t="s">
        <v>2609</v>
      </c>
      <c r="D2683" s="782"/>
      <c r="E2683" s="22"/>
      <c r="F2683" s="19">
        <v>4000</v>
      </c>
      <c r="G2683" s="14">
        <f t="shared" si="43"/>
        <v>-4000</v>
      </c>
      <c r="H2683" s="13" t="s">
        <v>7684</v>
      </c>
    </row>
    <row r="2684" spans="1:8" hidden="1"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hidden="1" x14ac:dyDescent="0.25">
      <c r="A2686" s="116">
        <v>44581</v>
      </c>
      <c r="B2686" s="21" t="s">
        <v>2957</v>
      </c>
      <c r="C2686" s="13" t="s">
        <v>3738</v>
      </c>
      <c r="D2686" s="782"/>
      <c r="E2686" s="22"/>
      <c r="F2686" s="19">
        <v>108570</v>
      </c>
      <c r="G2686" s="14">
        <f t="shared" si="43"/>
        <v>-108570</v>
      </c>
      <c r="H2686" s="1198" t="s">
        <v>7703</v>
      </c>
    </row>
    <row r="2687" spans="1:8" hidden="1" x14ac:dyDescent="0.25">
      <c r="A2687" s="116">
        <v>44581</v>
      </c>
      <c r="B2687" s="21" t="s">
        <v>6463</v>
      </c>
      <c r="C2687" s="13" t="s">
        <v>3738</v>
      </c>
      <c r="D2687" s="782"/>
      <c r="E2687" s="22"/>
      <c r="F2687" s="19">
        <v>11430</v>
      </c>
      <c r="G2687" s="14">
        <f t="shared" si="43"/>
        <v>-11430</v>
      </c>
      <c r="H2687" s="1198"/>
    </row>
    <row r="2688" spans="1:8" hidden="1" x14ac:dyDescent="0.25">
      <c r="A2688" s="116">
        <v>44581</v>
      </c>
      <c r="B2688" s="21" t="s">
        <v>6575</v>
      </c>
      <c r="C2688" s="13" t="s">
        <v>3738</v>
      </c>
      <c r="D2688" s="782"/>
      <c r="E2688" s="22"/>
      <c r="F2688" s="19">
        <v>50000</v>
      </c>
      <c r="G2688" s="14">
        <f t="shared" si="43"/>
        <v>-50000</v>
      </c>
      <c r="H2688" s="1198"/>
    </row>
    <row r="2689" spans="1:8" hidden="1" x14ac:dyDescent="0.25">
      <c r="A2689" s="116">
        <v>44586</v>
      </c>
      <c r="B2689" s="21" t="s">
        <v>7627</v>
      </c>
      <c r="C2689" s="13" t="s">
        <v>164</v>
      </c>
      <c r="D2689" s="782"/>
      <c r="E2689" s="22"/>
      <c r="F2689" s="19">
        <v>220000</v>
      </c>
      <c r="G2689" s="14">
        <f t="shared" si="43"/>
        <v>-220000</v>
      </c>
      <c r="H2689" s="700" t="s">
        <v>7704</v>
      </c>
    </row>
    <row r="2690" spans="1:8" hidden="1" x14ac:dyDescent="0.25">
      <c r="A2690" s="116">
        <v>44569</v>
      </c>
      <c r="B2690" s="21" t="s">
        <v>1407</v>
      </c>
      <c r="C2690" s="13" t="s">
        <v>166</v>
      </c>
      <c r="D2690" s="782"/>
      <c r="E2690" s="22">
        <v>73245</v>
      </c>
      <c r="F2690" s="19"/>
      <c r="G2690" s="14">
        <f t="shared" si="43"/>
        <v>73245</v>
      </c>
      <c r="H2690" s="13"/>
    </row>
    <row r="2691" spans="1:8" hidden="1" x14ac:dyDescent="0.25">
      <c r="A2691" s="116">
        <v>44449</v>
      </c>
      <c r="B2691" s="21" t="s">
        <v>7177</v>
      </c>
      <c r="C2691" s="13" t="s">
        <v>5234</v>
      </c>
      <c r="D2691" s="782"/>
      <c r="E2691" s="22">
        <v>118700</v>
      </c>
      <c r="F2691" s="19"/>
      <c r="G2691" s="14">
        <f t="shared" si="43"/>
        <v>118700</v>
      </c>
      <c r="H2691" s="13"/>
    </row>
    <row r="2692" spans="1:8" hidden="1" x14ac:dyDescent="0.25">
      <c r="A2692" s="116">
        <v>44602</v>
      </c>
      <c r="B2692" s="21" t="s">
        <v>7132</v>
      </c>
      <c r="C2692" s="13" t="s">
        <v>162</v>
      </c>
      <c r="D2692" s="782"/>
      <c r="E2692" s="22"/>
      <c r="F2692" s="19">
        <v>100000</v>
      </c>
      <c r="G2692" s="14">
        <f t="shared" si="43"/>
        <v>-100000</v>
      </c>
      <c r="H2692" s="705" t="s">
        <v>7731</v>
      </c>
    </row>
    <row r="2693" spans="1:8" hidden="1" x14ac:dyDescent="0.25">
      <c r="A2693" s="116">
        <v>44602</v>
      </c>
      <c r="B2693" s="21" t="s">
        <v>3979</v>
      </c>
      <c r="C2693" s="13" t="s">
        <v>7587</v>
      </c>
      <c r="D2693" s="782"/>
      <c r="E2693" s="22"/>
      <c r="F2693" s="19">
        <v>50000</v>
      </c>
      <c r="G2693" s="14">
        <f t="shared" si="43"/>
        <v>-50000</v>
      </c>
      <c r="H2693" s="704" t="s">
        <v>7730</v>
      </c>
    </row>
    <row r="2694" spans="1:8" hidden="1" x14ac:dyDescent="0.25">
      <c r="A2694" s="116">
        <v>44509</v>
      </c>
      <c r="B2694" s="21" t="s">
        <v>3979</v>
      </c>
      <c r="C2694" s="13" t="s">
        <v>440</v>
      </c>
      <c r="D2694" s="782">
        <v>23218</v>
      </c>
      <c r="E2694" s="22">
        <v>2600</v>
      </c>
      <c r="F2694" s="19"/>
      <c r="G2694" s="14">
        <f t="shared" si="43"/>
        <v>2600</v>
      </c>
      <c r="H2694" s="13"/>
    </row>
    <row r="2695" spans="1:8" hidden="1" x14ac:dyDescent="0.25">
      <c r="A2695" s="116">
        <v>44601</v>
      </c>
      <c r="B2695" s="21" t="s">
        <v>7177</v>
      </c>
      <c r="C2695" s="13" t="s">
        <v>440</v>
      </c>
      <c r="D2695" s="782">
        <v>32751</v>
      </c>
      <c r="E2695" s="22">
        <v>24420</v>
      </c>
      <c r="F2695" s="19"/>
      <c r="G2695" s="14">
        <f t="shared" si="43"/>
        <v>24420</v>
      </c>
      <c r="H2695" s="13"/>
    </row>
    <row r="2696" spans="1:8" hidden="1" x14ac:dyDescent="0.25">
      <c r="A2696" s="116">
        <v>44424</v>
      </c>
      <c r="B2696" s="21" t="s">
        <v>1407</v>
      </c>
      <c r="C2696" s="13" t="s">
        <v>7538</v>
      </c>
      <c r="D2696" s="782">
        <v>30000390</v>
      </c>
      <c r="E2696" s="22">
        <v>80990</v>
      </c>
      <c r="F2696" s="19"/>
      <c r="G2696" s="14">
        <f t="shared" si="43"/>
        <v>80990</v>
      </c>
      <c r="H2696" s="13"/>
    </row>
    <row r="2697" spans="1:8" hidden="1" x14ac:dyDescent="0.25">
      <c r="A2697" s="116">
        <v>44539</v>
      </c>
      <c r="B2697" s="21" t="s">
        <v>7132</v>
      </c>
      <c r="C2697" s="13" t="s">
        <v>7538</v>
      </c>
      <c r="D2697" s="782">
        <v>30000533</v>
      </c>
      <c r="E2697" s="22">
        <v>8800</v>
      </c>
      <c r="F2697" s="19"/>
      <c r="G2697" s="14">
        <f t="shared" si="43"/>
        <v>8800</v>
      </c>
      <c r="H2697" s="13"/>
    </row>
    <row r="2698" spans="1:8" hidden="1" x14ac:dyDescent="0.25">
      <c r="A2698" s="116">
        <v>44610</v>
      </c>
      <c r="B2698" s="21" t="s">
        <v>7733</v>
      </c>
      <c r="C2698" s="13" t="s">
        <v>7309</v>
      </c>
      <c r="D2698" s="794" t="s">
        <v>7747</v>
      </c>
      <c r="E2698" s="22">
        <v>692945</v>
      </c>
      <c r="F2698" s="19"/>
      <c r="G2698" s="14">
        <f t="shared" si="43"/>
        <v>692945</v>
      </c>
      <c r="H2698" s="13"/>
    </row>
    <row r="2699" spans="1:8" hidden="1" x14ac:dyDescent="0.25">
      <c r="A2699" s="116">
        <v>44610</v>
      </c>
      <c r="B2699" s="21" t="s">
        <v>7132</v>
      </c>
      <c r="C2699" s="13" t="s">
        <v>2327</v>
      </c>
      <c r="D2699" s="782"/>
      <c r="E2699" s="22">
        <v>34440</v>
      </c>
      <c r="F2699" s="19"/>
      <c r="G2699" s="14">
        <f t="shared" si="43"/>
        <v>34440</v>
      </c>
      <c r="H2699" s="13"/>
    </row>
    <row r="2700" spans="1:8" hidden="1" x14ac:dyDescent="0.25">
      <c r="A2700" s="116">
        <v>44604</v>
      </c>
      <c r="B2700" s="21" t="s">
        <v>37</v>
      </c>
      <c r="C2700" s="13" t="s">
        <v>7748</v>
      </c>
      <c r="D2700" s="782"/>
      <c r="E2700" s="22">
        <v>6000</v>
      </c>
      <c r="F2700" s="19"/>
      <c r="G2700" s="14">
        <f t="shared" si="43"/>
        <v>6000</v>
      </c>
      <c r="H2700" s="13"/>
    </row>
    <row r="2701" spans="1:8" hidden="1" x14ac:dyDescent="0.25">
      <c r="A2701" s="116">
        <v>44604</v>
      </c>
      <c r="B2701" s="21" t="s">
        <v>3979</v>
      </c>
      <c r="C2701" s="13" t="s">
        <v>7748</v>
      </c>
      <c r="D2701" s="782"/>
      <c r="E2701" s="22">
        <v>38000</v>
      </c>
      <c r="F2701" s="19"/>
      <c r="G2701" s="14">
        <f t="shared" si="43"/>
        <v>38000</v>
      </c>
      <c r="H2701" s="13"/>
    </row>
    <row r="2702" spans="1:8" hidden="1" x14ac:dyDescent="0.25">
      <c r="A2702" s="116">
        <v>44610</v>
      </c>
      <c r="B2702" s="21" t="s">
        <v>37</v>
      </c>
      <c r="C2702" s="759" t="s">
        <v>7748</v>
      </c>
      <c r="D2702" s="782"/>
      <c r="E2702" s="760"/>
      <c r="F2702" s="761">
        <v>6000</v>
      </c>
      <c r="G2702" s="760">
        <f t="shared" si="43"/>
        <v>-6000</v>
      </c>
      <c r="H2702" s="759" t="s">
        <v>7749</v>
      </c>
    </row>
    <row r="2703" spans="1:8" hidden="1" x14ac:dyDescent="0.25">
      <c r="A2703" s="116">
        <v>44610</v>
      </c>
      <c r="B2703" s="21" t="s">
        <v>3979</v>
      </c>
      <c r="C2703" s="759" t="s">
        <v>7748</v>
      </c>
      <c r="D2703" s="782"/>
      <c r="E2703" s="760"/>
      <c r="F2703" s="761">
        <v>2000</v>
      </c>
      <c r="G2703" s="760">
        <f t="shared" si="43"/>
        <v>-2000</v>
      </c>
      <c r="H2703" s="759" t="s">
        <v>7749</v>
      </c>
    </row>
    <row r="2704" spans="1:8" hidden="1" x14ac:dyDescent="0.25">
      <c r="A2704" s="116">
        <v>44610</v>
      </c>
      <c r="B2704" s="21" t="s">
        <v>3979</v>
      </c>
      <c r="C2704" s="13" t="s">
        <v>7748</v>
      </c>
      <c r="D2704" s="782"/>
      <c r="E2704" s="22"/>
      <c r="F2704" s="19">
        <v>15000</v>
      </c>
      <c r="G2704" s="14">
        <f t="shared" si="43"/>
        <v>-15000</v>
      </c>
      <c r="H2704" s="704" t="s">
        <v>7750</v>
      </c>
    </row>
    <row r="2705" spans="1:8" hidden="1" x14ac:dyDescent="0.25">
      <c r="A2705" s="116">
        <v>44610</v>
      </c>
      <c r="B2705" s="21" t="s">
        <v>7733</v>
      </c>
      <c r="C2705" s="13" t="s">
        <v>7748</v>
      </c>
      <c r="D2705" s="782"/>
      <c r="E2705" s="22">
        <v>20000</v>
      </c>
      <c r="F2705" s="19"/>
      <c r="G2705" s="14">
        <f t="shared" si="43"/>
        <v>20000</v>
      </c>
      <c r="H2705" s="704"/>
    </row>
    <row r="2706" spans="1:8" hidden="1" x14ac:dyDescent="0.25">
      <c r="A2706" s="116">
        <v>44610</v>
      </c>
      <c r="B2706" s="21" t="s">
        <v>37</v>
      </c>
      <c r="C2706" s="13" t="s">
        <v>7748</v>
      </c>
      <c r="D2706" s="782"/>
      <c r="E2706" s="22">
        <v>8000</v>
      </c>
      <c r="F2706" s="19"/>
      <c r="G2706" s="14">
        <f t="shared" si="43"/>
        <v>8000</v>
      </c>
      <c r="H2706" s="704"/>
    </row>
    <row r="2707" spans="1:8" hidden="1" x14ac:dyDescent="0.25">
      <c r="A2707" s="116">
        <v>44610</v>
      </c>
      <c r="B2707" s="21" t="s">
        <v>7132</v>
      </c>
      <c r="C2707" s="13" t="s">
        <v>2327</v>
      </c>
      <c r="D2707" s="782"/>
      <c r="E2707" s="22"/>
      <c r="F2707" s="19">
        <v>37000</v>
      </c>
      <c r="G2707" s="14">
        <f t="shared" si="43"/>
        <v>-37000</v>
      </c>
      <c r="H2707" s="704" t="s">
        <v>7754</v>
      </c>
    </row>
    <row r="2708" spans="1:8" hidden="1" x14ac:dyDescent="0.25">
      <c r="A2708" s="116">
        <v>44610</v>
      </c>
      <c r="B2708" s="21" t="s">
        <v>1407</v>
      </c>
      <c r="C2708" s="759" t="s">
        <v>7538</v>
      </c>
      <c r="D2708" s="782"/>
      <c r="E2708" s="760"/>
      <c r="F2708" s="761">
        <f>79000+1990</f>
        <v>80990</v>
      </c>
      <c r="G2708" s="760">
        <f t="shared" si="43"/>
        <v>-80990</v>
      </c>
      <c r="H2708" s="1228" t="s">
        <v>7755</v>
      </c>
    </row>
    <row r="2709" spans="1:8" hidden="1" x14ac:dyDescent="0.25">
      <c r="A2709" s="116">
        <v>44610</v>
      </c>
      <c r="B2709" s="21" t="s">
        <v>7017</v>
      </c>
      <c r="C2709" s="759" t="s">
        <v>7538</v>
      </c>
      <c r="D2709" s="782"/>
      <c r="E2709" s="760"/>
      <c r="F2709" s="761">
        <f>50900+252</f>
        <v>51152</v>
      </c>
      <c r="G2709" s="760">
        <f t="shared" si="43"/>
        <v>-51152</v>
      </c>
      <c r="H2709" s="1228"/>
    </row>
    <row r="2710" spans="1:8" hidden="1" x14ac:dyDescent="0.25">
      <c r="A2710" s="116">
        <v>44610</v>
      </c>
      <c r="B2710" s="21" t="s">
        <v>7132</v>
      </c>
      <c r="C2710" s="759" t="s">
        <v>7538</v>
      </c>
      <c r="D2710" s="782"/>
      <c r="E2710" s="760"/>
      <c r="F2710" s="761">
        <v>30105</v>
      </c>
      <c r="G2710" s="760">
        <f t="shared" si="43"/>
        <v>-30105</v>
      </c>
      <c r="H2710" s="1228"/>
    </row>
    <row r="2711" spans="1:8" hidden="1" x14ac:dyDescent="0.25">
      <c r="A2711" s="116">
        <v>44610</v>
      </c>
      <c r="B2711" s="21" t="s">
        <v>7733</v>
      </c>
      <c r="C2711" s="13" t="s">
        <v>7309</v>
      </c>
      <c r="D2711" s="782"/>
      <c r="E2711" s="22"/>
      <c r="F2711" s="19">
        <v>400000</v>
      </c>
      <c r="G2711" s="14">
        <f t="shared" si="43"/>
        <v>-400000</v>
      </c>
      <c r="H2711" s="13" t="s">
        <v>7758</v>
      </c>
    </row>
    <row r="2712" spans="1:8" ht="18.75" hidden="1" x14ac:dyDescent="0.3">
      <c r="A2712" s="116">
        <v>44610</v>
      </c>
      <c r="B2712" s="708" t="s">
        <v>6562</v>
      </c>
      <c r="C2712" s="13"/>
      <c r="D2712" s="782"/>
      <c r="E2712" s="22"/>
      <c r="F2712" s="19"/>
      <c r="G2712" s="14">
        <f t="shared" si="43"/>
        <v>0</v>
      </c>
      <c r="H2712" s="13"/>
    </row>
    <row r="2713" spans="1:8" ht="18.75" hidden="1" x14ac:dyDescent="0.3">
      <c r="A2713" s="116">
        <v>44610</v>
      </c>
      <c r="B2713" s="708" t="s">
        <v>7191</v>
      </c>
      <c r="C2713" s="13"/>
      <c r="D2713" s="782"/>
      <c r="E2713" s="22"/>
      <c r="F2713" s="19"/>
      <c r="G2713" s="14">
        <f t="shared" si="43"/>
        <v>0</v>
      </c>
      <c r="H2713" s="13"/>
    </row>
    <row r="2714" spans="1:8" ht="18.75" hidden="1" x14ac:dyDescent="0.3">
      <c r="A2714" s="116">
        <v>44610</v>
      </c>
      <c r="B2714" s="708" t="s">
        <v>6706</v>
      </c>
      <c r="C2714" s="13"/>
      <c r="D2714" s="782"/>
      <c r="E2714" s="22"/>
      <c r="F2714" s="19"/>
      <c r="G2714" s="14">
        <f t="shared" si="43"/>
        <v>0</v>
      </c>
      <c r="H2714" s="13"/>
    </row>
    <row r="2715" spans="1:8" ht="18.75" hidden="1" x14ac:dyDescent="0.3">
      <c r="A2715" s="116">
        <v>44610</v>
      </c>
      <c r="B2715" s="708" t="s">
        <v>7811</v>
      </c>
      <c r="C2715" s="13"/>
      <c r="D2715" s="782"/>
      <c r="E2715" s="22"/>
      <c r="F2715" s="19"/>
      <c r="G2715" s="14">
        <f t="shared" si="43"/>
        <v>0</v>
      </c>
      <c r="H2715" s="13"/>
    </row>
    <row r="2716" spans="1:8" ht="18.75" hidden="1" x14ac:dyDescent="0.3">
      <c r="A2716" s="116">
        <v>44610</v>
      </c>
      <c r="B2716" s="708" t="s">
        <v>7825</v>
      </c>
      <c r="C2716" s="13"/>
      <c r="D2716" s="782"/>
      <c r="E2716" s="22"/>
      <c r="F2716" s="19"/>
      <c r="G2716" s="14">
        <f t="shared" si="43"/>
        <v>0</v>
      </c>
      <c r="H2716" s="13"/>
    </row>
    <row r="2717" spans="1:8" hidden="1" x14ac:dyDescent="0.25">
      <c r="A2717" s="116">
        <v>44524</v>
      </c>
      <c r="B2717" s="21" t="s">
        <v>7177</v>
      </c>
      <c r="C2717" s="13" t="s">
        <v>7309</v>
      </c>
      <c r="D2717" s="782">
        <v>563</v>
      </c>
      <c r="E2717" s="22">
        <v>12000</v>
      </c>
      <c r="F2717" s="19"/>
      <c r="G2717" s="14">
        <f t="shared" si="43"/>
        <v>12000</v>
      </c>
      <c r="H2717" s="13" t="s">
        <v>7775</v>
      </c>
    </row>
    <row r="2718" spans="1:8" hidden="1" x14ac:dyDescent="0.25">
      <c r="A2718" s="116">
        <v>44615</v>
      </c>
      <c r="B2718" s="21" t="s">
        <v>7733</v>
      </c>
      <c r="C2718" s="13" t="s">
        <v>7309</v>
      </c>
      <c r="D2718" s="794" t="s">
        <v>7762</v>
      </c>
      <c r="E2718" s="22">
        <f>317140-66360</f>
        <v>250780</v>
      </c>
      <c r="F2718" s="19"/>
      <c r="G2718" s="14">
        <f t="shared" si="43"/>
        <v>250780</v>
      </c>
      <c r="H2718" s="13"/>
    </row>
    <row r="2719" spans="1:8" hidden="1" x14ac:dyDescent="0.25">
      <c r="A2719" s="116">
        <v>44615</v>
      </c>
      <c r="B2719" s="21" t="s">
        <v>37</v>
      </c>
      <c r="C2719" s="13" t="s">
        <v>7309</v>
      </c>
      <c r="D2719" s="794"/>
      <c r="E2719" s="22">
        <v>66360</v>
      </c>
      <c r="F2719" s="19"/>
      <c r="G2719" s="14">
        <f t="shared" si="43"/>
        <v>66360</v>
      </c>
      <c r="H2719" s="13"/>
    </row>
    <row r="2720" spans="1:8" hidden="1" x14ac:dyDescent="0.25">
      <c r="A2720" s="116">
        <v>44615</v>
      </c>
      <c r="B2720" s="21" t="s">
        <v>7627</v>
      </c>
      <c r="C2720" s="13" t="s">
        <v>7309</v>
      </c>
      <c r="D2720" s="794" t="s">
        <v>7763</v>
      </c>
      <c r="E2720" s="22">
        <v>140020</v>
      </c>
      <c r="F2720" s="19"/>
      <c r="G2720" s="14">
        <f t="shared" si="43"/>
        <v>140020</v>
      </c>
      <c r="H2720" s="13" t="s">
        <v>7776</v>
      </c>
    </row>
    <row r="2721" spans="1:8" hidden="1" x14ac:dyDescent="0.25">
      <c r="A2721" s="116">
        <v>44608</v>
      </c>
      <c r="B2721" s="21" t="s">
        <v>7733</v>
      </c>
      <c r="C2721" s="13" t="s">
        <v>166</v>
      </c>
      <c r="D2721" s="782">
        <v>18094</v>
      </c>
      <c r="E2721" s="22">
        <v>80000</v>
      </c>
      <c r="F2721" s="19"/>
      <c r="G2721" s="14">
        <f t="shared" si="43"/>
        <v>80000</v>
      </c>
      <c r="H2721" s="13" t="s">
        <v>7777</v>
      </c>
    </row>
    <row r="2722" spans="1:8" hidden="1" x14ac:dyDescent="0.25">
      <c r="A2722" s="116">
        <v>44627</v>
      </c>
      <c r="B2722" s="21" t="s">
        <v>7733</v>
      </c>
      <c r="C2722" s="13" t="s">
        <v>7309</v>
      </c>
      <c r="D2722" s="782"/>
      <c r="E2722" s="22"/>
      <c r="F2722" s="19">
        <v>233640</v>
      </c>
      <c r="G2722" s="14">
        <f t="shared" si="43"/>
        <v>-233640</v>
      </c>
      <c r="H2722" s="1188" t="s">
        <v>7975</v>
      </c>
    </row>
    <row r="2723" spans="1:8" hidden="1" x14ac:dyDescent="0.25">
      <c r="A2723" s="116">
        <v>44627</v>
      </c>
      <c r="B2723" s="21" t="s">
        <v>37</v>
      </c>
      <c r="C2723" s="13" t="s">
        <v>7309</v>
      </c>
      <c r="D2723" s="782"/>
      <c r="E2723" s="22"/>
      <c r="F2723" s="19">
        <v>66360</v>
      </c>
      <c r="G2723" s="14">
        <f t="shared" si="43"/>
        <v>-66360</v>
      </c>
      <c r="H2723" s="1188"/>
    </row>
    <row r="2724" spans="1:8" hidden="1" x14ac:dyDescent="0.25">
      <c r="A2724" s="116">
        <v>44627</v>
      </c>
      <c r="B2724" s="21" t="s">
        <v>1407</v>
      </c>
      <c r="C2724" s="759" t="s">
        <v>166</v>
      </c>
      <c r="D2724" s="782"/>
      <c r="E2724" s="760"/>
      <c r="F2724" s="760">
        <v>204468</v>
      </c>
      <c r="G2724" s="760">
        <f t="shared" si="43"/>
        <v>-204468</v>
      </c>
      <c r="H2724" s="1189" t="s">
        <v>7865</v>
      </c>
    </row>
    <row r="2725" spans="1:8" hidden="1" x14ac:dyDescent="0.25">
      <c r="A2725" s="116">
        <v>44627</v>
      </c>
      <c r="B2725" s="21" t="s">
        <v>7132</v>
      </c>
      <c r="C2725" s="759" t="s">
        <v>166</v>
      </c>
      <c r="D2725" s="782"/>
      <c r="E2725" s="760"/>
      <c r="F2725" s="760">
        <v>12627</v>
      </c>
      <c r="G2725" s="760">
        <f t="shared" ref="G2725:G2862" si="44">E2725-F2725</f>
        <v>-12627</v>
      </c>
      <c r="H2725" s="1189"/>
    </row>
    <row r="2726" spans="1:8" hidden="1" x14ac:dyDescent="0.25">
      <c r="A2726" s="116">
        <v>44627</v>
      </c>
      <c r="B2726" s="21" t="s">
        <v>7733</v>
      </c>
      <c r="C2726" s="759" t="s">
        <v>166</v>
      </c>
      <c r="D2726" s="782"/>
      <c r="E2726" s="760"/>
      <c r="F2726" s="760">
        <v>80000</v>
      </c>
      <c r="G2726" s="760">
        <f t="shared" si="44"/>
        <v>-80000</v>
      </c>
      <c r="H2726" s="1189"/>
    </row>
    <row r="2727" spans="1:8" hidden="1" x14ac:dyDescent="0.25">
      <c r="A2727" s="116">
        <v>44627</v>
      </c>
      <c r="B2727" s="21" t="s">
        <v>7017</v>
      </c>
      <c r="C2727" s="759" t="s">
        <v>166</v>
      </c>
      <c r="D2727" s="782"/>
      <c r="E2727" s="760"/>
      <c r="F2727" s="760">
        <v>2905</v>
      </c>
      <c r="G2727" s="760">
        <f t="shared" si="44"/>
        <v>-2905</v>
      </c>
      <c r="H2727" s="1189"/>
    </row>
    <row r="2728" spans="1:8" hidden="1" x14ac:dyDescent="0.25">
      <c r="A2728" s="116">
        <v>44613</v>
      </c>
      <c r="B2728" s="21" t="s">
        <v>82</v>
      </c>
      <c r="C2728" s="13" t="s">
        <v>440</v>
      </c>
      <c r="D2728" s="782">
        <v>23424</v>
      </c>
      <c r="E2728" s="22">
        <v>1080</v>
      </c>
      <c r="F2728" s="19"/>
      <c r="G2728" s="20">
        <f t="shared" si="44"/>
        <v>1080</v>
      </c>
      <c r="H2728" s="13"/>
    </row>
    <row r="2729" spans="1:8" hidden="1" x14ac:dyDescent="0.25">
      <c r="A2729" s="116">
        <v>44621</v>
      </c>
      <c r="B2729" s="21" t="s">
        <v>82</v>
      </c>
      <c r="C2729" s="13" t="s">
        <v>440</v>
      </c>
      <c r="D2729" s="782">
        <v>23440</v>
      </c>
      <c r="E2729" s="22">
        <v>313700</v>
      </c>
      <c r="F2729" s="19"/>
      <c r="G2729" s="20">
        <f t="shared" si="44"/>
        <v>313700</v>
      </c>
      <c r="H2729" s="13"/>
    </row>
    <row r="2730" spans="1:8" hidden="1" x14ac:dyDescent="0.25">
      <c r="A2730" s="116">
        <v>44622</v>
      </c>
      <c r="B2730" s="21" t="s">
        <v>82</v>
      </c>
      <c r="C2730" s="13" t="s">
        <v>440</v>
      </c>
      <c r="D2730" s="782">
        <v>23442</v>
      </c>
      <c r="E2730" s="22">
        <v>9010</v>
      </c>
      <c r="F2730" s="19"/>
      <c r="G2730" s="20">
        <f t="shared" si="44"/>
        <v>9010</v>
      </c>
      <c r="H2730" s="13"/>
    </row>
    <row r="2731" spans="1:8" hidden="1" x14ac:dyDescent="0.25">
      <c r="A2731" s="116">
        <v>44622</v>
      </c>
      <c r="B2731" s="21" t="s">
        <v>82</v>
      </c>
      <c r="C2731" s="13" t="s">
        <v>440</v>
      </c>
      <c r="D2731" s="782">
        <v>23444</v>
      </c>
      <c r="E2731" s="22">
        <v>600</v>
      </c>
      <c r="F2731" s="19"/>
      <c r="G2731" s="20">
        <f t="shared" si="44"/>
        <v>600</v>
      </c>
      <c r="H2731" s="13"/>
    </row>
    <row r="2732" spans="1:8" hidden="1" x14ac:dyDescent="0.25">
      <c r="A2732" s="116">
        <v>44627</v>
      </c>
      <c r="B2732" s="21" t="s">
        <v>82</v>
      </c>
      <c r="C2732" s="13" t="s">
        <v>440</v>
      </c>
      <c r="D2732" s="782">
        <v>23449</v>
      </c>
      <c r="E2732" s="22">
        <v>4800</v>
      </c>
      <c r="F2732" s="19"/>
      <c r="G2732" s="20">
        <f t="shared" si="44"/>
        <v>4800</v>
      </c>
      <c r="H2732" s="13"/>
    </row>
    <row r="2733" spans="1:8" hidden="1" x14ac:dyDescent="0.25">
      <c r="A2733" s="116">
        <v>44628</v>
      </c>
      <c r="B2733" s="21" t="s">
        <v>82</v>
      </c>
      <c r="C2733" s="13" t="s">
        <v>440</v>
      </c>
      <c r="D2733" s="782">
        <v>23451</v>
      </c>
      <c r="E2733" s="22">
        <v>86100</v>
      </c>
      <c r="F2733" s="19"/>
      <c r="G2733" s="20">
        <f t="shared" si="44"/>
        <v>86100</v>
      </c>
      <c r="H2733" s="13"/>
    </row>
    <row r="2734" spans="1:8" hidden="1" x14ac:dyDescent="0.25">
      <c r="A2734" s="116">
        <v>44627</v>
      </c>
      <c r="B2734" s="21" t="s">
        <v>7627</v>
      </c>
      <c r="C2734" s="13" t="s">
        <v>7309</v>
      </c>
      <c r="D2734" s="794" t="s">
        <v>7783</v>
      </c>
      <c r="E2734" s="22">
        <f>3040+22935</f>
        <v>25975</v>
      </c>
      <c r="F2734" s="19"/>
      <c r="G2734" s="20">
        <f t="shared" si="44"/>
        <v>25975</v>
      </c>
      <c r="H2734" s="1190" t="s">
        <v>7784</v>
      </c>
    </row>
    <row r="2735" spans="1:8" hidden="1" x14ac:dyDescent="0.25">
      <c r="A2735" s="116">
        <v>44627</v>
      </c>
      <c r="B2735" s="21" t="s">
        <v>7733</v>
      </c>
      <c r="C2735" s="13" t="s">
        <v>7309</v>
      </c>
      <c r="D2735" s="794" t="s">
        <v>7783</v>
      </c>
      <c r="E2735" s="22">
        <v>19800</v>
      </c>
      <c r="F2735" s="19"/>
      <c r="G2735" s="20">
        <f t="shared" si="44"/>
        <v>19800</v>
      </c>
      <c r="H2735" s="1190"/>
    </row>
    <row r="2736" spans="1:8" hidden="1" x14ac:dyDescent="0.25">
      <c r="A2736" s="116">
        <v>44637</v>
      </c>
      <c r="B2736" s="21" t="s">
        <v>7733</v>
      </c>
      <c r="C2736" s="13" t="s">
        <v>5731</v>
      </c>
      <c r="D2736" s="782">
        <v>35</v>
      </c>
      <c r="E2736" s="22">
        <f>11300+8400+7000+11700+2500</f>
        <v>40900</v>
      </c>
      <c r="F2736" s="19"/>
      <c r="G2736" s="20">
        <f t="shared" si="44"/>
        <v>40900</v>
      </c>
      <c r="H2736" s="1190" t="s">
        <v>7784</v>
      </c>
    </row>
    <row r="2737" spans="1:8" hidden="1" x14ac:dyDescent="0.25">
      <c r="A2737" s="116">
        <v>44637</v>
      </c>
      <c r="B2737" s="21" t="s">
        <v>7627</v>
      </c>
      <c r="C2737" s="13" t="s">
        <v>5731</v>
      </c>
      <c r="D2737" s="782">
        <v>35</v>
      </c>
      <c r="E2737" s="22">
        <f>7600+3500</f>
        <v>11100</v>
      </c>
      <c r="F2737" s="19"/>
      <c r="G2737" s="20">
        <f t="shared" si="44"/>
        <v>11100</v>
      </c>
      <c r="H2737" s="1190"/>
    </row>
    <row r="2738" spans="1:8" hidden="1" x14ac:dyDescent="0.25">
      <c r="A2738" s="116">
        <v>44625</v>
      </c>
      <c r="B2738" s="21" t="s">
        <v>7733</v>
      </c>
      <c r="C2738" s="13" t="s">
        <v>166</v>
      </c>
      <c r="D2738" s="794" t="s">
        <v>7808</v>
      </c>
      <c r="E2738" s="22">
        <v>48000</v>
      </c>
      <c r="F2738" s="19"/>
      <c r="G2738" s="20">
        <f t="shared" si="44"/>
        <v>48000</v>
      </c>
      <c r="H2738" s="13"/>
    </row>
    <row r="2739" spans="1:8" hidden="1" x14ac:dyDescent="0.25">
      <c r="A2739" s="116">
        <v>44628</v>
      </c>
      <c r="B2739" s="21" t="s">
        <v>6562</v>
      </c>
      <c r="C2739" s="13" t="s">
        <v>166</v>
      </c>
      <c r="D2739" s="794" t="s">
        <v>7809</v>
      </c>
      <c r="E2739" s="22">
        <v>51585</v>
      </c>
      <c r="F2739" s="19"/>
      <c r="G2739" s="20">
        <f t="shared" si="44"/>
        <v>51585</v>
      </c>
      <c r="H2739" s="13"/>
    </row>
    <row r="2740" spans="1:8" hidden="1" x14ac:dyDescent="0.25">
      <c r="A2740" s="116">
        <v>44628</v>
      </c>
      <c r="B2740" s="21" t="s">
        <v>7733</v>
      </c>
      <c r="C2740" s="13" t="s">
        <v>166</v>
      </c>
      <c r="D2740" s="794" t="s">
        <v>7810</v>
      </c>
      <c r="E2740" s="22">
        <v>32000</v>
      </c>
      <c r="F2740" s="19"/>
      <c r="G2740" s="14">
        <f t="shared" si="44"/>
        <v>32000</v>
      </c>
      <c r="H2740" s="13"/>
    </row>
    <row r="2741" spans="1:8" hidden="1" x14ac:dyDescent="0.25">
      <c r="A2741" s="116">
        <v>44644</v>
      </c>
      <c r="B2741" s="21" t="s">
        <v>7733</v>
      </c>
      <c r="C2741" s="13" t="s">
        <v>7309</v>
      </c>
      <c r="D2741" s="782"/>
      <c r="E2741" s="22"/>
      <c r="F2741" s="19">
        <v>250000</v>
      </c>
      <c r="G2741" s="14">
        <f t="shared" si="44"/>
        <v>-250000</v>
      </c>
      <c r="H2741" s="13" t="s">
        <v>7823</v>
      </c>
    </row>
    <row r="2742" spans="1:8" hidden="1" x14ac:dyDescent="0.25">
      <c r="A2742" s="116">
        <v>44644</v>
      </c>
      <c r="B2742" s="21" t="s">
        <v>7132</v>
      </c>
      <c r="C2742" s="13" t="s">
        <v>162</v>
      </c>
      <c r="D2742" s="782"/>
      <c r="E2742" s="22"/>
      <c r="F2742" s="19">
        <v>100000</v>
      </c>
      <c r="G2742" s="14">
        <f t="shared" si="44"/>
        <v>-100000</v>
      </c>
      <c r="H2742" s="13" t="s">
        <v>7824</v>
      </c>
    </row>
    <row r="2743" spans="1:8" hidden="1" x14ac:dyDescent="0.25">
      <c r="A2743" s="116">
        <v>44615</v>
      </c>
      <c r="B2743" s="21" t="s">
        <v>7177</v>
      </c>
      <c r="C2743" s="13" t="s">
        <v>164</v>
      </c>
      <c r="D2743" s="782">
        <v>2122</v>
      </c>
      <c r="E2743" s="22">
        <v>154593</v>
      </c>
      <c r="F2743" s="19"/>
      <c r="G2743" s="14">
        <f t="shared" si="44"/>
        <v>154593</v>
      </c>
      <c r="H2743" s="13"/>
    </row>
    <row r="2744" spans="1:8" hidden="1" x14ac:dyDescent="0.25">
      <c r="A2744" s="116">
        <v>44615</v>
      </c>
      <c r="B2744" s="21" t="s">
        <v>7177</v>
      </c>
      <c r="C2744" s="13" t="s">
        <v>164</v>
      </c>
      <c r="D2744" s="782"/>
      <c r="E2744" s="22"/>
      <c r="F2744" s="19">
        <v>37626</v>
      </c>
      <c r="G2744" s="14">
        <f t="shared" si="44"/>
        <v>-37626</v>
      </c>
      <c r="H2744" s="13"/>
    </row>
    <row r="2745" spans="1:8" hidden="1" x14ac:dyDescent="0.25">
      <c r="A2745" s="116">
        <v>44644</v>
      </c>
      <c r="B2745" s="21" t="s">
        <v>7825</v>
      </c>
      <c r="C2745" s="13" t="s">
        <v>180</v>
      </c>
      <c r="D2745" s="782">
        <v>155</v>
      </c>
      <c r="E2745" s="22">
        <v>78490</v>
      </c>
      <c r="F2745" s="19"/>
      <c r="G2745" s="14">
        <f t="shared" si="44"/>
        <v>78490</v>
      </c>
      <c r="H2745" s="13"/>
    </row>
    <row r="2746" spans="1:8" hidden="1" x14ac:dyDescent="0.25">
      <c r="A2746" s="116">
        <v>44644</v>
      </c>
      <c r="B2746" s="21" t="s">
        <v>7811</v>
      </c>
      <c r="C2746" s="13" t="s">
        <v>180</v>
      </c>
      <c r="D2746" s="782">
        <v>154</v>
      </c>
      <c r="E2746" s="22">
        <v>44990</v>
      </c>
      <c r="F2746" s="19"/>
      <c r="G2746" s="14">
        <f t="shared" si="44"/>
        <v>44990</v>
      </c>
      <c r="H2746" s="13"/>
    </row>
    <row r="2747" spans="1:8" hidden="1" x14ac:dyDescent="0.25">
      <c r="A2747" s="116">
        <v>44644</v>
      </c>
      <c r="B2747" s="21" t="s">
        <v>7811</v>
      </c>
      <c r="C2747" s="13" t="s">
        <v>180</v>
      </c>
      <c r="D2747" s="782">
        <v>156</v>
      </c>
      <c r="E2747" s="22">
        <v>113720</v>
      </c>
      <c r="F2747" s="19"/>
      <c r="G2747" s="14">
        <f t="shared" si="44"/>
        <v>113720</v>
      </c>
      <c r="H2747" s="13"/>
    </row>
    <row r="2748" spans="1:8" hidden="1" x14ac:dyDescent="0.25">
      <c r="A2748" s="116">
        <v>44636</v>
      </c>
      <c r="B2748" s="21" t="s">
        <v>7733</v>
      </c>
      <c r="C2748" s="13" t="s">
        <v>166</v>
      </c>
      <c r="D2748" s="782">
        <v>18237</v>
      </c>
      <c r="E2748" s="22">
        <v>42000</v>
      </c>
      <c r="F2748" s="19"/>
      <c r="G2748" s="14">
        <f t="shared" si="44"/>
        <v>42000</v>
      </c>
      <c r="H2748" s="13"/>
    </row>
    <row r="2749" spans="1:8" hidden="1" x14ac:dyDescent="0.25">
      <c r="A2749" s="116">
        <v>44645</v>
      </c>
      <c r="B2749" s="21" t="s">
        <v>7825</v>
      </c>
      <c r="C2749" s="13" t="s">
        <v>166</v>
      </c>
      <c r="D2749" s="782">
        <v>18276</v>
      </c>
      <c r="E2749" s="22">
        <v>24000</v>
      </c>
      <c r="F2749" s="19"/>
      <c r="G2749" s="14">
        <f t="shared" si="44"/>
        <v>24000</v>
      </c>
      <c r="H2749" s="13"/>
    </row>
    <row r="2750" spans="1:8" hidden="1" x14ac:dyDescent="0.25">
      <c r="A2750" s="116">
        <v>44645</v>
      </c>
      <c r="B2750" s="21" t="s">
        <v>7627</v>
      </c>
      <c r="C2750" s="13" t="s">
        <v>166</v>
      </c>
      <c r="D2750" s="782">
        <v>18274</v>
      </c>
      <c r="E2750" s="22">
        <v>16000</v>
      </c>
      <c r="F2750" s="19"/>
      <c r="G2750" s="14">
        <f t="shared" si="44"/>
        <v>16000</v>
      </c>
      <c r="H2750" s="13"/>
    </row>
    <row r="2751" spans="1:8" hidden="1" x14ac:dyDescent="0.25">
      <c r="A2751" s="116">
        <v>44645</v>
      </c>
      <c r="B2751" s="21" t="s">
        <v>37</v>
      </c>
      <c r="C2751" s="13" t="s">
        <v>166</v>
      </c>
      <c r="D2751" s="782">
        <v>18275</v>
      </c>
      <c r="E2751" s="22">
        <v>8000</v>
      </c>
      <c r="F2751" s="19"/>
      <c r="G2751" s="14">
        <f t="shared" si="44"/>
        <v>8000</v>
      </c>
      <c r="H2751" s="13"/>
    </row>
    <row r="2752" spans="1:8" hidden="1" x14ac:dyDescent="0.25">
      <c r="A2752" s="116">
        <v>44645</v>
      </c>
      <c r="B2752" s="21" t="s">
        <v>7017</v>
      </c>
      <c r="C2752" s="13" t="s">
        <v>166</v>
      </c>
      <c r="D2752" s="782"/>
      <c r="E2752" s="22"/>
      <c r="F2752" s="19">
        <v>2595</v>
      </c>
      <c r="G2752" s="14">
        <f t="shared" si="44"/>
        <v>-2595</v>
      </c>
      <c r="H2752" s="1195" t="s">
        <v>7827</v>
      </c>
    </row>
    <row r="2753" spans="1:8" hidden="1" x14ac:dyDescent="0.25">
      <c r="A2753" s="116">
        <v>44645</v>
      </c>
      <c r="B2753" s="21" t="s">
        <v>6562</v>
      </c>
      <c r="C2753" s="13" t="s">
        <v>166</v>
      </c>
      <c r="D2753" s="782"/>
      <c r="E2753" s="22"/>
      <c r="F2753" s="19">
        <v>51585</v>
      </c>
      <c r="G2753" s="14">
        <f t="shared" si="44"/>
        <v>-51585</v>
      </c>
      <c r="H2753" s="1195"/>
    </row>
    <row r="2754" spans="1:8" hidden="1" x14ac:dyDescent="0.25">
      <c r="A2754" s="116">
        <v>44645</v>
      </c>
      <c r="B2754" s="21" t="s">
        <v>7733</v>
      </c>
      <c r="C2754" s="13" t="s">
        <v>166</v>
      </c>
      <c r="D2754" s="782"/>
      <c r="E2754" s="22"/>
      <c r="F2754" s="19">
        <v>122000</v>
      </c>
      <c r="G2754" s="14">
        <f t="shared" si="44"/>
        <v>-122000</v>
      </c>
      <c r="H2754" s="1195"/>
    </row>
    <row r="2755" spans="1:8" hidden="1" x14ac:dyDescent="0.25">
      <c r="A2755" s="116">
        <v>44645</v>
      </c>
      <c r="B2755" s="21" t="s">
        <v>37</v>
      </c>
      <c r="C2755" s="13" t="s">
        <v>166</v>
      </c>
      <c r="D2755" s="782"/>
      <c r="E2755" s="22"/>
      <c r="F2755" s="19">
        <v>8000</v>
      </c>
      <c r="G2755" s="14">
        <f t="shared" si="44"/>
        <v>-8000</v>
      </c>
      <c r="H2755" s="1195"/>
    </row>
    <row r="2756" spans="1:8" hidden="1" x14ac:dyDescent="0.25">
      <c r="A2756" s="116">
        <v>44645</v>
      </c>
      <c r="B2756" s="21" t="s">
        <v>7627</v>
      </c>
      <c r="C2756" s="13" t="s">
        <v>166</v>
      </c>
      <c r="D2756" s="782"/>
      <c r="E2756" s="22"/>
      <c r="F2756" s="19">
        <v>7857</v>
      </c>
      <c r="G2756" s="14">
        <f t="shared" si="44"/>
        <v>-7857</v>
      </c>
      <c r="H2756" s="1195"/>
    </row>
    <row r="2757" spans="1:8" hidden="1" x14ac:dyDescent="0.25">
      <c r="A2757" s="116">
        <v>44645</v>
      </c>
      <c r="B2757" s="21" t="s">
        <v>7733</v>
      </c>
      <c r="C2757" s="13" t="s">
        <v>7828</v>
      </c>
      <c r="D2757" s="782"/>
      <c r="E2757" s="22">
        <v>135950</v>
      </c>
      <c r="F2757" s="19"/>
      <c r="G2757" s="14">
        <f t="shared" si="44"/>
        <v>135950</v>
      </c>
      <c r="H2757" s="13"/>
    </row>
    <row r="2758" spans="1:8" hidden="1" x14ac:dyDescent="0.25">
      <c r="A2758" s="116">
        <v>44651</v>
      </c>
      <c r="B2758" s="21" t="s">
        <v>7132</v>
      </c>
      <c r="C2758" s="13" t="s">
        <v>164</v>
      </c>
      <c r="D2758" s="782"/>
      <c r="E2758" s="22"/>
      <c r="F2758" s="19">
        <v>100000</v>
      </c>
      <c r="G2758" s="14">
        <f t="shared" si="44"/>
        <v>-100000</v>
      </c>
      <c r="H2758" s="1189" t="s">
        <v>7829</v>
      </c>
    </row>
    <row r="2759" spans="1:8" hidden="1" x14ac:dyDescent="0.25">
      <c r="A2759" s="116">
        <v>44651</v>
      </c>
      <c r="B2759" s="21" t="s">
        <v>7177</v>
      </c>
      <c r="C2759" s="13" t="s">
        <v>164</v>
      </c>
      <c r="D2759" s="782"/>
      <c r="E2759" s="22"/>
      <c r="F2759" s="19">
        <v>100000</v>
      </c>
      <c r="G2759" s="14">
        <f t="shared" si="44"/>
        <v>-100000</v>
      </c>
      <c r="H2759" s="1189"/>
    </row>
    <row r="2760" spans="1:8" hidden="1" x14ac:dyDescent="0.25">
      <c r="A2760" s="116">
        <v>44648</v>
      </c>
      <c r="B2760" s="21" t="s">
        <v>7733</v>
      </c>
      <c r="C2760" s="13" t="s">
        <v>7309</v>
      </c>
      <c r="D2760" s="794" t="s">
        <v>7830</v>
      </c>
      <c r="E2760" s="22">
        <f>29600+55255</f>
        <v>84855</v>
      </c>
      <c r="F2760" s="19"/>
      <c r="G2760" s="14">
        <f t="shared" si="44"/>
        <v>84855</v>
      </c>
      <c r="H2760" s="13"/>
    </row>
    <row r="2761" spans="1:8" hidden="1" x14ac:dyDescent="0.25">
      <c r="A2761" s="116">
        <v>44648</v>
      </c>
      <c r="B2761" s="21" t="s">
        <v>7627</v>
      </c>
      <c r="C2761" s="13" t="s">
        <v>7309</v>
      </c>
      <c r="D2761" s="794" t="s">
        <v>7830</v>
      </c>
      <c r="E2761" s="22">
        <v>16115</v>
      </c>
      <c r="F2761" s="19"/>
      <c r="G2761" s="14">
        <f t="shared" si="44"/>
        <v>16115</v>
      </c>
      <c r="H2761" s="13"/>
    </row>
    <row r="2762" spans="1:8" hidden="1" x14ac:dyDescent="0.25">
      <c r="A2762" s="116">
        <v>44648</v>
      </c>
      <c r="B2762" s="21" t="s">
        <v>7825</v>
      </c>
      <c r="C2762" s="13" t="s">
        <v>7309</v>
      </c>
      <c r="D2762" s="794" t="s">
        <v>7830</v>
      </c>
      <c r="E2762" s="22">
        <f>47945+55685+5400</f>
        <v>109030</v>
      </c>
      <c r="F2762" s="19"/>
      <c r="G2762" s="14">
        <f t="shared" si="44"/>
        <v>109030</v>
      </c>
      <c r="H2762" s="13"/>
    </row>
    <row r="2763" spans="1:8" hidden="1" x14ac:dyDescent="0.25">
      <c r="A2763" s="116">
        <v>44651</v>
      </c>
      <c r="B2763" s="21" t="s">
        <v>7177</v>
      </c>
      <c r="C2763" s="13" t="s">
        <v>5234</v>
      </c>
      <c r="D2763" s="782"/>
      <c r="E2763" s="22"/>
      <c r="F2763" s="19">
        <v>25000</v>
      </c>
      <c r="G2763" s="14">
        <f t="shared" si="44"/>
        <v>-25000</v>
      </c>
      <c r="H2763" s="704" t="s">
        <v>7831</v>
      </c>
    </row>
    <row r="2764" spans="1:8" hidden="1" x14ac:dyDescent="0.25">
      <c r="A2764" s="116">
        <v>44651</v>
      </c>
      <c r="B2764" s="21" t="s">
        <v>7733</v>
      </c>
      <c r="C2764" s="13" t="s">
        <v>7309</v>
      </c>
      <c r="D2764" s="782"/>
      <c r="E2764" s="22"/>
      <c r="F2764" s="19">
        <v>150000</v>
      </c>
      <c r="G2764" s="14">
        <f t="shared" si="44"/>
        <v>-150000</v>
      </c>
      <c r="H2764" s="704" t="s">
        <v>7832</v>
      </c>
    </row>
    <row r="2765" spans="1:8" hidden="1" x14ac:dyDescent="0.25">
      <c r="A2765" s="116">
        <v>44651</v>
      </c>
      <c r="B2765" s="21" t="s">
        <v>7811</v>
      </c>
      <c r="C2765" s="13" t="s">
        <v>180</v>
      </c>
      <c r="D2765" s="782"/>
      <c r="E2765" s="22"/>
      <c r="F2765" s="19">
        <v>158000</v>
      </c>
      <c r="G2765" s="14">
        <f t="shared" si="44"/>
        <v>-158000</v>
      </c>
      <c r="H2765" s="1193" t="s">
        <v>7833</v>
      </c>
    </row>
    <row r="2766" spans="1:8" hidden="1" x14ac:dyDescent="0.25">
      <c r="A2766" s="116">
        <v>44651</v>
      </c>
      <c r="B2766" s="21" t="s">
        <v>7811</v>
      </c>
      <c r="C2766" s="13" t="s">
        <v>180</v>
      </c>
      <c r="D2766" s="782" t="s">
        <v>3951</v>
      </c>
      <c r="E2766" s="22"/>
      <c r="F2766" s="19">
        <v>710</v>
      </c>
      <c r="G2766" s="14">
        <f t="shared" si="44"/>
        <v>-710</v>
      </c>
      <c r="H2766" s="1193"/>
    </row>
    <row r="2767" spans="1:8" hidden="1" x14ac:dyDescent="0.25">
      <c r="A2767" s="116">
        <v>44650</v>
      </c>
      <c r="B2767" s="21" t="s">
        <v>7825</v>
      </c>
      <c r="C2767" s="13" t="s">
        <v>5731</v>
      </c>
      <c r="D2767" s="782">
        <v>36</v>
      </c>
      <c r="E2767" s="22">
        <v>74800</v>
      </c>
      <c r="F2767" s="19"/>
      <c r="G2767" s="14">
        <f t="shared" si="44"/>
        <v>74800</v>
      </c>
      <c r="H2767" s="13"/>
    </row>
    <row r="2768" spans="1:8" hidden="1" x14ac:dyDescent="0.25">
      <c r="A2768" s="116">
        <v>44651</v>
      </c>
      <c r="B2768" s="21" t="s">
        <v>37</v>
      </c>
      <c r="C2768" s="13" t="s">
        <v>7748</v>
      </c>
      <c r="D2768" s="782"/>
      <c r="E2768" s="22"/>
      <c r="F2768" s="19">
        <v>8000</v>
      </c>
      <c r="G2768" s="14">
        <f t="shared" si="44"/>
        <v>-8000</v>
      </c>
      <c r="H2768" s="13"/>
    </row>
    <row r="2769" spans="1:8" hidden="1" x14ac:dyDescent="0.25">
      <c r="A2769" s="116">
        <v>44651</v>
      </c>
      <c r="B2769" s="21" t="s">
        <v>7733</v>
      </c>
      <c r="C2769" s="13" t="s">
        <v>7748</v>
      </c>
      <c r="D2769" s="782"/>
      <c r="E2769" s="22"/>
      <c r="F2769" s="19">
        <v>20000</v>
      </c>
      <c r="G2769" s="14">
        <f t="shared" si="44"/>
        <v>-20000</v>
      </c>
      <c r="H2769" s="13"/>
    </row>
    <row r="2770" spans="1:8" hidden="1" x14ac:dyDescent="0.25">
      <c r="A2770" s="116">
        <v>44651</v>
      </c>
      <c r="B2770" s="21" t="s">
        <v>3979</v>
      </c>
      <c r="C2770" s="13" t="s">
        <v>7748</v>
      </c>
      <c r="D2770" s="782"/>
      <c r="E2770" s="22"/>
      <c r="F2770" s="19">
        <v>2000</v>
      </c>
      <c r="G2770" s="14">
        <f t="shared" si="44"/>
        <v>-2000</v>
      </c>
      <c r="H2770" s="13"/>
    </row>
    <row r="2771" spans="1:8" hidden="1" x14ac:dyDescent="0.25">
      <c r="A2771" s="116">
        <v>44638</v>
      </c>
      <c r="B2771" s="21" t="s">
        <v>7825</v>
      </c>
      <c r="C2771" s="13" t="s">
        <v>161</v>
      </c>
      <c r="D2771" s="782">
        <v>170</v>
      </c>
      <c r="E2771" s="22">
        <v>33179</v>
      </c>
      <c r="F2771" s="19"/>
      <c r="G2771" s="14">
        <f t="shared" si="44"/>
        <v>33179</v>
      </c>
      <c r="H2771" s="13"/>
    </row>
    <row r="2772" spans="1:8" hidden="1" x14ac:dyDescent="0.25">
      <c r="A2772" s="116">
        <v>44638</v>
      </c>
      <c r="B2772" s="21" t="s">
        <v>7811</v>
      </c>
      <c r="C2772" s="13" t="s">
        <v>161</v>
      </c>
      <c r="D2772" s="782">
        <v>171</v>
      </c>
      <c r="E2772" s="22">
        <v>44651</v>
      </c>
      <c r="F2772" s="19"/>
      <c r="G2772" s="14">
        <f t="shared" si="44"/>
        <v>44651</v>
      </c>
      <c r="H2772" s="13"/>
    </row>
    <row r="2773" spans="1:8" hidden="1" x14ac:dyDescent="0.25">
      <c r="A2773" s="116">
        <v>44656</v>
      </c>
      <c r="B2773" s="21" t="s">
        <v>6562</v>
      </c>
      <c r="C2773" s="13" t="s">
        <v>2212</v>
      </c>
      <c r="D2773" s="782">
        <v>10959</v>
      </c>
      <c r="E2773" s="22">
        <v>48520</v>
      </c>
      <c r="F2773" s="19"/>
      <c r="G2773" s="14">
        <f t="shared" si="44"/>
        <v>48520</v>
      </c>
      <c r="H2773" s="13"/>
    </row>
    <row r="2774" spans="1:8" hidden="1" x14ac:dyDescent="0.25">
      <c r="A2774" s="116">
        <v>44662</v>
      </c>
      <c r="B2774" s="21" t="s">
        <v>7627</v>
      </c>
      <c r="C2774" s="13" t="s">
        <v>7538</v>
      </c>
      <c r="D2774" s="782">
        <v>30000771</v>
      </c>
      <c r="E2774" s="22">
        <v>27115</v>
      </c>
      <c r="F2774" s="19"/>
      <c r="G2774" s="14">
        <f t="shared" si="44"/>
        <v>27115</v>
      </c>
      <c r="H2774" s="13"/>
    </row>
    <row r="2775" spans="1:8" hidden="1" x14ac:dyDescent="0.25">
      <c r="A2775" s="116">
        <v>44664</v>
      </c>
      <c r="B2775" s="21" t="s">
        <v>7627</v>
      </c>
      <c r="C2775" s="13" t="s">
        <v>166</v>
      </c>
      <c r="D2775" s="782">
        <v>18366</v>
      </c>
      <c r="E2775" s="22">
        <v>8000</v>
      </c>
      <c r="F2775" s="19"/>
      <c r="G2775" s="14">
        <f t="shared" si="44"/>
        <v>8000</v>
      </c>
      <c r="H2775" s="13"/>
    </row>
    <row r="2776" spans="1:8" hidden="1" x14ac:dyDescent="0.25">
      <c r="A2776" s="116">
        <v>44669</v>
      </c>
      <c r="B2776" s="21" t="s">
        <v>2675</v>
      </c>
      <c r="C2776" s="13" t="s">
        <v>169</v>
      </c>
      <c r="D2776" s="782"/>
      <c r="E2776" s="22"/>
      <c r="F2776" s="19">
        <v>928409</v>
      </c>
      <c r="G2776" s="14">
        <f t="shared" si="44"/>
        <v>-928409</v>
      </c>
      <c r="H2776" s="13" t="s">
        <v>7885</v>
      </c>
    </row>
    <row r="2777" spans="1:8" hidden="1" x14ac:dyDescent="0.25">
      <c r="A2777" s="116">
        <v>44669</v>
      </c>
      <c r="B2777" s="21" t="s">
        <v>6463</v>
      </c>
      <c r="C2777" s="13" t="s">
        <v>7086</v>
      </c>
      <c r="D2777" s="782"/>
      <c r="E2777" s="22"/>
      <c r="F2777" s="19">
        <v>401680</v>
      </c>
      <c r="G2777" s="14">
        <f t="shared" si="44"/>
        <v>-401680</v>
      </c>
      <c r="H2777" s="13" t="s">
        <v>7885</v>
      </c>
    </row>
    <row r="2778" spans="1:8" hidden="1" x14ac:dyDescent="0.25">
      <c r="A2778" s="116">
        <v>44669</v>
      </c>
      <c r="B2778" s="21" t="s">
        <v>7017</v>
      </c>
      <c r="C2778" s="13" t="s">
        <v>7634</v>
      </c>
      <c r="D2778" s="782"/>
      <c r="E2778" s="22"/>
      <c r="F2778" s="19">
        <v>44807</v>
      </c>
      <c r="G2778" s="14">
        <f t="shared" si="44"/>
        <v>-44807</v>
      </c>
      <c r="H2778" s="13" t="s">
        <v>7885</v>
      </c>
    </row>
    <row r="2779" spans="1:8" hidden="1" x14ac:dyDescent="0.25">
      <c r="A2779" s="116">
        <v>44667</v>
      </c>
      <c r="B2779" s="21" t="s">
        <v>7627</v>
      </c>
      <c r="C2779" s="13" t="s">
        <v>7309</v>
      </c>
      <c r="D2779" s="794" t="s">
        <v>7893</v>
      </c>
      <c r="E2779" s="22">
        <v>32440</v>
      </c>
      <c r="F2779" s="19"/>
      <c r="G2779" s="14">
        <f t="shared" si="44"/>
        <v>32440</v>
      </c>
      <c r="H2779" s="13"/>
    </row>
    <row r="2780" spans="1:8" hidden="1" x14ac:dyDescent="0.25">
      <c r="A2780" s="116">
        <v>44669</v>
      </c>
      <c r="B2780" s="21" t="s">
        <v>7627</v>
      </c>
      <c r="C2780" s="13" t="s">
        <v>7309</v>
      </c>
      <c r="D2780" s="782"/>
      <c r="E2780" s="22"/>
      <c r="F2780" s="19">
        <v>150000</v>
      </c>
      <c r="G2780" s="14">
        <f t="shared" si="44"/>
        <v>-150000</v>
      </c>
      <c r="H2780" s="13" t="s">
        <v>7892</v>
      </c>
    </row>
    <row r="2781" spans="1:8" hidden="1" x14ac:dyDescent="0.25">
      <c r="A2781" s="116">
        <v>44669</v>
      </c>
      <c r="B2781" s="21" t="s">
        <v>7825</v>
      </c>
      <c r="C2781" s="13" t="s">
        <v>7309</v>
      </c>
      <c r="D2781" s="782"/>
      <c r="E2781" s="22"/>
      <c r="F2781" s="19">
        <v>109030</v>
      </c>
      <c r="G2781" s="14">
        <f t="shared" si="44"/>
        <v>-109030</v>
      </c>
      <c r="H2781" s="1193" t="s">
        <v>7892</v>
      </c>
    </row>
    <row r="2782" spans="1:8" hidden="1" x14ac:dyDescent="0.25">
      <c r="A2782" s="116">
        <v>44669</v>
      </c>
      <c r="B2782" s="21" t="s">
        <v>7733</v>
      </c>
      <c r="C2782" s="13" t="s">
        <v>7309</v>
      </c>
      <c r="D2782" s="782"/>
      <c r="E2782" s="22"/>
      <c r="F2782" s="19">
        <v>14740</v>
      </c>
      <c r="G2782" s="14">
        <f t="shared" si="44"/>
        <v>-14740</v>
      </c>
      <c r="H2782" s="1193"/>
    </row>
    <row r="2783" spans="1:8" hidden="1" x14ac:dyDescent="0.25">
      <c r="A2783" s="116">
        <v>44669</v>
      </c>
      <c r="B2783" s="21" t="s">
        <v>7177</v>
      </c>
      <c r="C2783" s="13" t="s">
        <v>7309</v>
      </c>
      <c r="D2783" s="782"/>
      <c r="E2783" s="22"/>
      <c r="F2783" s="19">
        <v>12000</v>
      </c>
      <c r="G2783" s="14">
        <f t="shared" si="44"/>
        <v>-12000</v>
      </c>
      <c r="H2783" s="1193"/>
    </row>
    <row r="2784" spans="1:8" hidden="1" x14ac:dyDescent="0.25">
      <c r="A2784" s="116">
        <v>44669</v>
      </c>
      <c r="B2784" s="21" t="s">
        <v>7627</v>
      </c>
      <c r="C2784" s="13" t="s">
        <v>7309</v>
      </c>
      <c r="D2784" s="782"/>
      <c r="E2784" s="22"/>
      <c r="F2784" s="19">
        <v>14230</v>
      </c>
      <c r="G2784" s="14">
        <f t="shared" si="44"/>
        <v>-14230</v>
      </c>
      <c r="H2784" s="1193"/>
    </row>
    <row r="2785" spans="1:8" hidden="1" x14ac:dyDescent="0.25">
      <c r="A2785" s="116">
        <v>44667</v>
      </c>
      <c r="B2785" s="21" t="s">
        <v>7896</v>
      </c>
      <c r="C2785" s="13" t="s">
        <v>1535</v>
      </c>
      <c r="D2785" s="782">
        <v>1375</v>
      </c>
      <c r="E2785" s="22">
        <v>241832</v>
      </c>
      <c r="F2785" s="19"/>
      <c r="G2785" s="14">
        <f t="shared" si="44"/>
        <v>241832</v>
      </c>
      <c r="H2785" s="13"/>
    </row>
    <row r="2786" spans="1:8" hidden="1" x14ac:dyDescent="0.25">
      <c r="A2786" s="116">
        <v>44667</v>
      </c>
      <c r="B2786" s="21" t="s">
        <v>1407</v>
      </c>
      <c r="C2786" s="13" t="s">
        <v>1816</v>
      </c>
      <c r="D2786" s="782"/>
      <c r="E2786" s="22">
        <v>44000</v>
      </c>
      <c r="F2786" s="19"/>
      <c r="G2786" s="14">
        <f t="shared" si="44"/>
        <v>44000</v>
      </c>
      <c r="H2786" s="13" t="s">
        <v>7897</v>
      </c>
    </row>
    <row r="2787" spans="1:8" hidden="1" x14ac:dyDescent="0.25">
      <c r="A2787" s="116">
        <v>44646</v>
      </c>
      <c r="B2787" s="21" t="s">
        <v>6565</v>
      </c>
      <c r="C2787" s="13" t="s">
        <v>1816</v>
      </c>
      <c r="D2787" s="782"/>
      <c r="E2787" s="22"/>
      <c r="F2787" s="19">
        <v>4136</v>
      </c>
      <c r="G2787" s="14">
        <f t="shared" si="44"/>
        <v>-4136</v>
      </c>
      <c r="H2787" s="13" t="s">
        <v>4505</v>
      </c>
    </row>
    <row r="2788" spans="1:8" hidden="1" x14ac:dyDescent="0.25">
      <c r="A2788" s="116">
        <v>44646</v>
      </c>
      <c r="B2788" s="21" t="s">
        <v>6565</v>
      </c>
      <c r="C2788" s="13" t="s">
        <v>1816</v>
      </c>
      <c r="D2788" s="794" t="s">
        <v>7898</v>
      </c>
      <c r="E2788" s="22">
        <v>1767</v>
      </c>
      <c r="F2788" s="19"/>
      <c r="G2788" s="14">
        <f t="shared" si="44"/>
        <v>1767</v>
      </c>
      <c r="H2788" s="13"/>
    </row>
    <row r="2789" spans="1:8" hidden="1" x14ac:dyDescent="0.25">
      <c r="A2789" s="116">
        <v>44646</v>
      </c>
      <c r="B2789" s="21" t="s">
        <v>6565</v>
      </c>
      <c r="C2789" s="13" t="s">
        <v>1816</v>
      </c>
      <c r="D2789" s="782"/>
      <c r="E2789" s="22"/>
      <c r="F2789" s="19">
        <v>47726</v>
      </c>
      <c r="G2789" s="14">
        <f t="shared" si="44"/>
        <v>-47726</v>
      </c>
      <c r="H2789" s="13" t="s">
        <v>4505</v>
      </c>
    </row>
    <row r="2790" spans="1:8" hidden="1" x14ac:dyDescent="0.25">
      <c r="A2790" s="116">
        <v>44653</v>
      </c>
      <c r="B2790" s="21" t="s">
        <v>7811</v>
      </c>
      <c r="C2790" s="13" t="s">
        <v>2327</v>
      </c>
      <c r="D2790" s="782"/>
      <c r="E2790" s="22">
        <v>60620</v>
      </c>
      <c r="F2790" s="19"/>
      <c r="G2790" s="14">
        <f t="shared" si="44"/>
        <v>60620</v>
      </c>
      <c r="H2790" s="13">
        <v>487500</v>
      </c>
    </row>
    <row r="2791" spans="1:8" hidden="1" x14ac:dyDescent="0.25">
      <c r="A2791" s="729">
        <v>44676</v>
      </c>
      <c r="B2791" s="730" t="s">
        <v>82</v>
      </c>
      <c r="C2791" s="731" t="s">
        <v>440</v>
      </c>
      <c r="D2791" s="782"/>
      <c r="E2791" s="732"/>
      <c r="F2791" s="733">
        <v>415290</v>
      </c>
      <c r="G2791" s="732">
        <f t="shared" si="44"/>
        <v>-415290</v>
      </c>
      <c r="H2791" s="1196" t="s">
        <v>7924</v>
      </c>
    </row>
    <row r="2792" spans="1:8" hidden="1" x14ac:dyDescent="0.25">
      <c r="A2792" s="729">
        <v>44676</v>
      </c>
      <c r="B2792" s="730" t="s">
        <v>3979</v>
      </c>
      <c r="C2792" s="731" t="s">
        <v>440</v>
      </c>
      <c r="D2792" s="782"/>
      <c r="E2792" s="732"/>
      <c r="F2792" s="733">
        <v>2600</v>
      </c>
      <c r="G2792" s="732">
        <f t="shared" si="44"/>
        <v>-2600</v>
      </c>
      <c r="H2792" s="1196"/>
    </row>
    <row r="2793" spans="1:8" hidden="1" x14ac:dyDescent="0.25">
      <c r="A2793" s="729">
        <v>44676</v>
      </c>
      <c r="B2793" s="730" t="s">
        <v>7177</v>
      </c>
      <c r="C2793" s="731" t="s">
        <v>440</v>
      </c>
      <c r="D2793" s="782"/>
      <c r="E2793" s="732"/>
      <c r="F2793" s="733">
        <v>24420</v>
      </c>
      <c r="G2793" s="732">
        <f t="shared" si="44"/>
        <v>-24420</v>
      </c>
      <c r="H2793" s="1196"/>
    </row>
    <row r="2794" spans="1:8" hidden="1" x14ac:dyDescent="0.25">
      <c r="A2794" s="729">
        <v>44676</v>
      </c>
      <c r="B2794" s="730" t="s">
        <v>1407</v>
      </c>
      <c r="C2794" s="731" t="s">
        <v>440</v>
      </c>
      <c r="D2794" s="782"/>
      <c r="E2794" s="732"/>
      <c r="F2794" s="733">
        <v>57690</v>
      </c>
      <c r="G2794" s="732">
        <f t="shared" si="44"/>
        <v>-57690</v>
      </c>
      <c r="H2794" s="1196"/>
    </row>
    <row r="2795" spans="1:8" hidden="1" x14ac:dyDescent="0.25">
      <c r="A2795" s="116">
        <v>44676</v>
      </c>
      <c r="B2795" s="21" t="s">
        <v>3979</v>
      </c>
      <c r="C2795" s="13" t="s">
        <v>7748</v>
      </c>
      <c r="D2795" s="782"/>
      <c r="E2795" s="22"/>
      <c r="F2795" s="19">
        <v>15000</v>
      </c>
      <c r="G2795" s="20">
        <f t="shared" si="44"/>
        <v>-15000</v>
      </c>
      <c r="H2795" s="13"/>
    </row>
    <row r="2796" spans="1:8" hidden="1" x14ac:dyDescent="0.25">
      <c r="A2796" s="116">
        <v>44676</v>
      </c>
      <c r="B2796" s="21" t="s">
        <v>7177</v>
      </c>
      <c r="C2796" s="13" t="s">
        <v>5234</v>
      </c>
      <c r="D2796" s="782"/>
      <c r="E2796" s="22"/>
      <c r="F2796" s="19">
        <v>90000</v>
      </c>
      <c r="G2796" s="14">
        <f t="shared" si="44"/>
        <v>-90000</v>
      </c>
      <c r="H2796" s="13" t="s">
        <v>7934</v>
      </c>
    </row>
    <row r="2797" spans="1:8" hidden="1" x14ac:dyDescent="0.25">
      <c r="A2797" s="116">
        <v>44681</v>
      </c>
      <c r="B2797" s="21" t="s">
        <v>6562</v>
      </c>
      <c r="C2797" s="13" t="s">
        <v>7943</v>
      </c>
      <c r="D2797" s="782"/>
      <c r="E2797" s="22">
        <v>65000</v>
      </c>
      <c r="F2797" s="19"/>
      <c r="G2797" s="14">
        <f t="shared" si="44"/>
        <v>65000</v>
      </c>
      <c r="H2797" s="13"/>
    </row>
    <row r="2798" spans="1:8" hidden="1" x14ac:dyDescent="0.25">
      <c r="A2798" s="116">
        <v>44681</v>
      </c>
      <c r="B2798" s="21" t="s">
        <v>6562</v>
      </c>
      <c r="C2798" s="13" t="s">
        <v>7943</v>
      </c>
      <c r="D2798" s="782"/>
      <c r="E2798" s="22"/>
      <c r="F2798" s="19">
        <v>40000</v>
      </c>
      <c r="G2798" s="14">
        <f t="shared" si="44"/>
        <v>-40000</v>
      </c>
      <c r="H2798" s="13"/>
    </row>
    <row r="2799" spans="1:8" hidden="1" x14ac:dyDescent="0.25">
      <c r="A2799" s="116">
        <v>44681</v>
      </c>
      <c r="B2799" s="21" t="s">
        <v>7733</v>
      </c>
      <c r="C2799" s="13" t="s">
        <v>7828</v>
      </c>
      <c r="D2799" s="782"/>
      <c r="E2799" s="22"/>
      <c r="F2799" s="19">
        <v>50000</v>
      </c>
      <c r="G2799" s="14">
        <f t="shared" si="44"/>
        <v>-50000</v>
      </c>
      <c r="H2799" s="13"/>
    </row>
    <row r="2800" spans="1:8" hidden="1" x14ac:dyDescent="0.25">
      <c r="A2800" s="116">
        <v>44690</v>
      </c>
      <c r="B2800" s="21" t="s">
        <v>7896</v>
      </c>
      <c r="C2800" s="13" t="s">
        <v>1535</v>
      </c>
      <c r="D2800" s="782"/>
      <c r="E2800" s="22"/>
      <c r="F2800" s="19">
        <v>241800</v>
      </c>
      <c r="G2800" s="14">
        <f t="shared" si="44"/>
        <v>-241800</v>
      </c>
      <c r="H2800" s="13" t="s">
        <v>7959</v>
      </c>
    </row>
    <row r="2801" spans="1:8" hidden="1" x14ac:dyDescent="0.25">
      <c r="A2801" s="116">
        <v>44690</v>
      </c>
      <c r="B2801" s="21" t="s">
        <v>7896</v>
      </c>
      <c r="C2801" s="13" t="s">
        <v>1535</v>
      </c>
      <c r="D2801" s="782"/>
      <c r="E2801" s="22"/>
      <c r="F2801" s="19">
        <v>32</v>
      </c>
      <c r="G2801" s="14">
        <f t="shared" si="44"/>
        <v>-32</v>
      </c>
      <c r="H2801" s="13" t="s">
        <v>5019</v>
      </c>
    </row>
    <row r="2802" spans="1:8" hidden="1" x14ac:dyDescent="0.25">
      <c r="A2802" s="116">
        <v>44690</v>
      </c>
      <c r="B2802" s="21" t="s">
        <v>7132</v>
      </c>
      <c r="C2802" s="13" t="s">
        <v>162</v>
      </c>
      <c r="D2802" s="782"/>
      <c r="E2802" s="22"/>
      <c r="F2802" s="19">
        <v>111000</v>
      </c>
      <c r="G2802" s="14">
        <f t="shared" si="44"/>
        <v>-111000</v>
      </c>
      <c r="H2802" s="13" t="s">
        <v>7958</v>
      </c>
    </row>
    <row r="2803" spans="1:8" hidden="1" x14ac:dyDescent="0.25">
      <c r="A2803" s="116">
        <v>44690</v>
      </c>
      <c r="B2803" s="21" t="s">
        <v>7132</v>
      </c>
      <c r="C2803" s="13" t="s">
        <v>162</v>
      </c>
      <c r="D2803" s="782"/>
      <c r="E2803" s="22"/>
      <c r="F2803" s="19">
        <v>142</v>
      </c>
      <c r="G2803" s="14">
        <f t="shared" si="44"/>
        <v>-142</v>
      </c>
      <c r="H2803" s="13" t="s">
        <v>5019</v>
      </c>
    </row>
    <row r="2804" spans="1:8" hidden="1" x14ac:dyDescent="0.25">
      <c r="A2804" s="116">
        <v>44690</v>
      </c>
      <c r="B2804" s="21" t="s">
        <v>7811</v>
      </c>
      <c r="C2804" s="13" t="s">
        <v>162</v>
      </c>
      <c r="D2804" s="782" t="s">
        <v>8472</v>
      </c>
      <c r="E2804" s="22">
        <v>18000</v>
      </c>
      <c r="F2804" s="19"/>
      <c r="G2804" s="14">
        <f t="shared" si="44"/>
        <v>18000</v>
      </c>
      <c r="H2804" s="13" t="s">
        <v>8471</v>
      </c>
    </row>
    <row r="2805" spans="1:8" hidden="1" x14ac:dyDescent="0.25">
      <c r="A2805" s="116">
        <v>44690</v>
      </c>
      <c r="B2805" s="21" t="s">
        <v>7896</v>
      </c>
      <c r="C2805" s="13" t="s">
        <v>162</v>
      </c>
      <c r="D2805" s="782" t="s">
        <v>8473</v>
      </c>
      <c r="E2805" s="22">
        <v>36000</v>
      </c>
      <c r="F2805" s="19"/>
      <c r="G2805" s="14">
        <f t="shared" si="44"/>
        <v>36000</v>
      </c>
      <c r="H2805" s="13" t="s">
        <v>8475</v>
      </c>
    </row>
    <row r="2806" spans="1:8" hidden="1" x14ac:dyDescent="0.25">
      <c r="A2806" s="116">
        <v>44697</v>
      </c>
      <c r="B2806" s="21" t="s">
        <v>6562</v>
      </c>
      <c r="C2806" s="13" t="s">
        <v>7943</v>
      </c>
      <c r="D2806" s="782"/>
      <c r="E2806" s="22"/>
      <c r="F2806" s="19">
        <v>20000</v>
      </c>
      <c r="G2806" s="14">
        <f t="shared" si="44"/>
        <v>-20000</v>
      </c>
      <c r="H2806" s="13"/>
    </row>
    <row r="2807" spans="1:8" hidden="1" x14ac:dyDescent="0.25">
      <c r="A2807" s="116">
        <v>44665</v>
      </c>
      <c r="B2807" s="21" t="s">
        <v>1407</v>
      </c>
      <c r="C2807" s="13" t="s">
        <v>166</v>
      </c>
      <c r="D2807" s="782">
        <v>18372</v>
      </c>
      <c r="E2807" s="22">
        <v>32040</v>
      </c>
      <c r="F2807" s="19"/>
      <c r="G2807" s="14">
        <f t="shared" si="44"/>
        <v>32040</v>
      </c>
      <c r="H2807" s="13"/>
    </row>
    <row r="2808" spans="1:8" hidden="1" x14ac:dyDescent="0.25">
      <c r="A2808" s="116">
        <v>44671</v>
      </c>
      <c r="B2808" s="21" t="s">
        <v>7627</v>
      </c>
      <c r="C2808" s="13" t="s">
        <v>166</v>
      </c>
      <c r="D2808" s="782">
        <v>18400</v>
      </c>
      <c r="E2808" s="22">
        <v>9000</v>
      </c>
      <c r="F2808" s="19"/>
      <c r="G2808" s="14">
        <f t="shared" si="44"/>
        <v>9000</v>
      </c>
      <c r="H2808" s="13"/>
    </row>
    <row r="2809" spans="1:8" hidden="1" x14ac:dyDescent="0.25">
      <c r="A2809" s="116">
        <v>44676</v>
      </c>
      <c r="B2809" s="21" t="s">
        <v>1407</v>
      </c>
      <c r="C2809" s="13" t="s">
        <v>166</v>
      </c>
      <c r="D2809" s="782">
        <v>18425</v>
      </c>
      <c r="E2809" s="22">
        <v>85440</v>
      </c>
      <c r="F2809" s="19"/>
      <c r="G2809" s="14">
        <f t="shared" si="44"/>
        <v>85440</v>
      </c>
      <c r="H2809" s="13"/>
    </row>
    <row r="2810" spans="1:8" hidden="1" x14ac:dyDescent="0.25">
      <c r="A2810" s="116">
        <v>44678</v>
      </c>
      <c r="B2810" s="21" t="s">
        <v>7177</v>
      </c>
      <c r="C2810" s="13" t="s">
        <v>166</v>
      </c>
      <c r="D2810" s="782">
        <v>3374</v>
      </c>
      <c r="E2810" s="22">
        <v>3880</v>
      </c>
      <c r="F2810" s="19"/>
      <c r="G2810" s="14">
        <f t="shared" si="44"/>
        <v>3880</v>
      </c>
      <c r="H2810" s="13"/>
    </row>
    <row r="2811" spans="1:8" hidden="1" x14ac:dyDescent="0.25">
      <c r="A2811" s="116">
        <v>44678</v>
      </c>
      <c r="B2811" s="21" t="s">
        <v>7733</v>
      </c>
      <c r="C2811" s="13" t="s">
        <v>166</v>
      </c>
      <c r="D2811" s="782">
        <v>3367</v>
      </c>
      <c r="E2811" s="22">
        <v>3600</v>
      </c>
      <c r="F2811" s="19"/>
      <c r="G2811" s="14">
        <f t="shared" si="44"/>
        <v>3600</v>
      </c>
      <c r="H2811" s="13"/>
    </row>
    <row r="2812" spans="1:8" hidden="1" x14ac:dyDescent="0.25">
      <c r="A2812" s="116">
        <v>44691</v>
      </c>
      <c r="B2812" s="21" t="s">
        <v>7896</v>
      </c>
      <c r="C2812" s="13" t="s">
        <v>166</v>
      </c>
      <c r="D2812" s="782">
        <v>18470</v>
      </c>
      <c r="E2812" s="22">
        <v>8200</v>
      </c>
      <c r="F2812" s="19"/>
      <c r="G2812" s="14">
        <f t="shared" si="44"/>
        <v>8200</v>
      </c>
      <c r="H2812" s="13"/>
    </row>
    <row r="2813" spans="1:8" hidden="1" x14ac:dyDescent="0.25">
      <c r="A2813" s="116">
        <v>44691</v>
      </c>
      <c r="B2813" s="21" t="s">
        <v>1407</v>
      </c>
      <c r="C2813" s="13" t="s">
        <v>166</v>
      </c>
      <c r="D2813" s="782"/>
      <c r="E2813" s="22"/>
      <c r="F2813" s="19">
        <v>1000</v>
      </c>
      <c r="G2813" s="14">
        <f t="shared" si="44"/>
        <v>-1000</v>
      </c>
      <c r="H2813" s="13" t="s">
        <v>5019</v>
      </c>
    </row>
    <row r="2814" spans="1:8" hidden="1" x14ac:dyDescent="0.25">
      <c r="A2814" s="116">
        <v>44695</v>
      </c>
      <c r="B2814" s="21" t="s">
        <v>7896</v>
      </c>
      <c r="C2814" s="13" t="s">
        <v>166</v>
      </c>
      <c r="D2814" s="782">
        <v>3403</v>
      </c>
      <c r="E2814" s="22">
        <v>7620</v>
      </c>
      <c r="F2814" s="19"/>
      <c r="G2814" s="14">
        <f t="shared" si="44"/>
        <v>7620</v>
      </c>
      <c r="H2814" s="13"/>
    </row>
    <row r="2815" spans="1:8" hidden="1" x14ac:dyDescent="0.25">
      <c r="A2815" s="116">
        <v>44695</v>
      </c>
      <c r="B2815" s="21" t="s">
        <v>7733</v>
      </c>
      <c r="C2815" s="13" t="s">
        <v>166</v>
      </c>
      <c r="D2815" s="782"/>
      <c r="E2815" s="22"/>
      <c r="F2815" s="19">
        <v>3600</v>
      </c>
      <c r="G2815" s="14">
        <f t="shared" si="44"/>
        <v>-3600</v>
      </c>
      <c r="H2815" s="1197" t="s">
        <v>8071</v>
      </c>
    </row>
    <row r="2816" spans="1:8" hidden="1" x14ac:dyDescent="0.25">
      <c r="A2816" s="116">
        <v>44695</v>
      </c>
      <c r="B2816" s="21" t="s">
        <v>7177</v>
      </c>
      <c r="C2816" s="13" t="s">
        <v>166</v>
      </c>
      <c r="D2816" s="782"/>
      <c r="E2816" s="22"/>
      <c r="F2816" s="19">
        <v>3880</v>
      </c>
      <c r="G2816" s="14">
        <f t="shared" si="44"/>
        <v>-3880</v>
      </c>
      <c r="H2816" s="1197"/>
    </row>
    <row r="2817" spans="1:8" hidden="1" x14ac:dyDescent="0.25">
      <c r="A2817" s="116">
        <v>44695</v>
      </c>
      <c r="B2817" s="21" t="s">
        <v>7627</v>
      </c>
      <c r="C2817" s="13" t="s">
        <v>166</v>
      </c>
      <c r="D2817" s="782"/>
      <c r="E2817" s="22"/>
      <c r="F2817" s="19">
        <v>25143</v>
      </c>
      <c r="G2817" s="14">
        <f t="shared" si="44"/>
        <v>-25143</v>
      </c>
      <c r="H2817" s="1197"/>
    </row>
    <row r="2818" spans="1:8" hidden="1" x14ac:dyDescent="0.25">
      <c r="A2818" s="116">
        <v>44695</v>
      </c>
      <c r="B2818" s="21" t="s">
        <v>1407</v>
      </c>
      <c r="C2818" s="13" t="s">
        <v>166</v>
      </c>
      <c r="D2818" s="782"/>
      <c r="E2818" s="22"/>
      <c r="F2818" s="19">
        <v>116480</v>
      </c>
      <c r="G2818" s="14">
        <f t="shared" si="44"/>
        <v>-116480</v>
      </c>
      <c r="H2818" s="1197"/>
    </row>
    <row r="2819" spans="1:8" hidden="1" x14ac:dyDescent="0.25">
      <c r="A2819" s="116">
        <v>44695</v>
      </c>
      <c r="B2819" s="21" t="s">
        <v>7825</v>
      </c>
      <c r="C2819" s="13" t="s">
        <v>166</v>
      </c>
      <c r="D2819" s="782"/>
      <c r="E2819" s="22"/>
      <c r="F2819" s="19">
        <v>24000</v>
      </c>
      <c r="G2819" s="14">
        <f t="shared" si="44"/>
        <v>-24000</v>
      </c>
      <c r="H2819" s="1197"/>
    </row>
    <row r="2820" spans="1:8" hidden="1" x14ac:dyDescent="0.25">
      <c r="A2820" s="116">
        <v>44695</v>
      </c>
      <c r="B2820" s="21" t="s">
        <v>7896</v>
      </c>
      <c r="C2820" s="13" t="s">
        <v>166</v>
      </c>
      <c r="D2820" s="782"/>
      <c r="E2820" s="22"/>
      <c r="F2820" s="19">
        <v>15820</v>
      </c>
      <c r="G2820" s="14">
        <f t="shared" si="44"/>
        <v>-15820</v>
      </c>
      <c r="H2820" s="1197"/>
    </row>
    <row r="2821" spans="1:8" hidden="1" x14ac:dyDescent="0.25">
      <c r="A2821" s="116">
        <v>44695</v>
      </c>
      <c r="B2821" s="21" t="s">
        <v>3978</v>
      </c>
      <c r="C2821" s="13" t="s">
        <v>166</v>
      </c>
      <c r="D2821" s="782"/>
      <c r="E2821" s="22"/>
      <c r="F2821" s="19">
        <v>5200</v>
      </c>
      <c r="G2821" s="14">
        <f t="shared" si="44"/>
        <v>-5200</v>
      </c>
      <c r="H2821" s="1197"/>
    </row>
    <row r="2822" spans="1:8" hidden="1" x14ac:dyDescent="0.25">
      <c r="A2822" s="116">
        <v>44695</v>
      </c>
      <c r="B2822" s="21" t="s">
        <v>1407</v>
      </c>
      <c r="C2822" s="13" t="s">
        <v>166</v>
      </c>
      <c r="D2822" s="782"/>
      <c r="E2822" s="22"/>
      <c r="F2822" s="19">
        <v>84852</v>
      </c>
      <c r="G2822" s="14">
        <f t="shared" si="44"/>
        <v>-84852</v>
      </c>
      <c r="H2822" s="1197"/>
    </row>
    <row r="2823" spans="1:8" hidden="1" x14ac:dyDescent="0.25">
      <c r="A2823" s="116">
        <v>44697</v>
      </c>
      <c r="B2823" s="21" t="s">
        <v>7896</v>
      </c>
      <c r="C2823" s="13" t="s">
        <v>161</v>
      </c>
      <c r="D2823" s="782"/>
      <c r="E2823" s="22">
        <v>32024</v>
      </c>
      <c r="F2823" s="19"/>
      <c r="G2823" s="14">
        <f t="shared" si="44"/>
        <v>32024</v>
      </c>
      <c r="H2823" s="13"/>
    </row>
    <row r="2824" spans="1:8" hidden="1" x14ac:dyDescent="0.25">
      <c r="A2824" s="116">
        <v>44705</v>
      </c>
      <c r="B2824" s="21" t="s">
        <v>7825</v>
      </c>
      <c r="C2824" s="13" t="s">
        <v>180</v>
      </c>
      <c r="D2824" s="782"/>
      <c r="E2824" s="22"/>
      <c r="F2824" s="19">
        <v>78400</v>
      </c>
      <c r="G2824" s="14">
        <f t="shared" si="44"/>
        <v>-78400</v>
      </c>
      <c r="H2824" s="13" t="s">
        <v>7978</v>
      </c>
    </row>
    <row r="2825" spans="1:8" hidden="1" x14ac:dyDescent="0.25">
      <c r="A2825" s="116">
        <v>44705</v>
      </c>
      <c r="B2825" s="21" t="s">
        <v>7825</v>
      </c>
      <c r="C2825" s="13" t="s">
        <v>180</v>
      </c>
      <c r="D2825" s="782"/>
      <c r="E2825" s="22"/>
      <c r="F2825" s="19">
        <v>90</v>
      </c>
      <c r="G2825" s="14">
        <f t="shared" si="44"/>
        <v>-90</v>
      </c>
      <c r="H2825" s="13" t="s">
        <v>3951</v>
      </c>
    </row>
    <row r="2826" spans="1:8" hidden="1" x14ac:dyDescent="0.25">
      <c r="A2826" s="116">
        <v>44709</v>
      </c>
      <c r="B2826" s="21" t="s">
        <v>7017</v>
      </c>
      <c r="C2826" s="13" t="s">
        <v>164</v>
      </c>
      <c r="D2826" s="782"/>
      <c r="E2826" s="22"/>
      <c r="F2826" s="19">
        <v>9655</v>
      </c>
      <c r="G2826" s="14">
        <f t="shared" si="44"/>
        <v>-9655</v>
      </c>
      <c r="H2826" s="1192" t="s">
        <v>7979</v>
      </c>
    </row>
    <row r="2827" spans="1:8" hidden="1" x14ac:dyDescent="0.25">
      <c r="A2827" s="116">
        <v>44709</v>
      </c>
      <c r="B2827" s="21" t="s">
        <v>7132</v>
      </c>
      <c r="C2827" s="13" t="s">
        <v>164</v>
      </c>
      <c r="D2827" s="782"/>
      <c r="E2827" s="22"/>
      <c r="F2827" s="19">
        <v>49174</v>
      </c>
      <c r="G2827" s="14">
        <f t="shared" si="44"/>
        <v>-49174</v>
      </c>
      <c r="H2827" s="1192"/>
    </row>
    <row r="2828" spans="1:8" hidden="1" x14ac:dyDescent="0.25">
      <c r="A2828" s="116">
        <v>44709</v>
      </c>
      <c r="B2828" s="21" t="s">
        <v>7177</v>
      </c>
      <c r="C2828" s="13" t="s">
        <v>164</v>
      </c>
      <c r="D2828" s="782"/>
      <c r="E2828" s="22"/>
      <c r="F2828" s="19">
        <v>36997</v>
      </c>
      <c r="G2828" s="14">
        <f t="shared" si="44"/>
        <v>-36997</v>
      </c>
      <c r="H2828" s="1192"/>
    </row>
    <row r="2829" spans="1:8" hidden="1" x14ac:dyDescent="0.25">
      <c r="A2829" s="116">
        <v>44709</v>
      </c>
      <c r="B2829" s="21" t="s">
        <v>7627</v>
      </c>
      <c r="C2829" s="13" t="s">
        <v>164</v>
      </c>
      <c r="D2829" s="782"/>
      <c r="E2829" s="22"/>
      <c r="F2829" s="19">
        <v>4174</v>
      </c>
      <c r="G2829" s="14">
        <f t="shared" si="44"/>
        <v>-4174</v>
      </c>
      <c r="H2829" s="1192"/>
    </row>
    <row r="2830" spans="1:8" hidden="1" x14ac:dyDescent="0.25">
      <c r="A2830" s="116">
        <v>44711</v>
      </c>
      <c r="B2830" s="21" t="s">
        <v>7733</v>
      </c>
      <c r="C2830" s="13" t="s">
        <v>7309</v>
      </c>
      <c r="D2830" s="782"/>
      <c r="E2830" s="22">
        <v>8180</v>
      </c>
      <c r="F2830" s="19"/>
      <c r="G2830" s="14">
        <f t="shared" si="44"/>
        <v>8180</v>
      </c>
      <c r="H2830" s="13"/>
    </row>
    <row r="2831" spans="1:8" hidden="1" x14ac:dyDescent="0.25">
      <c r="A2831" s="116">
        <v>44711</v>
      </c>
      <c r="B2831" s="21" t="s">
        <v>7896</v>
      </c>
      <c r="C2831" s="13" t="s">
        <v>7309</v>
      </c>
      <c r="D2831" s="782"/>
      <c r="E2831" s="22">
        <v>17000</v>
      </c>
      <c r="F2831" s="19"/>
      <c r="G2831" s="14">
        <f t="shared" si="44"/>
        <v>17000</v>
      </c>
      <c r="H2831" s="13"/>
    </row>
    <row r="2832" spans="1:8" hidden="1" x14ac:dyDescent="0.25">
      <c r="A2832" s="116">
        <v>44711</v>
      </c>
      <c r="B2832" s="21" t="s">
        <v>6568</v>
      </c>
      <c r="C2832" s="13" t="s">
        <v>5731</v>
      </c>
      <c r="D2832" s="782"/>
      <c r="E2832" s="22"/>
      <c r="F2832" s="19">
        <v>69500</v>
      </c>
      <c r="G2832" s="14">
        <f t="shared" si="44"/>
        <v>-69500</v>
      </c>
      <c r="H2832" s="1192" t="s">
        <v>7980</v>
      </c>
    </row>
    <row r="2833" spans="1:8" hidden="1" x14ac:dyDescent="0.25">
      <c r="A2833" s="116">
        <v>44711</v>
      </c>
      <c r="B2833" s="21" t="s">
        <v>7627</v>
      </c>
      <c r="C2833" s="13" t="s">
        <v>5731</v>
      </c>
      <c r="D2833" s="782"/>
      <c r="E2833" s="22"/>
      <c r="F2833" s="19">
        <v>5700</v>
      </c>
      <c r="G2833" s="14">
        <f t="shared" si="44"/>
        <v>-5700</v>
      </c>
      <c r="H2833" s="1192"/>
    </row>
    <row r="2834" spans="1:8" hidden="1" x14ac:dyDescent="0.25">
      <c r="A2834" s="116">
        <v>44711</v>
      </c>
      <c r="B2834" s="21" t="s">
        <v>7825</v>
      </c>
      <c r="C2834" s="13" t="s">
        <v>5731</v>
      </c>
      <c r="D2834" s="782"/>
      <c r="E2834" s="22"/>
      <c r="F2834" s="19">
        <v>74800</v>
      </c>
      <c r="G2834" s="14">
        <f t="shared" si="44"/>
        <v>-74800</v>
      </c>
      <c r="H2834" s="1192"/>
    </row>
    <row r="2835" spans="1:8" hidden="1" x14ac:dyDescent="0.25">
      <c r="A2835" s="116">
        <v>44711</v>
      </c>
      <c r="B2835" s="21" t="s">
        <v>7627</v>
      </c>
      <c r="C2835" s="13" t="s">
        <v>7309</v>
      </c>
      <c r="D2835" s="782"/>
      <c r="E2835" s="22"/>
      <c r="F2835" s="19">
        <v>50320</v>
      </c>
      <c r="G2835" s="14">
        <f t="shared" si="44"/>
        <v>-50320</v>
      </c>
      <c r="H2835" s="1192" t="s">
        <v>7981</v>
      </c>
    </row>
    <row r="2836" spans="1:8" hidden="1" x14ac:dyDescent="0.25">
      <c r="A2836" s="116">
        <v>44711</v>
      </c>
      <c r="B2836" s="21" t="s">
        <v>7733</v>
      </c>
      <c r="C2836" s="13" t="s">
        <v>7309</v>
      </c>
      <c r="D2836" s="782"/>
      <c r="E2836" s="22"/>
      <c r="F2836" s="19">
        <v>8180</v>
      </c>
      <c r="G2836" s="14">
        <f t="shared" si="44"/>
        <v>-8180</v>
      </c>
      <c r="H2836" s="1192"/>
    </row>
    <row r="2837" spans="1:8" hidden="1" x14ac:dyDescent="0.25">
      <c r="A2837" s="116">
        <v>44711</v>
      </c>
      <c r="B2837" s="21" t="s">
        <v>7896</v>
      </c>
      <c r="C2837" s="13" t="s">
        <v>7309</v>
      </c>
      <c r="D2837" s="782"/>
      <c r="E2837" s="22"/>
      <c r="F2837" s="19">
        <v>17000</v>
      </c>
      <c r="G2837" s="14">
        <f t="shared" si="44"/>
        <v>-17000</v>
      </c>
      <c r="H2837" s="1192"/>
    </row>
    <row r="2838" spans="1:8" hidden="1" x14ac:dyDescent="0.25">
      <c r="A2838" s="116">
        <v>44707</v>
      </c>
      <c r="B2838" s="21" t="s">
        <v>7811</v>
      </c>
      <c r="C2838" s="13" t="s">
        <v>2327</v>
      </c>
      <c r="D2838" s="782"/>
      <c r="E2838" s="22"/>
      <c r="F2838" s="19">
        <v>60000</v>
      </c>
      <c r="G2838" s="14">
        <f t="shared" si="44"/>
        <v>-60000</v>
      </c>
      <c r="H2838" s="704" t="s">
        <v>7997</v>
      </c>
    </row>
    <row r="2839" spans="1:8" hidden="1" x14ac:dyDescent="0.25">
      <c r="A2839" s="116">
        <v>44707</v>
      </c>
      <c r="B2839" s="21" t="s">
        <v>7733</v>
      </c>
      <c r="C2839" s="13" t="s">
        <v>7828</v>
      </c>
      <c r="D2839" s="782"/>
      <c r="E2839" s="22"/>
      <c r="F2839" s="19">
        <v>80000</v>
      </c>
      <c r="G2839" s="14">
        <f t="shared" si="44"/>
        <v>-80000</v>
      </c>
      <c r="H2839" s="704" t="s">
        <v>7997</v>
      </c>
    </row>
    <row r="2840" spans="1:8" hidden="1" x14ac:dyDescent="0.25">
      <c r="A2840" s="116">
        <v>44708</v>
      </c>
      <c r="B2840" s="21" t="s">
        <v>7627</v>
      </c>
      <c r="C2840" s="13" t="s">
        <v>7538</v>
      </c>
      <c r="D2840" s="782"/>
      <c r="E2840" s="22"/>
      <c r="F2840" s="19">
        <v>27000</v>
      </c>
      <c r="G2840" s="14">
        <f t="shared" si="44"/>
        <v>-27000</v>
      </c>
      <c r="H2840" s="13" t="s">
        <v>1164</v>
      </c>
    </row>
    <row r="2841" spans="1:8" hidden="1" x14ac:dyDescent="0.25">
      <c r="A2841" s="116">
        <v>44708</v>
      </c>
      <c r="B2841" s="21" t="s">
        <v>7627</v>
      </c>
      <c r="C2841" s="13" t="s">
        <v>7538</v>
      </c>
      <c r="D2841" s="782"/>
      <c r="E2841" s="22"/>
      <c r="F2841" s="19">
        <v>115</v>
      </c>
      <c r="G2841" s="14">
        <f t="shared" si="44"/>
        <v>-115</v>
      </c>
      <c r="H2841" s="13" t="s">
        <v>5019</v>
      </c>
    </row>
    <row r="2842" spans="1:8" hidden="1" x14ac:dyDescent="0.25">
      <c r="A2842" s="116">
        <v>44712</v>
      </c>
      <c r="B2842" s="21" t="s">
        <v>5759</v>
      </c>
      <c r="C2842" s="13" t="s">
        <v>3039</v>
      </c>
      <c r="D2842" s="782"/>
      <c r="E2842" s="22"/>
      <c r="F2842" s="19">
        <v>16380</v>
      </c>
      <c r="G2842" s="14">
        <f t="shared" si="44"/>
        <v>-16380</v>
      </c>
      <c r="H2842" s="1192" t="s">
        <v>1164</v>
      </c>
    </row>
    <row r="2843" spans="1:8" hidden="1" x14ac:dyDescent="0.25">
      <c r="A2843" s="116">
        <v>44712</v>
      </c>
      <c r="B2843" s="21" t="s">
        <v>6463</v>
      </c>
      <c r="C2843" s="13" t="s">
        <v>3039</v>
      </c>
      <c r="D2843" s="782"/>
      <c r="E2843" s="22"/>
      <c r="F2843" s="19">
        <v>28567</v>
      </c>
      <c r="G2843" s="14">
        <f t="shared" si="44"/>
        <v>-28567</v>
      </c>
      <c r="H2843" s="1192"/>
    </row>
    <row r="2844" spans="1:8" hidden="1" x14ac:dyDescent="0.25">
      <c r="A2844" s="116">
        <v>44712</v>
      </c>
      <c r="B2844" s="21" t="s">
        <v>6568</v>
      </c>
      <c r="C2844" s="13" t="s">
        <v>3039</v>
      </c>
      <c r="D2844" s="782"/>
      <c r="E2844" s="22"/>
      <c r="F2844" s="19">
        <v>3053</v>
      </c>
      <c r="G2844" s="14">
        <f t="shared" si="44"/>
        <v>-3053</v>
      </c>
      <c r="H2844" s="1192"/>
    </row>
    <row r="2845" spans="1:8" ht="21" hidden="1" x14ac:dyDescent="0.25">
      <c r="A2845" s="116">
        <v>44712</v>
      </c>
      <c r="B2845" s="21" t="s">
        <v>3978</v>
      </c>
      <c r="C2845" s="13" t="s">
        <v>166</v>
      </c>
      <c r="D2845" s="782">
        <v>3443</v>
      </c>
      <c r="E2845" s="22">
        <v>5200</v>
      </c>
      <c r="F2845" s="19"/>
      <c r="G2845" s="14">
        <f t="shared" si="44"/>
        <v>5200</v>
      </c>
      <c r="H2845" s="755"/>
    </row>
    <row r="2846" spans="1:8" hidden="1" x14ac:dyDescent="0.25">
      <c r="A2846" s="116">
        <v>44693</v>
      </c>
      <c r="B2846" s="21" t="s">
        <v>7896</v>
      </c>
      <c r="C2846" s="13" t="s">
        <v>161</v>
      </c>
      <c r="D2846" s="782">
        <v>203</v>
      </c>
      <c r="E2846" s="22">
        <v>26506</v>
      </c>
      <c r="F2846" s="19"/>
      <c r="G2846" s="14">
        <f t="shared" si="44"/>
        <v>26506</v>
      </c>
      <c r="H2846" s="13"/>
    </row>
    <row r="2847" spans="1:8" hidden="1" x14ac:dyDescent="0.25">
      <c r="A2847" s="116">
        <v>44716</v>
      </c>
      <c r="B2847" s="21" t="s">
        <v>7896</v>
      </c>
      <c r="C2847" s="13" t="s">
        <v>161</v>
      </c>
      <c r="D2847" s="782">
        <v>224</v>
      </c>
      <c r="E2847" s="22">
        <v>9095</v>
      </c>
      <c r="F2847" s="19"/>
      <c r="G2847" s="14">
        <f>E2847-F2847</f>
        <v>9095</v>
      </c>
      <c r="H2847" s="13"/>
    </row>
    <row r="2848" spans="1:8" hidden="1" x14ac:dyDescent="0.25">
      <c r="A2848" s="116">
        <v>44719</v>
      </c>
      <c r="B2848" s="21" t="s">
        <v>8032</v>
      </c>
      <c r="C2848" s="13" t="s">
        <v>8033</v>
      </c>
      <c r="D2848" s="782" t="s">
        <v>8540</v>
      </c>
      <c r="E2848" s="22">
        <v>3360000</v>
      </c>
      <c r="F2848" s="19"/>
      <c r="G2848" s="14">
        <f>E2848-F2848</f>
        <v>3360000</v>
      </c>
      <c r="H2848" s="13"/>
    </row>
    <row r="2849" spans="1:8" hidden="1" x14ac:dyDescent="0.25">
      <c r="A2849" s="116">
        <v>44721</v>
      </c>
      <c r="B2849" s="21" t="s">
        <v>1407</v>
      </c>
      <c r="C2849" s="13" t="s">
        <v>166</v>
      </c>
      <c r="D2849" s="794" t="s">
        <v>8072</v>
      </c>
      <c r="E2849" s="22">
        <v>110000</v>
      </c>
      <c r="F2849" s="19"/>
      <c r="G2849" s="14">
        <f t="shared" si="44"/>
        <v>110000</v>
      </c>
      <c r="H2849" s="13"/>
    </row>
    <row r="2850" spans="1:8" hidden="1" x14ac:dyDescent="0.25">
      <c r="A2850" s="116">
        <v>44720</v>
      </c>
      <c r="B2850" s="21" t="s">
        <v>7627</v>
      </c>
      <c r="C2850" s="13" t="s">
        <v>7309</v>
      </c>
      <c r="D2850" s="782"/>
      <c r="E2850" s="22"/>
      <c r="F2850" s="19">
        <v>150000</v>
      </c>
      <c r="G2850" s="14">
        <f t="shared" si="44"/>
        <v>-150000</v>
      </c>
      <c r="H2850" s="704" t="s">
        <v>8027</v>
      </c>
    </row>
    <row r="2851" spans="1:8" hidden="1" x14ac:dyDescent="0.25">
      <c r="A2851" s="116">
        <v>44722</v>
      </c>
      <c r="B2851" s="21" t="s">
        <v>1407</v>
      </c>
      <c r="C2851" s="13" t="s">
        <v>166</v>
      </c>
      <c r="D2851" s="794" t="s">
        <v>8073</v>
      </c>
      <c r="E2851" s="22">
        <v>70000</v>
      </c>
      <c r="F2851" s="19"/>
      <c r="G2851" s="14">
        <f t="shared" si="44"/>
        <v>70000</v>
      </c>
      <c r="H2851" s="704"/>
    </row>
    <row r="2852" spans="1:8" hidden="1" x14ac:dyDescent="0.25">
      <c r="A2852" s="116">
        <v>44722</v>
      </c>
      <c r="B2852" s="21" t="s">
        <v>8032</v>
      </c>
      <c r="C2852" s="13" t="s">
        <v>8033</v>
      </c>
      <c r="D2852" s="794"/>
      <c r="E2852" s="22"/>
      <c r="F2852" s="19">
        <v>750000</v>
      </c>
      <c r="G2852" s="14">
        <f t="shared" si="44"/>
        <v>-750000</v>
      </c>
      <c r="H2852" s="704" t="s">
        <v>8034</v>
      </c>
    </row>
    <row r="2853" spans="1:8" hidden="1" x14ac:dyDescent="0.25">
      <c r="A2853" s="116">
        <v>44722</v>
      </c>
      <c r="B2853" s="21" t="s">
        <v>8032</v>
      </c>
      <c r="C2853" s="13" t="s">
        <v>8033</v>
      </c>
      <c r="D2853" s="794"/>
      <c r="E2853" s="22"/>
      <c r="F2853" s="19">
        <v>1000000</v>
      </c>
      <c r="G2853" s="14">
        <f t="shared" si="44"/>
        <v>-1000000</v>
      </c>
      <c r="H2853" s="704" t="s">
        <v>8035</v>
      </c>
    </row>
    <row r="2854" spans="1:8" ht="15.75" hidden="1" customHeight="1" x14ac:dyDescent="0.25">
      <c r="A2854" s="116">
        <v>44726</v>
      </c>
      <c r="B2854" s="21" t="s">
        <v>1407</v>
      </c>
      <c r="C2854" s="13" t="s">
        <v>166</v>
      </c>
      <c r="D2854" s="782"/>
      <c r="E2854" s="22"/>
      <c r="F2854" s="19">
        <v>155790</v>
      </c>
      <c r="G2854" s="14">
        <f t="shared" si="44"/>
        <v>-155790</v>
      </c>
      <c r="H2854" s="1191" t="s">
        <v>8074</v>
      </c>
    </row>
    <row r="2855" spans="1:8" hidden="1" x14ac:dyDescent="0.25">
      <c r="A2855" s="116">
        <v>44726</v>
      </c>
      <c r="B2855" s="21" t="s">
        <v>8000</v>
      </c>
      <c r="C2855" s="13" t="s">
        <v>166</v>
      </c>
      <c r="D2855" s="782"/>
      <c r="E2855" s="22"/>
      <c r="F2855" s="19">
        <v>132000</v>
      </c>
      <c r="G2855" s="14">
        <f t="shared" si="44"/>
        <v>-132000</v>
      </c>
      <c r="H2855" s="1191"/>
    </row>
    <row r="2856" spans="1:8" hidden="1" x14ac:dyDescent="0.25">
      <c r="A2856" s="116">
        <v>44726</v>
      </c>
      <c r="B2856" s="21" t="s">
        <v>8000</v>
      </c>
      <c r="C2856" s="13" t="s">
        <v>166</v>
      </c>
      <c r="D2856" s="782"/>
      <c r="E2856" s="22"/>
      <c r="F2856" s="19">
        <v>151650</v>
      </c>
      <c r="G2856" s="14">
        <f t="shared" si="44"/>
        <v>-151650</v>
      </c>
      <c r="H2856" s="1191"/>
    </row>
    <row r="2857" spans="1:8" hidden="1" x14ac:dyDescent="0.25">
      <c r="A2857" s="116">
        <v>44726</v>
      </c>
      <c r="B2857" s="21" t="s">
        <v>8000</v>
      </c>
      <c r="C2857" s="13" t="s">
        <v>166</v>
      </c>
      <c r="D2857" s="782"/>
      <c r="E2857" s="22"/>
      <c r="F2857" s="19">
        <f>500000-F2856-F2855-F2854</f>
        <v>60560</v>
      </c>
      <c r="G2857" s="14">
        <f t="shared" si="44"/>
        <v>-60560</v>
      </c>
      <c r="H2857" s="1191"/>
    </row>
    <row r="2858" spans="1:8" ht="15.75" hidden="1" customHeight="1" x14ac:dyDescent="0.25">
      <c r="A2858" s="116">
        <v>44726</v>
      </c>
      <c r="B2858" s="21" t="s">
        <v>2957</v>
      </c>
      <c r="C2858" s="13" t="s">
        <v>161</v>
      </c>
      <c r="D2858" s="782"/>
      <c r="E2858" s="22"/>
      <c r="F2858" s="19">
        <v>21337</v>
      </c>
      <c r="G2858" s="14">
        <f t="shared" si="44"/>
        <v>-21337</v>
      </c>
      <c r="H2858" s="1194" t="s">
        <v>8043</v>
      </c>
    </row>
    <row r="2859" spans="1:8" ht="15.75" hidden="1" customHeight="1" x14ac:dyDescent="0.25">
      <c r="A2859" s="116">
        <v>44726</v>
      </c>
      <c r="B2859" s="21" t="s">
        <v>7811</v>
      </c>
      <c r="C2859" s="13" t="s">
        <v>161</v>
      </c>
      <c r="D2859" s="782"/>
      <c r="E2859" s="22"/>
      <c r="F2859" s="19">
        <v>44651</v>
      </c>
      <c r="G2859" s="14">
        <f t="shared" si="44"/>
        <v>-44651</v>
      </c>
      <c r="H2859" s="1194"/>
    </row>
    <row r="2860" spans="1:8" ht="15.75" hidden="1" customHeight="1" x14ac:dyDescent="0.25">
      <c r="A2860" s="116">
        <v>44726</v>
      </c>
      <c r="B2860" s="21" t="s">
        <v>7825</v>
      </c>
      <c r="C2860" s="13" t="s">
        <v>161</v>
      </c>
      <c r="D2860" s="782"/>
      <c r="E2860" s="22"/>
      <c r="F2860" s="19">
        <v>33179</v>
      </c>
      <c r="G2860" s="14">
        <f t="shared" si="44"/>
        <v>-33179</v>
      </c>
      <c r="H2860" s="1194"/>
    </row>
    <row r="2861" spans="1:8" ht="16.5" hidden="1" customHeight="1" x14ac:dyDescent="0.25">
      <c r="A2861" s="116">
        <v>44726</v>
      </c>
      <c r="B2861" s="21" t="s">
        <v>7896</v>
      </c>
      <c r="C2861" s="13" t="s">
        <v>161</v>
      </c>
      <c r="D2861" s="782"/>
      <c r="E2861" s="22"/>
      <c r="F2861" s="19">
        <v>58530</v>
      </c>
      <c r="G2861" s="14">
        <f t="shared" si="44"/>
        <v>-58530</v>
      </c>
      <c r="H2861" s="1194"/>
    </row>
    <row r="2862" spans="1:8" ht="18.75" hidden="1" x14ac:dyDescent="0.25">
      <c r="A2862" s="116">
        <v>44726</v>
      </c>
      <c r="B2862" s="21" t="s">
        <v>8032</v>
      </c>
      <c r="C2862" s="13" t="s">
        <v>180</v>
      </c>
      <c r="D2862" s="794" t="s">
        <v>8105</v>
      </c>
      <c r="E2862" s="22">
        <v>28860</v>
      </c>
      <c r="F2862" s="19"/>
      <c r="G2862" s="14">
        <f t="shared" si="44"/>
        <v>28860</v>
      </c>
      <c r="H2862" s="763"/>
    </row>
    <row r="2863" spans="1:8" hidden="1" x14ac:dyDescent="0.25">
      <c r="A2863" s="116">
        <v>44727</v>
      </c>
      <c r="B2863" s="21" t="s">
        <v>1407</v>
      </c>
      <c r="C2863" s="13" t="s">
        <v>2212</v>
      </c>
      <c r="D2863" s="782">
        <v>11222</v>
      </c>
      <c r="E2863" s="22">
        <v>67780</v>
      </c>
      <c r="F2863" s="19"/>
      <c r="G2863" s="14">
        <f>E2863-F2863</f>
        <v>67780</v>
      </c>
      <c r="H2863" s="13"/>
    </row>
    <row r="2864" spans="1:8" hidden="1" x14ac:dyDescent="0.25">
      <c r="A2864" s="116">
        <v>44735</v>
      </c>
      <c r="B2864" s="21" t="s">
        <v>8000</v>
      </c>
      <c r="C2864" s="13" t="s">
        <v>7309</v>
      </c>
      <c r="D2864" s="782"/>
      <c r="E2864" s="22"/>
      <c r="F2864" s="19">
        <v>300000</v>
      </c>
      <c r="G2864" s="14">
        <f t="shared" ref="G2864:G2887" si="45">E2864-F2864</f>
        <v>-300000</v>
      </c>
      <c r="H2864" s="704" t="s">
        <v>8067</v>
      </c>
    </row>
    <row r="2865" spans="1:8" hidden="1" x14ac:dyDescent="0.25">
      <c r="A2865" s="116">
        <v>44739</v>
      </c>
      <c r="B2865" s="21" t="s">
        <v>1407</v>
      </c>
      <c r="C2865" s="13" t="s">
        <v>2212</v>
      </c>
      <c r="D2865" s="782">
        <v>11291</v>
      </c>
      <c r="E2865" s="22">
        <v>29640</v>
      </c>
      <c r="F2865" s="19"/>
      <c r="G2865" s="14">
        <f>E2865-F2865</f>
        <v>29640</v>
      </c>
      <c r="H2865" s="13"/>
    </row>
    <row r="2866" spans="1:8" hidden="1" x14ac:dyDescent="0.25">
      <c r="A2866" s="116">
        <v>44483</v>
      </c>
      <c r="B2866" s="21" t="s">
        <v>1407</v>
      </c>
      <c r="C2866" s="13" t="s">
        <v>1828</v>
      </c>
      <c r="D2866" s="794" t="s">
        <v>8256</v>
      </c>
      <c r="E2866" s="22">
        <v>7091</v>
      </c>
      <c r="F2866" s="19"/>
      <c r="G2866" s="14">
        <f>E2866-F2866</f>
        <v>7091</v>
      </c>
      <c r="H2866" s="13"/>
    </row>
    <row r="2867" spans="1:8" hidden="1" x14ac:dyDescent="0.25">
      <c r="A2867" s="116">
        <v>44483</v>
      </c>
      <c r="B2867" s="21" t="s">
        <v>1407</v>
      </c>
      <c r="C2867" s="13" t="s">
        <v>1828</v>
      </c>
      <c r="D2867" s="782"/>
      <c r="E2867" s="22"/>
      <c r="F2867" s="19">
        <v>24239</v>
      </c>
      <c r="G2867" s="14">
        <f>E2867-F2867</f>
        <v>-24239</v>
      </c>
      <c r="H2867" s="13" t="s">
        <v>8257</v>
      </c>
    </row>
    <row r="2868" spans="1:8" hidden="1" x14ac:dyDescent="0.25">
      <c r="A2868" s="116">
        <v>44740</v>
      </c>
      <c r="B2868" s="21" t="s">
        <v>1407</v>
      </c>
      <c r="C2868" s="13" t="s">
        <v>1828</v>
      </c>
      <c r="D2868" s="794" t="s">
        <v>8114</v>
      </c>
      <c r="E2868" s="22">
        <v>29720</v>
      </c>
      <c r="F2868" s="19"/>
      <c r="G2868" s="14">
        <f>E2868-F2868</f>
        <v>29720</v>
      </c>
      <c r="H2868" s="13"/>
    </row>
    <row r="2869" spans="1:8" hidden="1" x14ac:dyDescent="0.25">
      <c r="A2869" s="116">
        <v>44742</v>
      </c>
      <c r="B2869" s="21" t="s">
        <v>8000</v>
      </c>
      <c r="C2869" s="13" t="s">
        <v>166</v>
      </c>
      <c r="D2869" s="794" t="s">
        <v>8111</v>
      </c>
      <c r="E2869" s="22">
        <v>132000</v>
      </c>
      <c r="F2869" s="19"/>
      <c r="G2869" s="14">
        <f t="shared" si="45"/>
        <v>132000</v>
      </c>
      <c r="H2869" s="13"/>
    </row>
    <row r="2870" spans="1:8" hidden="1" x14ac:dyDescent="0.25">
      <c r="A2870" s="116">
        <v>44742</v>
      </c>
      <c r="B2870" s="21" t="s">
        <v>1407</v>
      </c>
      <c r="C2870" s="13" t="s">
        <v>166</v>
      </c>
      <c r="D2870" s="794" t="s">
        <v>8112</v>
      </c>
      <c r="E2870" s="22">
        <v>6642</v>
      </c>
      <c r="F2870" s="19"/>
      <c r="G2870" s="14">
        <f t="shared" si="45"/>
        <v>6642</v>
      </c>
      <c r="H2870" s="13"/>
    </row>
    <row r="2871" spans="1:8" hidden="1" x14ac:dyDescent="0.25">
      <c r="A2871" s="116">
        <v>44743</v>
      </c>
      <c r="B2871" s="21" t="s">
        <v>1407</v>
      </c>
      <c r="C2871" s="13" t="s">
        <v>166</v>
      </c>
      <c r="D2871" s="794" t="s">
        <v>8113</v>
      </c>
      <c r="E2871" s="22">
        <v>54000</v>
      </c>
      <c r="F2871" s="19"/>
      <c r="G2871" s="14">
        <f t="shared" si="45"/>
        <v>54000</v>
      </c>
      <c r="H2871" s="13"/>
    </row>
    <row r="2872" spans="1:8" hidden="1" x14ac:dyDescent="0.25">
      <c r="A2872" s="116">
        <v>44747</v>
      </c>
      <c r="B2872" s="21" t="s">
        <v>8032</v>
      </c>
      <c r="C2872" s="13" t="s">
        <v>5234</v>
      </c>
      <c r="D2872" s="782">
        <v>652</v>
      </c>
      <c r="E2872" s="22">
        <v>101236</v>
      </c>
      <c r="F2872" s="19"/>
      <c r="G2872" s="14">
        <f t="shared" si="45"/>
        <v>101236</v>
      </c>
      <c r="H2872" s="13"/>
    </row>
    <row r="2873" spans="1:8" hidden="1" x14ac:dyDescent="0.25">
      <c r="A2873" s="116">
        <v>44755</v>
      </c>
      <c r="B2873" s="21" t="s">
        <v>8122</v>
      </c>
      <c r="C2873" s="13" t="s">
        <v>7538</v>
      </c>
      <c r="D2873" s="782" t="s">
        <v>8541</v>
      </c>
      <c r="E2873" s="22">
        <v>9600</v>
      </c>
      <c r="F2873" s="19"/>
      <c r="G2873" s="14">
        <f t="shared" si="45"/>
        <v>9600</v>
      </c>
      <c r="H2873" s="13"/>
    </row>
    <row r="2874" spans="1:8" hidden="1" x14ac:dyDescent="0.25">
      <c r="A2874" s="116">
        <v>44764</v>
      </c>
      <c r="B2874" s="21" t="s">
        <v>3979</v>
      </c>
      <c r="C2874" s="13" t="s">
        <v>7587</v>
      </c>
      <c r="D2874" s="782"/>
      <c r="E2874" s="22"/>
      <c r="F2874" s="19">
        <v>6000</v>
      </c>
      <c r="G2874" s="14">
        <f t="shared" si="45"/>
        <v>-6000</v>
      </c>
      <c r="H2874" s="13" t="s">
        <v>5019</v>
      </c>
    </row>
    <row r="2875" spans="1:8" s="744" customFormat="1" ht="47.25" hidden="1" x14ac:dyDescent="0.25">
      <c r="A2875" s="116">
        <v>44764</v>
      </c>
      <c r="B2875" s="756" t="s">
        <v>6575</v>
      </c>
      <c r="C2875" s="764" t="s">
        <v>5113</v>
      </c>
      <c r="D2875" s="795"/>
      <c r="E2875" s="765"/>
      <c r="F2875" s="766">
        <v>300000</v>
      </c>
      <c r="G2875" s="767">
        <f t="shared" si="45"/>
        <v>-300000</v>
      </c>
      <c r="H2875" s="745" t="s">
        <v>8123</v>
      </c>
    </row>
    <row r="2876" spans="1:8" hidden="1" x14ac:dyDescent="0.25">
      <c r="A2876" s="116">
        <v>44737</v>
      </c>
      <c r="B2876" s="21" t="s">
        <v>7627</v>
      </c>
      <c r="C2876" s="13" t="s">
        <v>7309</v>
      </c>
      <c r="D2876" s="794" t="s">
        <v>8124</v>
      </c>
      <c r="E2876" s="22">
        <v>252840</v>
      </c>
      <c r="F2876" s="19"/>
      <c r="G2876" s="767">
        <f t="shared" si="45"/>
        <v>252840</v>
      </c>
      <c r="H2876" s="13"/>
    </row>
    <row r="2877" spans="1:8" hidden="1" x14ac:dyDescent="0.25">
      <c r="A2877" s="116">
        <v>44737</v>
      </c>
      <c r="B2877" s="21" t="s">
        <v>8000</v>
      </c>
      <c r="C2877" s="13" t="s">
        <v>7309</v>
      </c>
      <c r="D2877" s="794" t="s">
        <v>8125</v>
      </c>
      <c r="E2877" s="22">
        <v>635790</v>
      </c>
      <c r="F2877" s="19"/>
      <c r="G2877" s="14">
        <f t="shared" si="45"/>
        <v>635790</v>
      </c>
      <c r="H2877" s="13"/>
    </row>
    <row r="2878" spans="1:8" hidden="1" x14ac:dyDescent="0.25">
      <c r="A2878" s="116">
        <v>44737</v>
      </c>
      <c r="B2878" s="21" t="s">
        <v>8122</v>
      </c>
      <c r="C2878" s="13" t="s">
        <v>7309</v>
      </c>
      <c r="D2878" s="794" t="s">
        <v>8126</v>
      </c>
      <c r="E2878" s="22">
        <v>390960</v>
      </c>
      <c r="F2878" s="19"/>
      <c r="G2878" s="14">
        <f t="shared" si="45"/>
        <v>390960</v>
      </c>
      <c r="H2878" s="13"/>
    </row>
    <row r="2879" spans="1:8" hidden="1" x14ac:dyDescent="0.25">
      <c r="A2879" s="116">
        <v>44761</v>
      </c>
      <c r="B2879" s="21" t="s">
        <v>8122</v>
      </c>
      <c r="C2879" s="13" t="s">
        <v>161</v>
      </c>
      <c r="D2879" s="782" t="s">
        <v>8304</v>
      </c>
      <c r="E2879" s="22">
        <v>60383</v>
      </c>
      <c r="F2879" s="19"/>
      <c r="G2879" s="14">
        <f>E2879-F2879</f>
        <v>60383</v>
      </c>
      <c r="H2879" s="13"/>
    </row>
    <row r="2880" spans="1:8" hidden="1" x14ac:dyDescent="0.25">
      <c r="A2880" s="116">
        <v>44769</v>
      </c>
      <c r="B2880" s="21" t="s">
        <v>7627</v>
      </c>
      <c r="C2880" s="13" t="s">
        <v>7309</v>
      </c>
      <c r="D2880" s="782"/>
      <c r="E2880" s="22"/>
      <c r="F2880" s="19">
        <v>100000</v>
      </c>
      <c r="G2880" s="14">
        <f t="shared" si="45"/>
        <v>-100000</v>
      </c>
      <c r="H2880" s="704" t="s">
        <v>8147</v>
      </c>
    </row>
    <row r="2881" spans="1:8" hidden="1" x14ac:dyDescent="0.25">
      <c r="A2881" s="116">
        <v>44777</v>
      </c>
      <c r="B2881" s="21" t="s">
        <v>7177</v>
      </c>
      <c r="C2881" s="13" t="s">
        <v>5234</v>
      </c>
      <c r="D2881" s="782"/>
      <c r="E2881" s="22"/>
      <c r="F2881" s="19">
        <v>3700</v>
      </c>
      <c r="G2881" s="14">
        <f t="shared" si="45"/>
        <v>-3700</v>
      </c>
      <c r="H2881" s="13" t="s">
        <v>5019</v>
      </c>
    </row>
    <row r="2882" spans="1:8" hidden="1" x14ac:dyDescent="0.25">
      <c r="A2882" s="116">
        <v>44777</v>
      </c>
      <c r="B2882" s="21" t="s">
        <v>8032</v>
      </c>
      <c r="C2882" s="13" t="s">
        <v>5234</v>
      </c>
      <c r="D2882" s="782"/>
      <c r="E2882" s="22"/>
      <c r="F2882" s="19">
        <v>95400</v>
      </c>
      <c r="G2882" s="14">
        <f t="shared" si="45"/>
        <v>-95400</v>
      </c>
      <c r="H2882" s="704" t="s">
        <v>8181</v>
      </c>
    </row>
    <row r="2883" spans="1:8" hidden="1" x14ac:dyDescent="0.25">
      <c r="A2883" s="116">
        <v>44777</v>
      </c>
      <c r="B2883" s="21" t="s">
        <v>8032</v>
      </c>
      <c r="C2883" s="13" t="s">
        <v>5234</v>
      </c>
      <c r="D2883" s="782"/>
      <c r="E2883" s="22"/>
      <c r="F2883" s="19">
        <v>5836</v>
      </c>
      <c r="G2883" s="14">
        <f t="shared" si="45"/>
        <v>-5836</v>
      </c>
      <c r="H2883" s="13" t="s">
        <v>5019</v>
      </c>
    </row>
    <row r="2884" spans="1:8" hidden="1" x14ac:dyDescent="0.25">
      <c r="A2884" s="116">
        <v>44777</v>
      </c>
      <c r="B2884" s="21" t="s">
        <v>8032</v>
      </c>
      <c r="C2884" s="13" t="s">
        <v>8033</v>
      </c>
      <c r="D2884" s="782"/>
      <c r="E2884" s="22"/>
      <c r="F2884" s="19">
        <v>250000</v>
      </c>
      <c r="G2884" s="14">
        <f t="shared" si="45"/>
        <v>-250000</v>
      </c>
      <c r="H2884" s="13" t="s">
        <v>8210</v>
      </c>
    </row>
    <row r="2885" spans="1:8" hidden="1"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hidden="1" x14ac:dyDescent="0.25">
      <c r="A2888" s="116">
        <v>44718</v>
      </c>
      <c r="B2888" s="21" t="s">
        <v>1407</v>
      </c>
      <c r="C2888" s="13" t="s">
        <v>5731</v>
      </c>
      <c r="D2888" s="794" t="s">
        <v>8185</v>
      </c>
      <c r="E2888" s="22">
        <v>337580</v>
      </c>
      <c r="F2888" s="19"/>
      <c r="G2888" s="767">
        <f t="shared" ref="G2888:G2921" si="46">E2888-F2888</f>
        <v>337580</v>
      </c>
      <c r="H2888" s="13"/>
    </row>
    <row r="2889" spans="1:8" hidden="1" x14ac:dyDescent="0.25">
      <c r="A2889" s="116">
        <v>44735</v>
      </c>
      <c r="B2889" s="21" t="s">
        <v>8000</v>
      </c>
      <c r="C2889" s="13" t="s">
        <v>4445</v>
      </c>
      <c r="D2889" s="782"/>
      <c r="E2889" s="22"/>
      <c r="F2889" s="19">
        <v>825000</v>
      </c>
      <c r="G2889" s="14">
        <f t="shared" si="46"/>
        <v>-825000</v>
      </c>
      <c r="H2889" s="13" t="s">
        <v>8077</v>
      </c>
    </row>
    <row r="2890" spans="1:8" s="744" customFormat="1" hidden="1" x14ac:dyDescent="0.25">
      <c r="A2890" s="116">
        <v>44765</v>
      </c>
      <c r="B2890" s="21" t="s">
        <v>8122</v>
      </c>
      <c r="C2890" s="13" t="s">
        <v>5113</v>
      </c>
      <c r="D2890" s="794" t="s">
        <v>8184</v>
      </c>
      <c r="E2890" s="22">
        <v>110000</v>
      </c>
      <c r="F2890" s="19">
        <v>110000</v>
      </c>
      <c r="G2890" s="767">
        <f t="shared" si="46"/>
        <v>0</v>
      </c>
      <c r="H2890" s="768" t="s">
        <v>8258</v>
      </c>
    </row>
    <row r="2891" spans="1:8" s="744" customFormat="1" hidden="1" x14ac:dyDescent="0.25">
      <c r="A2891" s="116">
        <v>44765</v>
      </c>
      <c r="B2891" s="21" t="s">
        <v>6562</v>
      </c>
      <c r="C2891" s="13" t="s">
        <v>166</v>
      </c>
      <c r="D2891" s="794" t="s">
        <v>8782</v>
      </c>
      <c r="E2891" s="22">
        <v>17400</v>
      </c>
      <c r="F2891" s="19"/>
      <c r="G2891" s="767">
        <f t="shared" si="46"/>
        <v>17400</v>
      </c>
      <c r="H2891" s="768"/>
    </row>
    <row r="2892" spans="1:8" s="744" customFormat="1" hidden="1" x14ac:dyDescent="0.25">
      <c r="A2892" s="116">
        <v>44770</v>
      </c>
      <c r="B2892" s="21" t="s">
        <v>6562</v>
      </c>
      <c r="C2892" s="13" t="s">
        <v>166</v>
      </c>
      <c r="D2892" s="794" t="s">
        <v>8781</v>
      </c>
      <c r="E2892" s="22">
        <v>4000</v>
      </c>
      <c r="F2892" s="19"/>
      <c r="G2892" s="767">
        <f t="shared" si="46"/>
        <v>4000</v>
      </c>
      <c r="H2892" s="768"/>
    </row>
    <row r="2893" spans="1:8" hidden="1" x14ac:dyDescent="0.25">
      <c r="A2893" s="116">
        <v>44768</v>
      </c>
      <c r="B2893" s="21" t="s">
        <v>8122</v>
      </c>
      <c r="C2893" s="13" t="s">
        <v>8545</v>
      </c>
      <c r="D2893" s="782"/>
      <c r="E2893" s="22"/>
      <c r="F2893" s="19">
        <v>100000</v>
      </c>
      <c r="G2893" s="14">
        <f t="shared" si="46"/>
        <v>-100000</v>
      </c>
      <c r="H2893" s="13" t="s">
        <v>8163</v>
      </c>
    </row>
    <row r="2894" spans="1:8" hidden="1"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hidden="1" x14ac:dyDescent="0.25">
      <c r="A2896" s="116">
        <v>44771</v>
      </c>
      <c r="B2896" s="21" t="s">
        <v>8122</v>
      </c>
      <c r="C2896" s="13" t="s">
        <v>8170</v>
      </c>
      <c r="D2896" s="782"/>
      <c r="E2896" s="22">
        <v>5250000</v>
      </c>
      <c r="F2896" s="19"/>
      <c r="G2896" s="767">
        <f t="shared" si="46"/>
        <v>5250000</v>
      </c>
      <c r="H2896" s="13"/>
    </row>
    <row r="2897" spans="1:8" ht="31.5" hidden="1" x14ac:dyDescent="0.25">
      <c r="A2897" s="116">
        <v>44771</v>
      </c>
      <c r="B2897" s="756" t="s">
        <v>8122</v>
      </c>
      <c r="C2897" s="764" t="s">
        <v>8170</v>
      </c>
      <c r="D2897" s="795"/>
      <c r="E2897" s="765"/>
      <c r="F2897" s="766">
        <v>2400000</v>
      </c>
      <c r="G2897" s="767">
        <f t="shared" si="46"/>
        <v>-2400000</v>
      </c>
      <c r="H2897" s="745" t="s">
        <v>8171</v>
      </c>
    </row>
    <row r="2898" spans="1:8" hidden="1" x14ac:dyDescent="0.25">
      <c r="A2898" s="116">
        <v>44771</v>
      </c>
      <c r="B2898" s="21" t="s">
        <v>8000</v>
      </c>
      <c r="C2898" s="13" t="s">
        <v>166</v>
      </c>
      <c r="D2898" s="782"/>
      <c r="E2898" s="22">
        <v>151650</v>
      </c>
      <c r="F2898" s="19"/>
      <c r="G2898" s="14">
        <f t="shared" si="46"/>
        <v>151650</v>
      </c>
      <c r="H2898" s="13"/>
    </row>
    <row r="2899" spans="1:8" hidden="1"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hidden="1" x14ac:dyDescent="0.25">
      <c r="A2902" s="116">
        <v>44775</v>
      </c>
      <c r="B2902" s="21" t="s">
        <v>8000</v>
      </c>
      <c r="C2902" s="13" t="s">
        <v>440</v>
      </c>
      <c r="D2902" s="782">
        <v>23816</v>
      </c>
      <c r="E2902" s="22">
        <v>60000</v>
      </c>
      <c r="F2902" s="19"/>
      <c r="G2902" s="14">
        <f t="shared" si="46"/>
        <v>60000</v>
      </c>
      <c r="H2902" s="13"/>
    </row>
    <row r="2903" spans="1:8" hidden="1" x14ac:dyDescent="0.25">
      <c r="A2903" s="116">
        <v>44775</v>
      </c>
      <c r="B2903" s="21" t="s">
        <v>8122</v>
      </c>
      <c r="C2903" s="13" t="s">
        <v>3039</v>
      </c>
      <c r="D2903" s="782"/>
      <c r="E2903" s="22">
        <v>74700</v>
      </c>
      <c r="F2903" s="19"/>
      <c r="G2903" s="14">
        <f t="shared" si="46"/>
        <v>74700</v>
      </c>
      <c r="H2903" s="13" t="s">
        <v>8388</v>
      </c>
    </row>
    <row r="2904" spans="1:8" hidden="1" x14ac:dyDescent="0.25">
      <c r="A2904" s="116">
        <v>44777</v>
      </c>
      <c r="B2904" s="21" t="s">
        <v>8000</v>
      </c>
      <c r="C2904" s="13" t="s">
        <v>7309</v>
      </c>
      <c r="D2904" s="782"/>
      <c r="E2904" s="22"/>
      <c r="F2904" s="19">
        <v>250000</v>
      </c>
      <c r="G2904" s="14">
        <f t="shared" si="46"/>
        <v>-250000</v>
      </c>
      <c r="H2904" s="13" t="s">
        <v>7997</v>
      </c>
    </row>
    <row r="2905" spans="1:8" hidden="1" x14ac:dyDescent="0.25">
      <c r="A2905" s="116">
        <v>44777</v>
      </c>
      <c r="B2905" s="21" t="s">
        <v>8000</v>
      </c>
      <c r="C2905" s="13" t="s">
        <v>164</v>
      </c>
      <c r="D2905" s="782">
        <v>392</v>
      </c>
      <c r="E2905" s="22">
        <v>44979</v>
      </c>
      <c r="F2905" s="19"/>
      <c r="G2905" s="14">
        <f t="shared" si="46"/>
        <v>44979</v>
      </c>
      <c r="H2905" s="13"/>
    </row>
    <row r="2906" spans="1:8" hidden="1" x14ac:dyDescent="0.25">
      <c r="A2906" s="116">
        <v>44777</v>
      </c>
      <c r="B2906" s="21" t="s">
        <v>8000</v>
      </c>
      <c r="C2906" s="13" t="s">
        <v>164</v>
      </c>
      <c r="D2906" s="782">
        <v>396</v>
      </c>
      <c r="E2906" s="22">
        <v>455</v>
      </c>
      <c r="F2906" s="19"/>
      <c r="G2906" s="14">
        <f t="shared" si="46"/>
        <v>455</v>
      </c>
      <c r="H2906" s="13"/>
    </row>
    <row r="2907" spans="1:8" hidden="1" x14ac:dyDescent="0.25">
      <c r="A2907" s="116">
        <v>44778</v>
      </c>
      <c r="B2907" s="21" t="s">
        <v>6575</v>
      </c>
      <c r="C2907" s="13" t="s">
        <v>5113</v>
      </c>
      <c r="D2907" s="782"/>
      <c r="E2907" s="22"/>
      <c r="F2907" s="19">
        <v>3890</v>
      </c>
      <c r="G2907" s="14">
        <f t="shared" si="46"/>
        <v>-3890</v>
      </c>
      <c r="H2907" s="13" t="s">
        <v>8300</v>
      </c>
    </row>
    <row r="2908" spans="1:8" hidden="1" x14ac:dyDescent="0.25">
      <c r="A2908" s="116">
        <v>44779</v>
      </c>
      <c r="B2908" s="21" t="s">
        <v>8000</v>
      </c>
      <c r="C2908" s="13" t="s">
        <v>164</v>
      </c>
      <c r="D2908" s="782">
        <v>425</v>
      </c>
      <c r="E2908" s="22">
        <v>13280</v>
      </c>
      <c r="F2908" s="19"/>
      <c r="G2908" s="14">
        <f t="shared" si="46"/>
        <v>13280</v>
      </c>
      <c r="H2908" s="13"/>
    </row>
    <row r="2909" spans="1:8" hidden="1" x14ac:dyDescent="0.25">
      <c r="A2909" s="116">
        <v>44783</v>
      </c>
      <c r="B2909" s="21" t="s">
        <v>8000</v>
      </c>
      <c r="C2909" s="13" t="s">
        <v>7309</v>
      </c>
      <c r="D2909" s="782">
        <v>14</v>
      </c>
      <c r="E2909" s="22">
        <v>296380</v>
      </c>
      <c r="F2909" s="19"/>
      <c r="G2909" s="14">
        <f t="shared" si="46"/>
        <v>296380</v>
      </c>
      <c r="H2909" s="13"/>
    </row>
    <row r="2910" spans="1:8" hidden="1" x14ac:dyDescent="0.25">
      <c r="A2910" s="116">
        <v>44784</v>
      </c>
      <c r="B2910" s="21" t="s">
        <v>8000</v>
      </c>
      <c r="C2910" s="13" t="s">
        <v>440</v>
      </c>
      <c r="D2910" s="782">
        <v>23826</v>
      </c>
      <c r="E2910" s="22">
        <v>61200</v>
      </c>
      <c r="F2910" s="19"/>
      <c r="G2910" s="14">
        <f t="shared" si="46"/>
        <v>61200</v>
      </c>
      <c r="H2910" s="13"/>
    </row>
    <row r="2911" spans="1:8" hidden="1" x14ac:dyDescent="0.25">
      <c r="A2911" s="116">
        <v>44784</v>
      </c>
      <c r="B2911" s="21" t="s">
        <v>8000</v>
      </c>
      <c r="C2911" s="13" t="s">
        <v>166</v>
      </c>
      <c r="D2911" s="782" t="s">
        <v>8305</v>
      </c>
      <c r="E2911" s="22">
        <v>46000</v>
      </c>
      <c r="F2911" s="19"/>
      <c r="G2911" s="14">
        <f t="shared" si="46"/>
        <v>46000</v>
      </c>
      <c r="H2911" s="13"/>
    </row>
    <row r="2912" spans="1:8" hidden="1" x14ac:dyDescent="0.25">
      <c r="A2912" s="116">
        <v>44785</v>
      </c>
      <c r="B2912" s="21" t="s">
        <v>8122</v>
      </c>
      <c r="C2912" s="13" t="s">
        <v>169</v>
      </c>
      <c r="D2912" s="782"/>
      <c r="E2912" s="22">
        <v>114000</v>
      </c>
      <c r="F2912" s="19"/>
      <c r="G2912" s="14">
        <f t="shared" si="46"/>
        <v>114000</v>
      </c>
      <c r="H2912" s="13"/>
    </row>
    <row r="2913" spans="1:8" hidden="1" x14ac:dyDescent="0.25">
      <c r="A2913" s="116">
        <v>44789</v>
      </c>
      <c r="B2913" s="21" t="s">
        <v>8122</v>
      </c>
      <c r="C2913" s="13" t="s">
        <v>8301</v>
      </c>
      <c r="D2913" s="782" t="s">
        <v>8302</v>
      </c>
      <c r="E2913" s="22">
        <v>37000</v>
      </c>
      <c r="F2913" s="19"/>
      <c r="G2913" s="14">
        <f t="shared" si="46"/>
        <v>37000</v>
      </c>
      <c r="H2913" s="13" t="s">
        <v>8303</v>
      </c>
    </row>
    <row r="2914" spans="1:8" hidden="1" x14ac:dyDescent="0.25">
      <c r="A2914" s="116">
        <v>44789</v>
      </c>
      <c r="B2914" s="21" t="s">
        <v>8122</v>
      </c>
      <c r="C2914" s="13" t="s">
        <v>161</v>
      </c>
      <c r="D2914" s="782" t="s">
        <v>8399</v>
      </c>
      <c r="E2914" s="22">
        <v>52499</v>
      </c>
      <c r="F2914" s="19"/>
      <c r="G2914" s="14">
        <f t="shared" si="46"/>
        <v>52499</v>
      </c>
      <c r="H2914" s="13"/>
    </row>
    <row r="2915" spans="1:8" hidden="1" x14ac:dyDescent="0.25">
      <c r="A2915" s="116">
        <v>44793</v>
      </c>
      <c r="B2915" s="21" t="s">
        <v>8000</v>
      </c>
      <c r="C2915" s="13" t="s">
        <v>169</v>
      </c>
      <c r="D2915" s="782">
        <v>273</v>
      </c>
      <c r="E2915" s="22">
        <v>126250</v>
      </c>
      <c r="F2915" s="19"/>
      <c r="G2915" s="767">
        <f t="shared" si="46"/>
        <v>126250</v>
      </c>
      <c r="H2915" s="13"/>
    </row>
    <row r="2916" spans="1:8" hidden="1" x14ac:dyDescent="0.25">
      <c r="A2916" s="116">
        <v>44793</v>
      </c>
      <c r="B2916" s="21" t="s">
        <v>8000</v>
      </c>
      <c r="C2916" s="13" t="s">
        <v>164</v>
      </c>
      <c r="D2916" s="782" t="s">
        <v>8299</v>
      </c>
      <c r="E2916" s="22">
        <v>58635</v>
      </c>
      <c r="F2916" s="19"/>
      <c r="G2916" s="14">
        <f t="shared" si="46"/>
        <v>58635</v>
      </c>
      <c r="H2916" s="13"/>
    </row>
    <row r="2917" spans="1:8" hidden="1" x14ac:dyDescent="0.25">
      <c r="A2917" s="116">
        <v>44793</v>
      </c>
      <c r="B2917" s="21" t="s">
        <v>1407</v>
      </c>
      <c r="C2917" s="13" t="s">
        <v>164</v>
      </c>
      <c r="D2917" s="782"/>
      <c r="E2917" s="22">
        <v>10762</v>
      </c>
      <c r="F2917" s="19"/>
      <c r="G2917" s="14">
        <f t="shared" si="46"/>
        <v>10762</v>
      </c>
      <c r="H2917" s="13" t="s">
        <v>8300</v>
      </c>
    </row>
    <row r="2918" spans="1:8" ht="15.75" hidden="1" customHeight="1" x14ac:dyDescent="0.25">
      <c r="A2918" s="116">
        <v>44795</v>
      </c>
      <c r="B2918" s="21" t="s">
        <v>8000</v>
      </c>
      <c r="C2918" s="13" t="s">
        <v>169</v>
      </c>
      <c r="D2918" s="782" t="s">
        <v>8416</v>
      </c>
      <c r="E2918" s="22">
        <v>10750</v>
      </c>
      <c r="F2918" s="19"/>
      <c r="G2918" s="767">
        <f t="shared" si="46"/>
        <v>10750</v>
      </c>
      <c r="H2918" s="13"/>
    </row>
    <row r="2919" spans="1:8" ht="15.75" hidden="1" customHeight="1" x14ac:dyDescent="0.25">
      <c r="A2919" s="116">
        <v>44795</v>
      </c>
      <c r="B2919" s="21" t="s">
        <v>8000</v>
      </c>
      <c r="C2919" s="13" t="s">
        <v>166</v>
      </c>
      <c r="D2919" s="782" t="s">
        <v>8306</v>
      </c>
      <c r="E2919" s="22">
        <v>115000</v>
      </c>
      <c r="F2919" s="19"/>
      <c r="G2919" s="14">
        <f t="shared" si="46"/>
        <v>115000</v>
      </c>
      <c r="H2919" s="13"/>
    </row>
    <row r="2920" spans="1:8" hidden="1" x14ac:dyDescent="0.25">
      <c r="A2920" s="116">
        <v>44796</v>
      </c>
      <c r="B2920" s="21" t="s">
        <v>8122</v>
      </c>
      <c r="C2920" s="13" t="s">
        <v>5113</v>
      </c>
      <c r="D2920" s="794" t="s">
        <v>8259</v>
      </c>
      <c r="E2920" s="22">
        <v>80000</v>
      </c>
      <c r="F2920" s="19"/>
      <c r="G2920" s="767">
        <f t="shared" si="46"/>
        <v>80000</v>
      </c>
      <c r="H2920" s="13"/>
    </row>
    <row r="2921" spans="1:8" hidden="1" x14ac:dyDescent="0.25">
      <c r="A2921" s="116">
        <v>44796</v>
      </c>
      <c r="B2921" s="21" t="s">
        <v>8000</v>
      </c>
      <c r="C2921" s="13" t="s">
        <v>169</v>
      </c>
      <c r="D2921" s="782">
        <v>287</v>
      </c>
      <c r="E2921" s="22">
        <v>10750</v>
      </c>
      <c r="F2921" s="19"/>
      <c r="G2921" s="767">
        <f t="shared" si="46"/>
        <v>10750</v>
      </c>
      <c r="H2921" s="13"/>
    </row>
    <row r="2922" spans="1:8" hidden="1" x14ac:dyDescent="0.25">
      <c r="A2922" s="116">
        <v>44797</v>
      </c>
      <c r="B2922" s="21" t="s">
        <v>7017</v>
      </c>
      <c r="C2922" s="13" t="s">
        <v>169</v>
      </c>
      <c r="D2922" s="782"/>
      <c r="E2922" s="22"/>
      <c r="F2922" s="19">
        <v>19000</v>
      </c>
      <c r="G2922" s="767">
        <f t="shared" ref="G2922:G2953" si="47">E2922-F2922</f>
        <v>-19000</v>
      </c>
      <c r="H2922" s="13" t="s">
        <v>7955</v>
      </c>
    </row>
    <row r="2923" spans="1:8" hidden="1" x14ac:dyDescent="0.25">
      <c r="A2923" s="116">
        <v>44797</v>
      </c>
      <c r="B2923" s="21" t="s">
        <v>6575</v>
      </c>
      <c r="C2923" s="13" t="s">
        <v>169</v>
      </c>
      <c r="D2923" s="782"/>
      <c r="E2923" s="22"/>
      <c r="F2923" s="19">
        <v>16410</v>
      </c>
      <c r="G2923" s="767">
        <f t="shared" si="47"/>
        <v>-16410</v>
      </c>
      <c r="H2923" s="13" t="s">
        <v>7955</v>
      </c>
    </row>
    <row r="2924" spans="1:8" hidden="1" x14ac:dyDescent="0.25">
      <c r="A2924" s="116">
        <v>44797</v>
      </c>
      <c r="B2924" s="21" t="s">
        <v>8000</v>
      </c>
      <c r="C2924" s="13" t="s">
        <v>169</v>
      </c>
      <c r="D2924" s="782"/>
      <c r="E2924" s="22"/>
      <c r="F2924" s="19">
        <v>42000</v>
      </c>
      <c r="G2924" s="767">
        <f t="shared" si="47"/>
        <v>-42000</v>
      </c>
      <c r="H2924" s="13" t="s">
        <v>7955</v>
      </c>
    </row>
    <row r="2925" spans="1:8" hidden="1"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hidden="1" x14ac:dyDescent="0.25">
      <c r="A2927" s="116">
        <v>44798</v>
      </c>
      <c r="B2927" s="21" t="s">
        <v>8000</v>
      </c>
      <c r="C2927" s="13" t="s">
        <v>169</v>
      </c>
      <c r="D2927" s="782" t="s">
        <v>8307</v>
      </c>
      <c r="E2927" s="22">
        <v>5885</v>
      </c>
      <c r="F2927" s="19"/>
      <c r="G2927" s="14">
        <f t="shared" si="47"/>
        <v>5885</v>
      </c>
      <c r="H2927" s="13"/>
    </row>
    <row r="2928" spans="1:8" hidden="1" x14ac:dyDescent="0.25">
      <c r="A2928" s="116">
        <v>44799</v>
      </c>
      <c r="B2928" s="21" t="s">
        <v>7132</v>
      </c>
      <c r="C2928" s="13" t="s">
        <v>4445</v>
      </c>
      <c r="D2928" s="782"/>
      <c r="E2928" s="22">
        <v>150000</v>
      </c>
      <c r="F2928" s="19"/>
      <c r="G2928" s="14">
        <f t="shared" si="47"/>
        <v>150000</v>
      </c>
      <c r="H2928" s="13" t="s">
        <v>8390</v>
      </c>
    </row>
    <row r="2929" spans="1:8" hidden="1" x14ac:dyDescent="0.25">
      <c r="A2929" s="116">
        <v>44799</v>
      </c>
      <c r="B2929" s="21" t="s">
        <v>6565</v>
      </c>
      <c r="C2929" s="13" t="s">
        <v>4445</v>
      </c>
      <c r="D2929" s="782"/>
      <c r="E2929" s="22">
        <v>100000</v>
      </c>
      <c r="F2929" s="19"/>
      <c r="G2929" s="14">
        <f t="shared" si="47"/>
        <v>100000</v>
      </c>
      <c r="H2929" s="13" t="s">
        <v>8390</v>
      </c>
    </row>
    <row r="2930" spans="1:8" hidden="1" x14ac:dyDescent="0.25">
      <c r="A2930" s="116">
        <v>44799</v>
      </c>
      <c r="B2930" s="21" t="s">
        <v>8000</v>
      </c>
      <c r="C2930" s="13" t="s">
        <v>4445</v>
      </c>
      <c r="D2930" s="782"/>
      <c r="E2930" s="22">
        <v>1484759</v>
      </c>
      <c r="F2930" s="19"/>
      <c r="G2930" s="14">
        <f t="shared" si="47"/>
        <v>1484759</v>
      </c>
      <c r="H2930" s="13"/>
    </row>
    <row r="2931" spans="1:8" hidden="1" x14ac:dyDescent="0.25">
      <c r="A2931" s="116">
        <v>44800</v>
      </c>
      <c r="B2931" s="21" t="s">
        <v>8000</v>
      </c>
      <c r="C2931" s="13" t="s">
        <v>7309</v>
      </c>
      <c r="D2931" s="782"/>
      <c r="E2931" s="22"/>
      <c r="F2931" s="19">
        <v>30000</v>
      </c>
      <c r="G2931" s="767">
        <f t="shared" si="47"/>
        <v>-30000</v>
      </c>
      <c r="H2931" s="13" t="s">
        <v>1164</v>
      </c>
    </row>
    <row r="2932" spans="1:8" ht="18.75" hidden="1" x14ac:dyDescent="0.25">
      <c r="A2932" s="116">
        <v>44802</v>
      </c>
      <c r="B2932" s="21" t="s">
        <v>1407</v>
      </c>
      <c r="C2932" s="13" t="s">
        <v>2212</v>
      </c>
      <c r="D2932" s="782"/>
      <c r="E2932" s="22"/>
      <c r="F2932" s="19">
        <v>91480</v>
      </c>
      <c r="G2932" s="767">
        <f t="shared" si="47"/>
        <v>-91480</v>
      </c>
      <c r="H2932" s="769" t="s">
        <v>8293</v>
      </c>
    </row>
    <row r="2933" spans="1:8" ht="18.75" hidden="1" x14ac:dyDescent="0.25">
      <c r="A2933" s="116">
        <v>44802</v>
      </c>
      <c r="B2933" s="21" t="s">
        <v>6562</v>
      </c>
      <c r="C2933" s="13" t="s">
        <v>2212</v>
      </c>
      <c r="D2933" s="782"/>
      <c r="E2933" s="22"/>
      <c r="F2933" s="19">
        <v>48520</v>
      </c>
      <c r="G2933" s="767">
        <f t="shared" si="47"/>
        <v>-48520</v>
      </c>
      <c r="H2933" s="769"/>
    </row>
    <row r="2934" spans="1:8" hidden="1" x14ac:dyDescent="0.25">
      <c r="A2934" s="116">
        <v>44802</v>
      </c>
      <c r="B2934" s="21" t="s">
        <v>8122</v>
      </c>
      <c r="C2934" s="13" t="s">
        <v>3039</v>
      </c>
      <c r="D2934" s="782"/>
      <c r="E2934" s="22">
        <v>27000</v>
      </c>
      <c r="F2934" s="19"/>
      <c r="G2934" s="14">
        <f t="shared" si="47"/>
        <v>27000</v>
      </c>
      <c r="H2934" s="13" t="s">
        <v>8389</v>
      </c>
    </row>
    <row r="2935" spans="1:8" hidden="1" x14ac:dyDescent="0.25">
      <c r="A2935" s="116">
        <v>44802</v>
      </c>
      <c r="B2935" s="21" t="s">
        <v>8122</v>
      </c>
      <c r="C2935" s="13" t="s">
        <v>3039</v>
      </c>
      <c r="D2935" s="782"/>
      <c r="E2935" s="22">
        <v>129999</v>
      </c>
      <c r="F2935" s="19"/>
      <c r="G2935" s="14">
        <f t="shared" si="47"/>
        <v>129999</v>
      </c>
      <c r="H2935" s="13"/>
    </row>
    <row r="2936" spans="1:8" hidden="1" x14ac:dyDescent="0.25">
      <c r="A2936" s="116">
        <v>44803</v>
      </c>
      <c r="B2936" s="21" t="s">
        <v>8000</v>
      </c>
      <c r="C2936" s="13" t="s">
        <v>7309</v>
      </c>
      <c r="D2936" s="782"/>
      <c r="E2936" s="22">
        <v>-62900</v>
      </c>
      <c r="F2936" s="19"/>
      <c r="G2936" s="767">
        <f t="shared" si="47"/>
        <v>-62900</v>
      </c>
      <c r="H2936" s="13" t="s">
        <v>8295</v>
      </c>
    </row>
    <row r="2937" spans="1:8" hidden="1" x14ac:dyDescent="0.25">
      <c r="A2937" s="116">
        <v>44803</v>
      </c>
      <c r="B2937" s="21" t="s">
        <v>8000</v>
      </c>
      <c r="C2937" s="13" t="s">
        <v>7309</v>
      </c>
      <c r="D2937" s="782"/>
      <c r="E2937" s="22">
        <v>47040</v>
      </c>
      <c r="F2937" s="19"/>
      <c r="G2937" s="767">
        <f t="shared" si="47"/>
        <v>47040</v>
      </c>
      <c r="H2937" s="13" t="s">
        <v>8296</v>
      </c>
    </row>
    <row r="2938" spans="1:8" hidden="1" x14ac:dyDescent="0.25">
      <c r="A2938" s="116">
        <v>44803</v>
      </c>
      <c r="B2938" s="21" t="s">
        <v>7627</v>
      </c>
      <c r="C2938" s="13" t="s">
        <v>7309</v>
      </c>
      <c r="D2938" s="782"/>
      <c r="E2938" s="22"/>
      <c r="F2938" s="19">
        <v>2840</v>
      </c>
      <c r="G2938" s="767">
        <f t="shared" si="47"/>
        <v>-2840</v>
      </c>
      <c r="H2938" s="13" t="s">
        <v>3951</v>
      </c>
    </row>
    <row r="2939" spans="1:8" hidden="1" x14ac:dyDescent="0.25">
      <c r="A2939" s="116">
        <v>44803</v>
      </c>
      <c r="B2939" s="21" t="s">
        <v>8000</v>
      </c>
      <c r="C2939" s="13" t="s">
        <v>7309</v>
      </c>
      <c r="D2939" s="794">
        <v>15</v>
      </c>
      <c r="E2939" s="22">
        <v>111730</v>
      </c>
      <c r="F2939" s="19"/>
      <c r="G2939" s="767">
        <f t="shared" si="47"/>
        <v>111730</v>
      </c>
      <c r="H2939" s="13"/>
    </row>
    <row r="2940" spans="1:8" hidden="1" x14ac:dyDescent="0.25">
      <c r="A2940" s="116">
        <v>44803</v>
      </c>
      <c r="B2940" s="21" t="s">
        <v>8000</v>
      </c>
      <c r="C2940" s="13" t="s">
        <v>1535</v>
      </c>
      <c r="D2940" s="782" t="s">
        <v>8298</v>
      </c>
      <c r="E2940" s="22">
        <v>12000</v>
      </c>
      <c r="F2940" s="19"/>
      <c r="G2940" s="14">
        <f t="shared" si="47"/>
        <v>12000</v>
      </c>
      <c r="H2940" s="13"/>
    </row>
    <row r="2941" spans="1:8" hidden="1" x14ac:dyDescent="0.25">
      <c r="A2941" s="116">
        <v>44803</v>
      </c>
      <c r="B2941" s="21" t="s">
        <v>8000</v>
      </c>
      <c r="C2941" s="13" t="s">
        <v>7309</v>
      </c>
      <c r="D2941" s="782"/>
      <c r="E2941" s="22"/>
      <c r="F2941" s="19">
        <v>100000</v>
      </c>
      <c r="G2941" s="14">
        <f t="shared" si="47"/>
        <v>-100000</v>
      </c>
      <c r="H2941" s="13" t="s">
        <v>8321</v>
      </c>
    </row>
    <row r="2942" spans="1:8" hidden="1" x14ac:dyDescent="0.25">
      <c r="A2942" s="116">
        <v>44803</v>
      </c>
      <c r="B2942" s="21" t="s">
        <v>8000</v>
      </c>
      <c r="C2942" s="13" t="s">
        <v>7309</v>
      </c>
      <c r="D2942" s="782"/>
      <c r="E2942" s="22"/>
      <c r="F2942" s="19">
        <v>100000</v>
      </c>
      <c r="G2942" s="14">
        <f t="shared" si="47"/>
        <v>-100000</v>
      </c>
      <c r="H2942" s="13" t="s">
        <v>8322</v>
      </c>
    </row>
    <row r="2943" spans="1:8" hidden="1" x14ac:dyDescent="0.25">
      <c r="A2943" s="116">
        <v>44803</v>
      </c>
      <c r="B2943" s="21" t="s">
        <v>8000</v>
      </c>
      <c r="C2943" s="13" t="s">
        <v>7309</v>
      </c>
      <c r="D2943" s="782"/>
      <c r="E2943" s="22"/>
      <c r="F2943" s="19">
        <v>139000</v>
      </c>
      <c r="G2943" s="14">
        <f t="shared" si="47"/>
        <v>-139000</v>
      </c>
      <c r="H2943" s="13" t="s">
        <v>8323</v>
      </c>
    </row>
    <row r="2944" spans="1:8" hidden="1" x14ac:dyDescent="0.25">
      <c r="A2944" s="116">
        <v>44803</v>
      </c>
      <c r="B2944" s="21" t="s">
        <v>6562</v>
      </c>
      <c r="C2944" s="13" t="s">
        <v>7943</v>
      </c>
      <c r="D2944" s="782"/>
      <c r="E2944" s="22"/>
      <c r="F2944" s="19">
        <v>50000</v>
      </c>
      <c r="G2944" s="14">
        <f t="shared" si="47"/>
        <v>-50000</v>
      </c>
      <c r="H2944" s="13"/>
    </row>
    <row r="2945" spans="1:8" hidden="1" x14ac:dyDescent="0.25">
      <c r="A2945" s="116">
        <v>44805</v>
      </c>
      <c r="B2945" s="21" t="s">
        <v>8000</v>
      </c>
      <c r="C2945" s="13" t="s">
        <v>169</v>
      </c>
      <c r="D2945" s="782" t="s">
        <v>8417</v>
      </c>
      <c r="E2945" s="22">
        <v>68150</v>
      </c>
      <c r="F2945" s="19"/>
      <c r="G2945" s="14">
        <f t="shared" si="47"/>
        <v>68150</v>
      </c>
      <c r="H2945" s="13"/>
    </row>
    <row r="2946" spans="1:8" hidden="1" x14ac:dyDescent="0.25">
      <c r="A2946" s="116">
        <v>44807</v>
      </c>
      <c r="B2946" s="21" t="s">
        <v>8122</v>
      </c>
      <c r="C2946" s="13" t="s">
        <v>3039</v>
      </c>
      <c r="D2946" s="782"/>
      <c r="E2946" s="22"/>
      <c r="F2946" s="19">
        <v>22500</v>
      </c>
      <c r="G2946" s="14">
        <f t="shared" si="47"/>
        <v>-22500</v>
      </c>
      <c r="H2946" s="13" t="s">
        <v>1164</v>
      </c>
    </row>
    <row r="2947" spans="1:8" hidden="1" x14ac:dyDescent="0.25">
      <c r="A2947" s="116">
        <v>44811</v>
      </c>
      <c r="B2947" s="21" t="s">
        <v>10261</v>
      </c>
      <c r="C2947" s="13" t="s">
        <v>5731</v>
      </c>
      <c r="D2947" s="782"/>
      <c r="E2947" s="22"/>
      <c r="F2947" s="19">
        <v>131000</v>
      </c>
      <c r="G2947" s="14">
        <f t="shared" si="47"/>
        <v>-131000</v>
      </c>
      <c r="H2947" s="13" t="s">
        <v>3951</v>
      </c>
    </row>
    <row r="2948" spans="1:8" hidden="1" x14ac:dyDescent="0.25">
      <c r="A2948" s="116">
        <v>44809</v>
      </c>
      <c r="B2948" s="21" t="s">
        <v>1407</v>
      </c>
      <c r="C2948" s="13" t="s">
        <v>5731</v>
      </c>
      <c r="D2948" s="782"/>
      <c r="E2948" s="22"/>
      <c r="F2948" s="19">
        <v>150000</v>
      </c>
      <c r="G2948" s="14">
        <f t="shared" si="47"/>
        <v>-150000</v>
      </c>
      <c r="H2948" s="13" t="s">
        <v>8326</v>
      </c>
    </row>
    <row r="2949" spans="1:8" hidden="1" x14ac:dyDescent="0.25">
      <c r="A2949" s="116">
        <v>44809</v>
      </c>
      <c r="B2949" s="21" t="s">
        <v>8122</v>
      </c>
      <c r="C2949" s="13" t="s">
        <v>3039</v>
      </c>
      <c r="D2949" s="782"/>
      <c r="E2949" s="22">
        <v>27000</v>
      </c>
      <c r="F2949" s="19"/>
      <c r="G2949" s="14">
        <f t="shared" si="47"/>
        <v>27000</v>
      </c>
      <c r="H2949" s="13" t="s">
        <v>1164</v>
      </c>
    </row>
    <row r="2950" spans="1:8" hidden="1" x14ac:dyDescent="0.25">
      <c r="A2950" s="116">
        <v>44809</v>
      </c>
      <c r="B2950" s="21" t="s">
        <v>8122</v>
      </c>
      <c r="C2950" s="13" t="s">
        <v>3039</v>
      </c>
      <c r="D2950" s="782"/>
      <c r="E2950" s="22">
        <v>45323</v>
      </c>
      <c r="F2950" s="19"/>
      <c r="G2950" s="14">
        <f t="shared" si="47"/>
        <v>45323</v>
      </c>
      <c r="H2950" s="13"/>
    </row>
    <row r="2951" spans="1:8" hidden="1" x14ac:dyDescent="0.25">
      <c r="A2951" s="116">
        <v>44809</v>
      </c>
      <c r="B2951" s="21" t="s">
        <v>8122</v>
      </c>
      <c r="C2951" s="13" t="s">
        <v>7538</v>
      </c>
      <c r="D2951" s="782" t="s">
        <v>8400</v>
      </c>
      <c r="E2951" s="22">
        <v>59395</v>
      </c>
      <c r="F2951" s="19"/>
      <c r="G2951" s="14">
        <f t="shared" si="47"/>
        <v>59395</v>
      </c>
      <c r="H2951" s="13"/>
    </row>
    <row r="2952" spans="1:8" hidden="1" x14ac:dyDescent="0.25">
      <c r="A2952" s="116">
        <v>44809</v>
      </c>
      <c r="B2952" s="21" t="s">
        <v>8122</v>
      </c>
      <c r="C2952" s="13" t="s">
        <v>7538</v>
      </c>
      <c r="D2952" s="782" t="s">
        <v>8401</v>
      </c>
      <c r="E2952" s="22">
        <v>935180</v>
      </c>
      <c r="F2952" s="19"/>
      <c r="G2952" s="14">
        <f t="shared" si="47"/>
        <v>935180</v>
      </c>
      <c r="H2952" s="13"/>
    </row>
    <row r="2953" spans="1:8" hidden="1" x14ac:dyDescent="0.25">
      <c r="A2953" s="116">
        <v>44809</v>
      </c>
      <c r="B2953" s="21" t="s">
        <v>8122</v>
      </c>
      <c r="C2953" s="13" t="s">
        <v>7538</v>
      </c>
      <c r="D2953" s="782" t="s">
        <v>8402</v>
      </c>
      <c r="E2953" s="22">
        <v>28800</v>
      </c>
      <c r="F2953" s="19"/>
      <c r="G2953" s="14">
        <f t="shared" si="47"/>
        <v>28800</v>
      </c>
      <c r="H2953" s="13"/>
    </row>
    <row r="2954" spans="1:8" hidden="1" x14ac:dyDescent="0.25">
      <c r="A2954" s="116">
        <v>44809</v>
      </c>
      <c r="B2954" s="21" t="s">
        <v>8122</v>
      </c>
      <c r="C2954" s="13" t="s">
        <v>7538</v>
      </c>
      <c r="D2954" s="782" t="s">
        <v>8403</v>
      </c>
      <c r="E2954" s="22">
        <v>421212</v>
      </c>
      <c r="F2954" s="19"/>
      <c r="G2954" s="14">
        <f t="shared" ref="G2954:G2984" si="48">E2954-F2954</f>
        <v>421212</v>
      </c>
      <c r="H2954" s="13"/>
    </row>
    <row r="2955" spans="1:8" hidden="1" x14ac:dyDescent="0.25">
      <c r="A2955" s="116">
        <v>44809</v>
      </c>
      <c r="B2955" s="21" t="s">
        <v>8122</v>
      </c>
      <c r="C2955" s="13" t="s">
        <v>7538</v>
      </c>
      <c r="D2955" s="782" t="s">
        <v>8404</v>
      </c>
      <c r="E2955" s="22">
        <v>371865</v>
      </c>
      <c r="F2955" s="19"/>
      <c r="G2955" s="14">
        <f t="shared" si="48"/>
        <v>371865</v>
      </c>
      <c r="H2955" s="13"/>
    </row>
    <row r="2956" spans="1:8" hidden="1" x14ac:dyDescent="0.25">
      <c r="A2956" s="116">
        <v>44809</v>
      </c>
      <c r="B2956" s="21" t="s">
        <v>8032</v>
      </c>
      <c r="C2956" s="13" t="s">
        <v>8033</v>
      </c>
      <c r="D2956" s="782"/>
      <c r="E2956" s="22"/>
      <c r="F2956" s="19">
        <v>400000</v>
      </c>
      <c r="G2956" s="14">
        <f t="shared" si="48"/>
        <v>-400000</v>
      </c>
      <c r="H2956" s="13" t="s">
        <v>8352</v>
      </c>
    </row>
    <row r="2957" spans="1:8" hidden="1" x14ac:dyDescent="0.25">
      <c r="A2957" s="116">
        <v>44811</v>
      </c>
      <c r="B2957" s="21" t="s">
        <v>8000</v>
      </c>
      <c r="C2957" s="13" t="s">
        <v>8329</v>
      </c>
      <c r="D2957" s="782"/>
      <c r="E2957" s="22">
        <v>525000</v>
      </c>
      <c r="F2957" s="19"/>
      <c r="G2957" s="14">
        <f t="shared" si="48"/>
        <v>525000</v>
      </c>
      <c r="H2957" s="13"/>
    </row>
    <row r="2958" spans="1:8" hidden="1" x14ac:dyDescent="0.25">
      <c r="A2958" s="116">
        <v>44811</v>
      </c>
      <c r="B2958" s="21" t="s">
        <v>8000</v>
      </c>
      <c r="C2958" s="13" t="s">
        <v>8329</v>
      </c>
      <c r="D2958" s="782"/>
      <c r="E2958" s="22"/>
      <c r="F2958" s="19">
        <v>314630</v>
      </c>
      <c r="G2958" s="14">
        <f t="shared" si="48"/>
        <v>-314630</v>
      </c>
      <c r="H2958" s="13" t="s">
        <v>8330</v>
      </c>
    </row>
    <row r="2959" spans="1:8" hidden="1" x14ac:dyDescent="0.25">
      <c r="A2959" s="116">
        <v>44811</v>
      </c>
      <c r="B2959" s="21" t="s">
        <v>8000</v>
      </c>
      <c r="C2959" s="13" t="s">
        <v>4445</v>
      </c>
      <c r="D2959" s="782"/>
      <c r="E2959" s="22"/>
      <c r="F2959" s="19">
        <v>250000</v>
      </c>
      <c r="G2959" s="14">
        <f t="shared" si="48"/>
        <v>-250000</v>
      </c>
      <c r="H2959" s="13" t="s">
        <v>8332</v>
      </c>
    </row>
    <row r="2960" spans="1:8" hidden="1" x14ac:dyDescent="0.25">
      <c r="A2960" s="116">
        <v>44811</v>
      </c>
      <c r="B2960" s="21" t="s">
        <v>8122</v>
      </c>
      <c r="C2960" s="13" t="s">
        <v>8545</v>
      </c>
      <c r="D2960" s="782" t="s">
        <v>8546</v>
      </c>
      <c r="E2960" s="22">
        <v>200000</v>
      </c>
      <c r="F2960" s="19"/>
      <c r="G2960" s="14">
        <f t="shared" si="48"/>
        <v>200000</v>
      </c>
      <c r="H2960" s="13" t="s">
        <v>8612</v>
      </c>
    </row>
    <row r="2961" spans="1:8" hidden="1" x14ac:dyDescent="0.25">
      <c r="A2961" s="116">
        <v>44811</v>
      </c>
      <c r="B2961" s="21" t="s">
        <v>1407</v>
      </c>
      <c r="C2961" s="13" t="s">
        <v>7309</v>
      </c>
      <c r="D2961" s="782" t="s">
        <v>8454</v>
      </c>
      <c r="E2961" s="22">
        <v>854151</v>
      </c>
      <c r="F2961" s="19"/>
      <c r="G2961" s="14">
        <f t="shared" si="48"/>
        <v>854151</v>
      </c>
      <c r="H2961" s="13"/>
    </row>
    <row r="2962" spans="1:8" hidden="1" x14ac:dyDescent="0.25">
      <c r="A2962" s="116">
        <v>44811</v>
      </c>
      <c r="B2962" s="21" t="s">
        <v>8000</v>
      </c>
      <c r="C2962" s="13" t="s">
        <v>8329</v>
      </c>
      <c r="D2962" s="782"/>
      <c r="E2962" s="22">
        <v>359054</v>
      </c>
      <c r="F2962" s="19"/>
      <c r="G2962" s="14">
        <f t="shared" si="48"/>
        <v>359054</v>
      </c>
      <c r="H2962" s="13"/>
    </row>
    <row r="2963" spans="1:8" hidden="1"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hidden="1" x14ac:dyDescent="0.25">
      <c r="A2965" s="116">
        <v>44816</v>
      </c>
      <c r="B2965" s="21" t="s">
        <v>8122</v>
      </c>
      <c r="C2965" s="13" t="s">
        <v>7538</v>
      </c>
      <c r="D2965" s="782" t="s">
        <v>8492</v>
      </c>
      <c r="E2965" s="22">
        <v>20800</v>
      </c>
      <c r="F2965" s="19"/>
      <c r="G2965" s="14">
        <f t="shared" si="48"/>
        <v>20800</v>
      </c>
      <c r="H2965" s="13"/>
    </row>
    <row r="2966" spans="1:8" hidden="1" x14ac:dyDescent="0.25">
      <c r="A2966" s="116">
        <v>44818</v>
      </c>
      <c r="B2966" s="21" t="s">
        <v>8122</v>
      </c>
      <c r="C2966" s="13" t="s">
        <v>180</v>
      </c>
      <c r="D2966" s="782" t="s">
        <v>8455</v>
      </c>
      <c r="E2966" s="22">
        <v>100800</v>
      </c>
      <c r="F2966" s="19"/>
      <c r="G2966" s="14">
        <f t="shared" si="48"/>
        <v>100800</v>
      </c>
      <c r="H2966" s="13"/>
    </row>
    <row r="2967" spans="1:8" hidden="1" x14ac:dyDescent="0.25">
      <c r="A2967" s="116">
        <v>44818</v>
      </c>
      <c r="B2967" s="21" t="s">
        <v>8122</v>
      </c>
      <c r="C2967" s="13" t="s">
        <v>7538</v>
      </c>
      <c r="D2967" s="782" t="s">
        <v>8405</v>
      </c>
      <c r="E2967" s="22">
        <v>274016</v>
      </c>
      <c r="F2967" s="19"/>
      <c r="G2967" s="14">
        <f t="shared" si="48"/>
        <v>274016</v>
      </c>
      <c r="H2967" s="13"/>
    </row>
    <row r="2968" spans="1:8" hidden="1" x14ac:dyDescent="0.25">
      <c r="A2968" s="116">
        <v>44819</v>
      </c>
      <c r="B2968" s="21" t="s">
        <v>8000</v>
      </c>
      <c r="C2968" s="13" t="s">
        <v>7985</v>
      </c>
      <c r="D2968" s="782"/>
      <c r="E2968" s="22">
        <v>213963</v>
      </c>
      <c r="F2968" s="19"/>
      <c r="G2968" s="14">
        <f t="shared" si="48"/>
        <v>213963</v>
      </c>
      <c r="H2968" s="13"/>
    </row>
    <row r="2969" spans="1:8" hidden="1" x14ac:dyDescent="0.25">
      <c r="A2969" s="116">
        <v>44819</v>
      </c>
      <c r="B2969" s="21" t="s">
        <v>8032</v>
      </c>
      <c r="C2969" s="13" t="s">
        <v>7538</v>
      </c>
      <c r="D2969" s="782" t="s">
        <v>8406</v>
      </c>
      <c r="E2969" s="22">
        <v>111043</v>
      </c>
      <c r="F2969" s="19"/>
      <c r="G2969" s="14">
        <f t="shared" si="48"/>
        <v>111043</v>
      </c>
      <c r="H2969" s="13"/>
    </row>
    <row r="2970" spans="1:8" hidden="1" x14ac:dyDescent="0.25">
      <c r="A2970" s="116">
        <v>44819</v>
      </c>
      <c r="B2970" s="21" t="s">
        <v>8000</v>
      </c>
      <c r="C2970" s="13" t="s">
        <v>8483</v>
      </c>
      <c r="D2970" s="782" t="s">
        <v>8484</v>
      </c>
      <c r="E2970" s="22">
        <v>455186</v>
      </c>
      <c r="F2970" s="19"/>
      <c r="G2970" s="14">
        <f t="shared" si="48"/>
        <v>455186</v>
      </c>
      <c r="H2970" s="13"/>
    </row>
    <row r="2971" spans="1:8" hidden="1" x14ac:dyDescent="0.25">
      <c r="A2971" s="116">
        <v>44819</v>
      </c>
      <c r="B2971" s="21" t="s">
        <v>8122</v>
      </c>
      <c r="C2971" s="13" t="s">
        <v>8483</v>
      </c>
      <c r="D2971" s="782" t="s">
        <v>8485</v>
      </c>
      <c r="E2971" s="22">
        <v>47092</v>
      </c>
      <c r="F2971" s="19"/>
      <c r="G2971" s="14">
        <f t="shared" si="48"/>
        <v>47092</v>
      </c>
      <c r="H2971" s="13"/>
    </row>
    <row r="2972" spans="1:8" hidden="1" x14ac:dyDescent="0.25">
      <c r="A2972" s="116">
        <v>44820</v>
      </c>
      <c r="B2972" s="21" t="s">
        <v>8156</v>
      </c>
      <c r="C2972" s="13" t="s">
        <v>166</v>
      </c>
      <c r="D2972" s="782" t="s">
        <v>8452</v>
      </c>
      <c r="E2972" s="22">
        <v>31200</v>
      </c>
      <c r="F2972" s="19"/>
      <c r="G2972" s="14">
        <f t="shared" si="48"/>
        <v>31200</v>
      </c>
      <c r="H2972" s="13"/>
    </row>
    <row r="2973" spans="1:8" hidden="1" x14ac:dyDescent="0.25">
      <c r="A2973" s="116">
        <v>44820</v>
      </c>
      <c r="B2973" s="21" t="s">
        <v>8000</v>
      </c>
      <c r="C2973" s="13" t="s">
        <v>180</v>
      </c>
      <c r="D2973" s="782" t="s">
        <v>8456</v>
      </c>
      <c r="E2973" s="22">
        <v>59880</v>
      </c>
      <c r="F2973" s="19"/>
      <c r="G2973" s="14">
        <f t="shared" si="48"/>
        <v>59880</v>
      </c>
      <c r="H2973" s="13"/>
    </row>
    <row r="2974" spans="1:8" hidden="1" x14ac:dyDescent="0.25">
      <c r="A2974" s="116">
        <v>44823</v>
      </c>
      <c r="B2974" s="21" t="s">
        <v>2957</v>
      </c>
      <c r="C2974" s="13" t="s">
        <v>6826</v>
      </c>
      <c r="D2974" s="782" t="s">
        <v>8490</v>
      </c>
      <c r="E2974" s="22">
        <v>76350</v>
      </c>
      <c r="F2974" s="19"/>
      <c r="G2974" s="14">
        <f t="shared" si="48"/>
        <v>76350</v>
      </c>
      <c r="H2974" s="13"/>
    </row>
    <row r="2975" spans="1:8" hidden="1" x14ac:dyDescent="0.25">
      <c r="A2975" s="116">
        <v>44827</v>
      </c>
      <c r="B2975" s="21" t="s">
        <v>8122</v>
      </c>
      <c r="C2975" s="13" t="s">
        <v>7538</v>
      </c>
      <c r="D2975" s="782" t="s">
        <v>8542</v>
      </c>
      <c r="E2975" s="22">
        <v>41600</v>
      </c>
      <c r="F2975" s="19"/>
      <c r="G2975" s="14">
        <f t="shared" si="48"/>
        <v>41600</v>
      </c>
      <c r="H2975" s="13"/>
    </row>
    <row r="2976" spans="1:8" hidden="1"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hidden="1" x14ac:dyDescent="0.25">
      <c r="A2978" s="116">
        <v>44827</v>
      </c>
      <c r="B2978" s="21" t="s">
        <v>8156</v>
      </c>
      <c r="C2978" s="13" t="s">
        <v>162</v>
      </c>
      <c r="D2978" s="782" t="s">
        <v>8474</v>
      </c>
      <c r="E2978" s="22">
        <v>17510</v>
      </c>
      <c r="F2978" s="19"/>
      <c r="G2978" s="14">
        <f t="shared" si="48"/>
        <v>17510</v>
      </c>
      <c r="H2978" s="13" t="s">
        <v>8476</v>
      </c>
    </row>
    <row r="2979" spans="1:8" hidden="1" x14ac:dyDescent="0.25">
      <c r="A2979" s="116">
        <v>44828</v>
      </c>
      <c r="B2979" s="21" t="s">
        <v>3979</v>
      </c>
      <c r="C2979" s="13" t="s">
        <v>440</v>
      </c>
      <c r="D2979" s="782" t="s">
        <v>8453</v>
      </c>
      <c r="E2979" s="22">
        <v>68000</v>
      </c>
      <c r="F2979" s="19"/>
      <c r="G2979" s="14">
        <f t="shared" si="48"/>
        <v>68000</v>
      </c>
      <c r="H2979" s="13"/>
    </row>
    <row r="2980" spans="1:8" ht="15.75" hidden="1" customHeight="1" x14ac:dyDescent="0.25">
      <c r="A2980" s="116">
        <v>44831</v>
      </c>
      <c r="B2980" s="21" t="s">
        <v>8000</v>
      </c>
      <c r="C2980" s="13" t="s">
        <v>7309</v>
      </c>
      <c r="D2980" s="782"/>
      <c r="E2980" s="22"/>
      <c r="F2980" s="19">
        <v>109040</v>
      </c>
      <c r="G2980" s="14">
        <f t="shared" si="48"/>
        <v>-109040</v>
      </c>
      <c r="H2980" s="771" t="s">
        <v>8458</v>
      </c>
    </row>
    <row r="2981" spans="1:8" hidden="1" x14ac:dyDescent="0.25">
      <c r="A2981" s="116">
        <v>44831</v>
      </c>
      <c r="B2981" s="21" t="s">
        <v>8122</v>
      </c>
      <c r="C2981" s="13" t="s">
        <v>7309</v>
      </c>
      <c r="D2981" s="782"/>
      <c r="E2981" s="22"/>
      <c r="F2981" s="19">
        <v>390960</v>
      </c>
      <c r="G2981" s="14">
        <f t="shared" si="48"/>
        <v>-390960</v>
      </c>
      <c r="H2981" s="771"/>
    </row>
    <row r="2982" spans="1:8" hidden="1" x14ac:dyDescent="0.25">
      <c r="A2982" s="116">
        <v>44833</v>
      </c>
      <c r="B2982" s="21" t="s">
        <v>8122</v>
      </c>
      <c r="C2982" s="13" t="s">
        <v>7538</v>
      </c>
      <c r="D2982" s="782" t="s">
        <v>8544</v>
      </c>
      <c r="E2982" s="22">
        <v>232416</v>
      </c>
      <c r="F2982" s="19"/>
      <c r="G2982" s="14">
        <f t="shared" si="48"/>
        <v>232416</v>
      </c>
      <c r="H2982" s="772"/>
    </row>
    <row r="2983" spans="1:8" hidden="1" x14ac:dyDescent="0.25">
      <c r="A2983" s="116">
        <v>44835</v>
      </c>
      <c r="B2983" s="21" t="s">
        <v>8000</v>
      </c>
      <c r="C2983" s="13" t="s">
        <v>8477</v>
      </c>
      <c r="D2983" s="782"/>
      <c r="E2983" s="22">
        <v>975000</v>
      </c>
      <c r="F2983" s="19"/>
      <c r="G2983" s="14">
        <f t="shared" si="48"/>
        <v>975000</v>
      </c>
      <c r="H2983" s="13" t="s">
        <v>8478</v>
      </c>
    </row>
    <row r="2984" spans="1:8" hidden="1" x14ac:dyDescent="0.25">
      <c r="A2984" s="116">
        <v>44835</v>
      </c>
      <c r="B2984" s="21" t="s">
        <v>8000</v>
      </c>
      <c r="C2984" s="13" t="s">
        <v>7538</v>
      </c>
      <c r="D2984" s="782" t="s">
        <v>8493</v>
      </c>
      <c r="E2984" s="22">
        <v>651281</v>
      </c>
      <c r="F2984" s="19"/>
      <c r="G2984" s="14">
        <f t="shared" si="48"/>
        <v>651281</v>
      </c>
      <c r="H2984" s="13"/>
    </row>
    <row r="2985" spans="1:8" hidden="1" x14ac:dyDescent="0.25">
      <c r="A2985" s="116">
        <v>44835</v>
      </c>
      <c r="B2985" s="21" t="s">
        <v>8000</v>
      </c>
      <c r="C2985" s="13" t="s">
        <v>8479</v>
      </c>
      <c r="D2985" s="782"/>
      <c r="E2985" s="22">
        <v>929240</v>
      </c>
      <c r="F2985" s="19"/>
      <c r="G2985" s="14">
        <f t="shared" ref="G2985:G3013" si="49">E2985-F2985</f>
        <v>929240</v>
      </c>
      <c r="H2985" s="13"/>
    </row>
    <row r="2986" spans="1:8" hidden="1" x14ac:dyDescent="0.25">
      <c r="A2986" s="116">
        <v>44835</v>
      </c>
      <c r="B2986" s="21" t="s">
        <v>8000</v>
      </c>
      <c r="C2986" s="13" t="s">
        <v>440</v>
      </c>
      <c r="D2986" s="782" t="s">
        <v>8494</v>
      </c>
      <c r="E2986" s="22">
        <v>42000</v>
      </c>
      <c r="F2986" s="19"/>
      <c r="G2986" s="14">
        <f t="shared" si="49"/>
        <v>42000</v>
      </c>
      <c r="H2986" s="13"/>
    </row>
    <row r="2987" spans="1:8" hidden="1" x14ac:dyDescent="0.25">
      <c r="A2987" s="116">
        <v>44837</v>
      </c>
      <c r="B2987" s="21" t="s">
        <v>8156</v>
      </c>
      <c r="C2987" s="13" t="s">
        <v>8483</v>
      </c>
      <c r="D2987" s="782" t="s">
        <v>7762</v>
      </c>
      <c r="E2987" s="22">
        <v>9067</v>
      </c>
      <c r="F2987" s="19"/>
      <c r="G2987" s="14">
        <f t="shared" si="49"/>
        <v>9067</v>
      </c>
      <c r="H2987" s="13"/>
    </row>
    <row r="2988" spans="1:8" hidden="1" x14ac:dyDescent="0.25">
      <c r="A2988" s="116">
        <v>44837</v>
      </c>
      <c r="B2988" s="21" t="s">
        <v>8122</v>
      </c>
      <c r="C2988" s="13" t="s">
        <v>8483</v>
      </c>
      <c r="D2988" s="782" t="s">
        <v>8183</v>
      </c>
      <c r="E2988" s="22">
        <v>154641</v>
      </c>
      <c r="F2988" s="19"/>
      <c r="G2988" s="14">
        <f t="shared" si="49"/>
        <v>154641</v>
      </c>
      <c r="H2988" s="13"/>
    </row>
    <row r="2989" spans="1:8" hidden="1" x14ac:dyDescent="0.25">
      <c r="A2989" s="116">
        <v>44837</v>
      </c>
      <c r="B2989" s="21" t="s">
        <v>8000</v>
      </c>
      <c r="C2989" s="13" t="s">
        <v>8483</v>
      </c>
      <c r="D2989" s="782" t="s">
        <v>8486</v>
      </c>
      <c r="E2989" s="22">
        <v>118082</v>
      </c>
      <c r="F2989" s="19"/>
      <c r="G2989" s="14">
        <f t="shared" si="49"/>
        <v>118082</v>
      </c>
      <c r="H2989" s="13"/>
    </row>
    <row r="2990" spans="1:8" s="744" customFormat="1" ht="31.5" hidden="1" x14ac:dyDescent="0.25">
      <c r="A2990" s="116">
        <v>44837</v>
      </c>
      <c r="B2990" s="756" t="s">
        <v>8000</v>
      </c>
      <c r="C2990" s="764" t="s">
        <v>8483</v>
      </c>
      <c r="D2990" s="795"/>
      <c r="E2990" s="765"/>
      <c r="F2990" s="766">
        <v>343867</v>
      </c>
      <c r="G2990" s="767">
        <f t="shared" si="49"/>
        <v>-343867</v>
      </c>
      <c r="H2990" s="771" t="s">
        <v>8487</v>
      </c>
    </row>
    <row r="2991" spans="1:8" hidden="1" x14ac:dyDescent="0.25">
      <c r="A2991" s="116">
        <v>44837</v>
      </c>
      <c r="B2991" s="21" t="s">
        <v>8122</v>
      </c>
      <c r="C2991" s="764" t="s">
        <v>8483</v>
      </c>
      <c r="D2991" s="782"/>
      <c r="E2991" s="22"/>
      <c r="F2991" s="19">
        <v>167000</v>
      </c>
      <c r="G2991" s="767">
        <f t="shared" si="49"/>
        <v>-167000</v>
      </c>
      <c r="H2991" s="13" t="s">
        <v>8488</v>
      </c>
    </row>
    <row r="2992" spans="1:8" hidden="1" x14ac:dyDescent="0.25">
      <c r="A2992" s="116">
        <v>44838</v>
      </c>
      <c r="B2992" s="21" t="s">
        <v>8000</v>
      </c>
      <c r="C2992" s="13" t="s">
        <v>169</v>
      </c>
      <c r="D2992" s="782" t="s">
        <v>8501</v>
      </c>
      <c r="E2992" s="22">
        <v>2400</v>
      </c>
      <c r="F2992" s="19"/>
      <c r="G2992" s="767">
        <f t="shared" si="49"/>
        <v>2400</v>
      </c>
      <c r="H2992" s="13" t="s">
        <v>8502</v>
      </c>
    </row>
    <row r="2993" spans="1:8" hidden="1" x14ac:dyDescent="0.25">
      <c r="A2993" s="116">
        <v>44838</v>
      </c>
      <c r="B2993" s="21" t="s">
        <v>8000</v>
      </c>
      <c r="C2993" s="13" t="s">
        <v>7538</v>
      </c>
      <c r="D2993" s="782" t="s">
        <v>8587</v>
      </c>
      <c r="E2993" s="22">
        <v>14601</v>
      </c>
      <c r="F2993" s="19"/>
      <c r="G2993" s="767">
        <f t="shared" si="49"/>
        <v>14601</v>
      </c>
      <c r="H2993" s="13"/>
    </row>
    <row r="2994" spans="1:8" hidden="1"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hidden="1" x14ac:dyDescent="0.25">
      <c r="A2996" s="116">
        <v>44841</v>
      </c>
      <c r="B2996" s="21" t="s">
        <v>8122</v>
      </c>
      <c r="C2996" s="13" t="s">
        <v>8545</v>
      </c>
      <c r="D2996" s="782" t="s">
        <v>8547</v>
      </c>
      <c r="E2996" s="22">
        <v>120000</v>
      </c>
      <c r="F2996" s="19"/>
      <c r="G2996" s="767">
        <f t="shared" si="49"/>
        <v>120000</v>
      </c>
      <c r="H2996" s="13" t="s">
        <v>8548</v>
      </c>
    </row>
    <row r="2997" spans="1:8" hidden="1" x14ac:dyDescent="0.25">
      <c r="A2997" s="116">
        <v>44845</v>
      </c>
      <c r="B2997" s="21" t="s">
        <v>8426</v>
      </c>
      <c r="C2997" s="13" t="s">
        <v>2212</v>
      </c>
      <c r="D2997" s="782" t="s">
        <v>8560</v>
      </c>
      <c r="E2997" s="22">
        <v>150728</v>
      </c>
      <c r="F2997" s="19"/>
      <c r="G2997" s="767">
        <f t="shared" si="49"/>
        <v>150728</v>
      </c>
      <c r="H2997" s="13" t="s">
        <v>8561</v>
      </c>
    </row>
    <row r="2998" spans="1:8" hidden="1" x14ac:dyDescent="0.25">
      <c r="A2998" s="116">
        <v>44846</v>
      </c>
      <c r="B2998" s="21" t="s">
        <v>8122</v>
      </c>
      <c r="C2998" s="13" t="s">
        <v>8545</v>
      </c>
      <c r="D2998" s="782" t="s">
        <v>8558</v>
      </c>
      <c r="E2998" s="22">
        <v>162000</v>
      </c>
      <c r="F2998" s="19"/>
      <c r="G2998" s="767">
        <f t="shared" si="49"/>
        <v>162000</v>
      </c>
      <c r="H2998" s="13" t="s">
        <v>8559</v>
      </c>
    </row>
    <row r="2999" spans="1:8" hidden="1" x14ac:dyDescent="0.25">
      <c r="A2999" s="116">
        <v>44847</v>
      </c>
      <c r="B2999" s="21" t="s">
        <v>8426</v>
      </c>
      <c r="C2999" s="13" t="s">
        <v>7309</v>
      </c>
      <c r="D2999" s="782"/>
      <c r="E2999" s="22"/>
      <c r="F2999" s="19">
        <v>300000</v>
      </c>
      <c r="G2999" s="767">
        <f t="shared" si="49"/>
        <v>-300000</v>
      </c>
      <c r="H2999" s="13" t="s">
        <v>8571</v>
      </c>
    </row>
    <row r="3000" spans="1:8" hidden="1"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hidden="1" x14ac:dyDescent="0.25">
      <c r="A3002" s="116">
        <v>44848</v>
      </c>
      <c r="B3002" s="21" t="s">
        <v>8000</v>
      </c>
      <c r="C3002" s="13" t="s">
        <v>7985</v>
      </c>
      <c r="D3002" s="782"/>
      <c r="E3002" s="22"/>
      <c r="F3002" s="19">
        <v>213963</v>
      </c>
      <c r="G3002" s="767">
        <f t="shared" si="49"/>
        <v>-213963</v>
      </c>
      <c r="H3002" s="13" t="s">
        <v>8566</v>
      </c>
    </row>
    <row r="3003" spans="1:8" hidden="1" x14ac:dyDescent="0.25">
      <c r="A3003" s="116">
        <v>44848</v>
      </c>
      <c r="B3003" s="21" t="s">
        <v>8122</v>
      </c>
      <c r="C3003" s="13" t="s">
        <v>161</v>
      </c>
      <c r="D3003" s="782"/>
      <c r="E3003" s="22"/>
      <c r="F3003" s="19">
        <v>52499</v>
      </c>
      <c r="G3003" s="767">
        <f t="shared" si="49"/>
        <v>-52499</v>
      </c>
      <c r="H3003" s="13" t="s">
        <v>8566</v>
      </c>
    </row>
    <row r="3004" spans="1:8" hidden="1" x14ac:dyDescent="0.25">
      <c r="A3004" s="116">
        <v>44848</v>
      </c>
      <c r="B3004" s="21" t="s">
        <v>8000</v>
      </c>
      <c r="C3004" s="13" t="s">
        <v>169</v>
      </c>
      <c r="D3004" s="782"/>
      <c r="E3004" s="22"/>
      <c r="F3004" s="19">
        <v>224000</v>
      </c>
      <c r="G3004" s="767">
        <f t="shared" si="49"/>
        <v>-224000</v>
      </c>
      <c r="H3004" s="13" t="s">
        <v>8572</v>
      </c>
    </row>
    <row r="3005" spans="1:8" hidden="1" x14ac:dyDescent="0.25">
      <c r="A3005" s="116">
        <v>44848</v>
      </c>
      <c r="B3005" s="21" t="s">
        <v>8122</v>
      </c>
      <c r="C3005" s="13" t="s">
        <v>5234</v>
      </c>
      <c r="D3005" s="782" t="s">
        <v>8616</v>
      </c>
      <c r="E3005" s="22">
        <v>861760</v>
      </c>
      <c r="F3005" s="19"/>
      <c r="G3005" s="767">
        <f t="shared" si="49"/>
        <v>861760</v>
      </c>
      <c r="H3005" s="13"/>
    </row>
    <row r="3006" spans="1:8" hidden="1" x14ac:dyDescent="0.25">
      <c r="A3006" s="116">
        <v>44849</v>
      </c>
      <c r="B3006" s="21" t="s">
        <v>8000</v>
      </c>
      <c r="C3006" s="13" t="s">
        <v>169</v>
      </c>
      <c r="D3006" s="782" t="s">
        <v>8569</v>
      </c>
      <c r="E3006" s="22">
        <v>30588</v>
      </c>
      <c r="F3006" s="19"/>
      <c r="G3006" s="767">
        <f t="shared" si="49"/>
        <v>30588</v>
      </c>
      <c r="H3006" s="13" t="s">
        <v>8570</v>
      </c>
    </row>
    <row r="3007" spans="1:8" hidden="1" x14ac:dyDescent="0.25">
      <c r="A3007" s="116">
        <v>44850</v>
      </c>
      <c r="B3007" s="21" t="s">
        <v>8156</v>
      </c>
      <c r="C3007" s="13" t="s">
        <v>8301</v>
      </c>
      <c r="D3007" s="782" t="s">
        <v>8646</v>
      </c>
      <c r="E3007" s="22">
        <v>38857</v>
      </c>
      <c r="F3007" s="19"/>
      <c r="G3007" s="767">
        <f t="shared" si="49"/>
        <v>38857</v>
      </c>
      <c r="H3007" s="13"/>
    </row>
    <row r="3008" spans="1:8" hidden="1" x14ac:dyDescent="0.25">
      <c r="A3008" s="116">
        <v>44851</v>
      </c>
      <c r="B3008" s="21" t="s">
        <v>8000</v>
      </c>
      <c r="C3008" s="13" t="s">
        <v>166</v>
      </c>
      <c r="D3008" s="782" t="s">
        <v>8613</v>
      </c>
      <c r="E3008" s="22">
        <v>46700</v>
      </c>
      <c r="F3008" s="19"/>
      <c r="G3008" s="767">
        <f t="shared" si="49"/>
        <v>46700</v>
      </c>
      <c r="H3008" s="13" t="s">
        <v>8614</v>
      </c>
    </row>
    <row r="3009" spans="1:8" hidden="1" x14ac:dyDescent="0.25">
      <c r="A3009" s="116">
        <v>44852</v>
      </c>
      <c r="B3009" s="21" t="s">
        <v>8156</v>
      </c>
      <c r="C3009" s="13" t="s">
        <v>5234</v>
      </c>
      <c r="D3009" s="782" t="s">
        <v>8617</v>
      </c>
      <c r="E3009" s="22">
        <v>63132</v>
      </c>
      <c r="F3009" s="19"/>
      <c r="G3009" s="767">
        <f t="shared" si="49"/>
        <v>63132</v>
      </c>
      <c r="H3009" s="13"/>
    </row>
    <row r="3010" spans="1:8" hidden="1" x14ac:dyDescent="0.25">
      <c r="A3010" s="116">
        <v>44852</v>
      </c>
      <c r="B3010" s="21" t="s">
        <v>8122</v>
      </c>
      <c r="C3010" s="13" t="s">
        <v>7538</v>
      </c>
      <c r="D3010" s="782" t="s">
        <v>8639</v>
      </c>
      <c r="E3010" s="22">
        <v>85219</v>
      </c>
      <c r="F3010" s="19"/>
      <c r="G3010" s="767">
        <f t="shared" si="49"/>
        <v>85219</v>
      </c>
      <c r="H3010" s="13"/>
    </row>
    <row r="3011" spans="1:8" hidden="1" x14ac:dyDescent="0.25">
      <c r="A3011" s="116">
        <v>44854</v>
      </c>
      <c r="B3011" s="21" t="s">
        <v>8122</v>
      </c>
      <c r="C3011" s="13" t="s">
        <v>7538</v>
      </c>
      <c r="D3011" s="782"/>
      <c r="E3011" s="22"/>
      <c r="F3011" s="19">
        <v>300000</v>
      </c>
      <c r="G3011" s="767">
        <f t="shared" si="49"/>
        <v>-300000</v>
      </c>
      <c r="H3011" s="13" t="s">
        <v>8601</v>
      </c>
    </row>
    <row r="3012" spans="1:8" hidden="1" x14ac:dyDescent="0.25">
      <c r="A3012" s="116">
        <v>44854</v>
      </c>
      <c r="B3012" s="21" t="s">
        <v>8122</v>
      </c>
      <c r="C3012" s="13" t="s">
        <v>7538</v>
      </c>
      <c r="D3012" s="782"/>
      <c r="E3012" s="22"/>
      <c r="F3012" s="19">
        <v>460000</v>
      </c>
      <c r="G3012" s="767">
        <f t="shared" si="49"/>
        <v>-460000</v>
      </c>
      <c r="H3012" s="13" t="s">
        <v>8602</v>
      </c>
    </row>
    <row r="3013" spans="1:8" hidden="1" x14ac:dyDescent="0.25">
      <c r="A3013" s="116">
        <v>44854</v>
      </c>
      <c r="B3013" s="21" t="s">
        <v>8122</v>
      </c>
      <c r="C3013" s="13" t="s">
        <v>8545</v>
      </c>
      <c r="D3013" s="782"/>
      <c r="E3013" s="22"/>
      <c r="F3013" s="19">
        <v>200000</v>
      </c>
      <c r="G3013" s="14">
        <f t="shared" si="49"/>
        <v>-200000</v>
      </c>
      <c r="H3013" s="13" t="s">
        <v>8603</v>
      </c>
    </row>
    <row r="3014" spans="1:8" hidden="1" x14ac:dyDescent="0.25">
      <c r="A3014" s="116">
        <v>44854</v>
      </c>
      <c r="B3014" s="21" t="s">
        <v>8122</v>
      </c>
      <c r="C3014" s="13" t="s">
        <v>8483</v>
      </c>
      <c r="D3014" s="782" t="s">
        <v>7763</v>
      </c>
      <c r="E3014" s="22">
        <v>77950</v>
      </c>
      <c r="F3014" s="19"/>
      <c r="G3014" s="14">
        <f t="shared" ref="G3014:G3069" si="50">E3014-F3014</f>
        <v>77950</v>
      </c>
      <c r="H3014" s="13"/>
    </row>
    <row r="3015" spans="1:8" hidden="1" x14ac:dyDescent="0.25">
      <c r="A3015" s="116">
        <v>44854</v>
      </c>
      <c r="B3015" s="21" t="s">
        <v>8000</v>
      </c>
      <c r="C3015" s="13" t="s">
        <v>8483</v>
      </c>
      <c r="D3015" s="782" t="s">
        <v>8618</v>
      </c>
      <c r="E3015" s="22">
        <v>113397</v>
      </c>
      <c r="F3015" s="19"/>
      <c r="G3015" s="14">
        <f t="shared" si="50"/>
        <v>113397</v>
      </c>
      <c r="H3015" s="13"/>
    </row>
    <row r="3016" spans="1:8" hidden="1" x14ac:dyDescent="0.25">
      <c r="A3016" s="116">
        <v>44854</v>
      </c>
      <c r="B3016" s="21" t="s">
        <v>8000</v>
      </c>
      <c r="C3016" s="13" t="s">
        <v>169</v>
      </c>
      <c r="D3016" s="782" t="s">
        <v>8619</v>
      </c>
      <c r="E3016" s="22">
        <v>4000</v>
      </c>
      <c r="F3016" s="19"/>
      <c r="G3016" s="767">
        <f t="shared" si="50"/>
        <v>4000</v>
      </c>
      <c r="H3016" s="13" t="s">
        <v>8620</v>
      </c>
    </row>
    <row r="3017" spans="1:8" hidden="1" x14ac:dyDescent="0.25">
      <c r="A3017" s="116">
        <v>44854</v>
      </c>
      <c r="B3017" s="21" t="s">
        <v>7733</v>
      </c>
      <c r="C3017" s="13" t="s">
        <v>7828</v>
      </c>
      <c r="D3017" s="782"/>
      <c r="E3017" s="22"/>
      <c r="F3017" s="19">
        <v>5950</v>
      </c>
      <c r="G3017" s="767">
        <f t="shared" si="50"/>
        <v>-5950</v>
      </c>
      <c r="H3017" s="13" t="s">
        <v>7955</v>
      </c>
    </row>
    <row r="3018" spans="1:8" hidden="1" x14ac:dyDescent="0.25">
      <c r="A3018" s="116">
        <v>44854</v>
      </c>
      <c r="B3018" s="21" t="s">
        <v>2957</v>
      </c>
      <c r="C3018" s="13" t="s">
        <v>2327</v>
      </c>
      <c r="D3018" s="782"/>
      <c r="E3018" s="22"/>
      <c r="F3018" s="19">
        <v>940</v>
      </c>
      <c r="G3018" s="767">
        <f t="shared" si="50"/>
        <v>-940</v>
      </c>
      <c r="H3018" s="13" t="s">
        <v>7955</v>
      </c>
    </row>
    <row r="3019" spans="1:8" hidden="1" x14ac:dyDescent="0.25">
      <c r="A3019" s="116">
        <v>44854</v>
      </c>
      <c r="B3019" s="21" t="s">
        <v>7811</v>
      </c>
      <c r="C3019" s="13" t="s">
        <v>2327</v>
      </c>
      <c r="D3019" s="782"/>
      <c r="E3019" s="22"/>
      <c r="F3019" s="19">
        <v>620</v>
      </c>
      <c r="G3019" s="767">
        <f t="shared" si="50"/>
        <v>-620</v>
      </c>
      <c r="H3019" s="13" t="s">
        <v>7955</v>
      </c>
    </row>
    <row r="3020" spans="1:8" hidden="1" x14ac:dyDescent="0.25">
      <c r="A3020" s="116">
        <v>44854</v>
      </c>
      <c r="B3020" s="21" t="s">
        <v>8122</v>
      </c>
      <c r="C3020" s="13" t="s">
        <v>8301</v>
      </c>
      <c r="D3020" s="782"/>
      <c r="E3020" s="22"/>
      <c r="F3020" s="19">
        <v>37000</v>
      </c>
      <c r="G3020" s="14">
        <f t="shared" si="50"/>
        <v>-37000</v>
      </c>
      <c r="H3020" s="13" t="s">
        <v>7955</v>
      </c>
    </row>
    <row r="3021" spans="1:8" hidden="1" x14ac:dyDescent="0.25">
      <c r="A3021" s="116">
        <v>44855</v>
      </c>
      <c r="B3021" s="21" t="s">
        <v>8426</v>
      </c>
      <c r="C3021" s="13" t="s">
        <v>7538</v>
      </c>
      <c r="D3021" s="782" t="s">
        <v>8978</v>
      </c>
      <c r="E3021" s="22">
        <v>196262</v>
      </c>
      <c r="F3021" s="19"/>
      <c r="G3021" s="14">
        <f t="shared" si="50"/>
        <v>196262</v>
      </c>
      <c r="H3021" s="13"/>
    </row>
    <row r="3022" spans="1:8" hidden="1" x14ac:dyDescent="0.25">
      <c r="A3022" s="116">
        <v>44858</v>
      </c>
      <c r="B3022" s="21" t="s">
        <v>8122</v>
      </c>
      <c r="C3022" s="13" t="s">
        <v>5234</v>
      </c>
      <c r="D3022" s="782"/>
      <c r="E3022" s="22"/>
      <c r="F3022" s="19">
        <v>300950</v>
      </c>
      <c r="G3022" s="14">
        <f t="shared" si="50"/>
        <v>-300950</v>
      </c>
      <c r="H3022" s="13" t="s">
        <v>8630</v>
      </c>
    </row>
    <row r="3023" spans="1:8" hidden="1" x14ac:dyDescent="0.25">
      <c r="A3023" s="116">
        <v>44859</v>
      </c>
      <c r="B3023" s="21" t="s">
        <v>8000</v>
      </c>
      <c r="C3023" s="13" t="s">
        <v>8483</v>
      </c>
      <c r="D3023" s="782"/>
      <c r="E3023" s="22"/>
      <c r="F3023" s="19">
        <v>200000</v>
      </c>
      <c r="G3023" s="14">
        <f t="shared" si="50"/>
        <v>-200000</v>
      </c>
      <c r="H3023" s="13" t="s">
        <v>8631</v>
      </c>
    </row>
    <row r="3024" spans="1:8" hidden="1" x14ac:dyDescent="0.25">
      <c r="A3024" s="116">
        <v>44859</v>
      </c>
      <c r="B3024" s="21" t="s">
        <v>8000</v>
      </c>
      <c r="C3024" s="13" t="s">
        <v>162</v>
      </c>
      <c r="D3024" s="782" t="s">
        <v>8650</v>
      </c>
      <c r="E3024" s="22">
        <v>27990</v>
      </c>
      <c r="F3024" s="19"/>
      <c r="G3024" s="14">
        <f t="shared" si="50"/>
        <v>27990</v>
      </c>
      <c r="H3024" s="13" t="s">
        <v>8651</v>
      </c>
    </row>
    <row r="3025" spans="1:8" hidden="1" x14ac:dyDescent="0.25">
      <c r="A3025" s="116">
        <v>44859</v>
      </c>
      <c r="B3025" s="21" t="s">
        <v>6562</v>
      </c>
      <c r="C3025" s="13" t="s">
        <v>7943</v>
      </c>
      <c r="D3025" s="782"/>
      <c r="E3025" s="22">
        <v>5000</v>
      </c>
      <c r="F3025" s="19"/>
      <c r="G3025" s="14">
        <f t="shared" si="50"/>
        <v>5000</v>
      </c>
      <c r="H3025" s="13" t="s">
        <v>7955</v>
      </c>
    </row>
    <row r="3026" spans="1:8" hidden="1" x14ac:dyDescent="0.25">
      <c r="A3026" s="116">
        <v>44859</v>
      </c>
      <c r="B3026" s="21" t="s">
        <v>8000</v>
      </c>
      <c r="C3026" s="13" t="s">
        <v>166</v>
      </c>
      <c r="D3026" s="782"/>
      <c r="E3026" s="22"/>
      <c r="F3026" s="19">
        <v>147140</v>
      </c>
      <c r="G3026" s="14">
        <f t="shared" si="50"/>
        <v>-147140</v>
      </c>
      <c r="H3026" s="1198" t="s">
        <v>8634</v>
      </c>
    </row>
    <row r="3027" spans="1:8" hidden="1" x14ac:dyDescent="0.25">
      <c r="A3027" s="116">
        <v>44859</v>
      </c>
      <c r="B3027" s="21" t="s">
        <v>8156</v>
      </c>
      <c r="C3027" s="13" t="s">
        <v>166</v>
      </c>
      <c r="D3027" s="782"/>
      <c r="E3027" s="22"/>
      <c r="F3027" s="19">
        <v>31200</v>
      </c>
      <c r="G3027" s="14">
        <f t="shared" si="50"/>
        <v>-31200</v>
      </c>
      <c r="H3027" s="1198"/>
    </row>
    <row r="3028" spans="1:8" hidden="1" x14ac:dyDescent="0.25">
      <c r="A3028" s="116">
        <v>44859</v>
      </c>
      <c r="B3028" s="21" t="s">
        <v>8653</v>
      </c>
      <c r="C3028" s="13" t="s">
        <v>166</v>
      </c>
      <c r="D3028" s="782"/>
      <c r="E3028" s="22"/>
      <c r="F3028" s="19">
        <v>109718</v>
      </c>
      <c r="G3028" s="14">
        <f t="shared" si="50"/>
        <v>-109718</v>
      </c>
      <c r="H3028" s="1198"/>
    </row>
    <row r="3029" spans="1:8" hidden="1" x14ac:dyDescent="0.25">
      <c r="A3029" s="116">
        <v>44860</v>
      </c>
      <c r="B3029" s="21" t="s">
        <v>6562</v>
      </c>
      <c r="C3029" s="13" t="s">
        <v>2212</v>
      </c>
      <c r="D3029" s="782" t="s">
        <v>8678</v>
      </c>
      <c r="E3029" s="22">
        <v>23920</v>
      </c>
      <c r="F3029" s="19"/>
      <c r="G3029" s="14">
        <f t="shared" si="50"/>
        <v>23920</v>
      </c>
      <c r="H3029" s="758"/>
    </row>
    <row r="3030" spans="1:8" hidden="1" x14ac:dyDescent="0.25">
      <c r="A3030" s="116">
        <v>44860</v>
      </c>
      <c r="B3030" s="21" t="s">
        <v>1407</v>
      </c>
      <c r="C3030" s="13" t="s">
        <v>2212</v>
      </c>
      <c r="D3030" s="782"/>
      <c r="E3030" s="22"/>
      <c r="F3030" s="19"/>
      <c r="G3030" s="14">
        <f t="shared" si="50"/>
        <v>0</v>
      </c>
      <c r="H3030" s="13"/>
    </row>
    <row r="3031" spans="1:8" hidden="1" x14ac:dyDescent="0.25">
      <c r="A3031" s="116">
        <v>44860</v>
      </c>
      <c r="B3031" s="21" t="s">
        <v>8426</v>
      </c>
      <c r="C3031" s="13" t="s">
        <v>2212</v>
      </c>
      <c r="D3031" s="782"/>
      <c r="E3031" s="22"/>
      <c r="F3031" s="19">
        <v>728</v>
      </c>
      <c r="G3031" s="14">
        <f t="shared" si="50"/>
        <v>-728</v>
      </c>
      <c r="H3031" s="13" t="s">
        <v>7955</v>
      </c>
    </row>
    <row r="3032" spans="1:8" hidden="1" x14ac:dyDescent="0.25">
      <c r="A3032" s="116">
        <v>44860</v>
      </c>
      <c r="B3032" s="21" t="s">
        <v>8426</v>
      </c>
      <c r="C3032" s="13" t="s">
        <v>2212</v>
      </c>
      <c r="D3032" s="782"/>
      <c r="E3032" s="22"/>
      <c r="F3032" s="19">
        <v>150000</v>
      </c>
      <c r="G3032" s="14">
        <f t="shared" si="50"/>
        <v>-150000</v>
      </c>
      <c r="H3032" s="1223" t="s">
        <v>8648</v>
      </c>
    </row>
    <row r="3033" spans="1:8" hidden="1" x14ac:dyDescent="0.25">
      <c r="A3033" s="116">
        <v>44860</v>
      </c>
      <c r="B3033" s="21" t="s">
        <v>6562</v>
      </c>
      <c r="C3033" s="13" t="s">
        <v>2212</v>
      </c>
      <c r="D3033" s="782"/>
      <c r="E3033" s="22"/>
      <c r="F3033" s="19">
        <v>23920</v>
      </c>
      <c r="G3033" s="14">
        <f t="shared" si="50"/>
        <v>-23920</v>
      </c>
      <c r="H3033" s="1223"/>
    </row>
    <row r="3034" spans="1:8" hidden="1" x14ac:dyDescent="0.25">
      <c r="A3034" s="116">
        <v>44860</v>
      </c>
      <c r="B3034" s="21" t="s">
        <v>8653</v>
      </c>
      <c r="C3034" s="13" t="s">
        <v>2212</v>
      </c>
      <c r="D3034" s="782"/>
      <c r="E3034" s="22"/>
      <c r="F3034" s="19">
        <v>11080</v>
      </c>
      <c r="G3034" s="14">
        <f t="shared" si="50"/>
        <v>-11080</v>
      </c>
      <c r="H3034" s="1223"/>
    </row>
    <row r="3035" spans="1:8" hidden="1" x14ac:dyDescent="0.25">
      <c r="A3035" s="116">
        <v>44860</v>
      </c>
      <c r="B3035" s="21" t="s">
        <v>8653</v>
      </c>
      <c r="C3035" s="13" t="s">
        <v>166</v>
      </c>
      <c r="D3035" s="782" t="s">
        <v>8674</v>
      </c>
      <c r="E3035" s="22">
        <v>125000</v>
      </c>
      <c r="F3035" s="19"/>
      <c r="G3035" s="14">
        <f t="shared" si="50"/>
        <v>125000</v>
      </c>
      <c r="H3035" s="772" t="s">
        <v>8676</v>
      </c>
    </row>
    <row r="3036" spans="1:8" hidden="1" x14ac:dyDescent="0.25">
      <c r="A3036" s="116">
        <v>44860</v>
      </c>
      <c r="B3036" s="21" t="s">
        <v>8000</v>
      </c>
      <c r="C3036" s="13" t="s">
        <v>8545</v>
      </c>
      <c r="D3036" s="782" t="s">
        <v>8837</v>
      </c>
      <c r="E3036" s="22">
        <v>42000</v>
      </c>
      <c r="F3036" s="19"/>
      <c r="G3036" s="14">
        <f t="shared" si="50"/>
        <v>42000</v>
      </c>
      <c r="H3036" s="772" t="s">
        <v>8838</v>
      </c>
    </row>
    <row r="3037" spans="1:8" hidden="1" x14ac:dyDescent="0.25">
      <c r="A3037" s="116">
        <v>44862</v>
      </c>
      <c r="B3037" s="21" t="s">
        <v>8000</v>
      </c>
      <c r="C3037" s="13" t="s">
        <v>166</v>
      </c>
      <c r="D3037" s="782" t="s">
        <v>8675</v>
      </c>
      <c r="E3037" s="22">
        <v>25000</v>
      </c>
      <c r="F3037" s="19"/>
      <c r="G3037" s="14">
        <f t="shared" si="50"/>
        <v>25000</v>
      </c>
      <c r="H3037" s="772" t="s">
        <v>8677</v>
      </c>
    </row>
    <row r="3038" spans="1:8" hidden="1" x14ac:dyDescent="0.25">
      <c r="A3038" s="116">
        <v>44861</v>
      </c>
      <c r="B3038" s="21" t="s">
        <v>8032</v>
      </c>
      <c r="C3038" s="13" t="s">
        <v>8033</v>
      </c>
      <c r="D3038" s="782"/>
      <c r="E3038" s="22"/>
      <c r="F3038" s="19">
        <v>495000</v>
      </c>
      <c r="G3038" s="14">
        <f t="shared" si="50"/>
        <v>-495000</v>
      </c>
      <c r="H3038" s="13" t="s">
        <v>8643</v>
      </c>
    </row>
    <row r="3039" spans="1:8" hidden="1" x14ac:dyDescent="0.25">
      <c r="A3039" s="116">
        <v>44861</v>
      </c>
      <c r="B3039" s="21" t="s">
        <v>8122</v>
      </c>
      <c r="C3039" s="13" t="s">
        <v>3039</v>
      </c>
      <c r="D3039" s="782"/>
      <c r="E3039" s="22"/>
      <c r="F3039" s="19">
        <v>150000</v>
      </c>
      <c r="G3039" s="14">
        <f t="shared" si="50"/>
        <v>-150000</v>
      </c>
      <c r="H3039" s="13" t="s">
        <v>8647</v>
      </c>
    </row>
    <row r="3040" spans="1:8" hidden="1" x14ac:dyDescent="0.25">
      <c r="A3040" s="116">
        <v>44862</v>
      </c>
      <c r="B3040" s="21" t="s">
        <v>8426</v>
      </c>
      <c r="C3040" s="13" t="s">
        <v>7309</v>
      </c>
      <c r="D3040" s="782"/>
      <c r="E3040" s="22"/>
      <c r="F3040" s="19">
        <v>192000</v>
      </c>
      <c r="G3040" s="14">
        <f t="shared" si="50"/>
        <v>-192000</v>
      </c>
      <c r="H3040" s="13" t="s">
        <v>8649</v>
      </c>
    </row>
    <row r="3041" spans="1:8" hidden="1" x14ac:dyDescent="0.25">
      <c r="A3041" s="116">
        <v>44863</v>
      </c>
      <c r="B3041" s="21" t="s">
        <v>8625</v>
      </c>
      <c r="C3041" s="13" t="s">
        <v>166</v>
      </c>
      <c r="D3041" s="782" t="s">
        <v>8749</v>
      </c>
      <c r="E3041" s="22">
        <v>24000</v>
      </c>
      <c r="F3041" s="19"/>
      <c r="G3041" s="14">
        <f t="shared" si="50"/>
        <v>24000</v>
      </c>
      <c r="H3041" s="13" t="s">
        <v>8748</v>
      </c>
    </row>
    <row r="3042" spans="1:8" hidden="1" x14ac:dyDescent="0.25">
      <c r="A3042" s="116">
        <v>44865</v>
      </c>
      <c r="B3042" s="21" t="s">
        <v>8653</v>
      </c>
      <c r="C3042" s="13" t="s">
        <v>8483</v>
      </c>
      <c r="D3042" s="782" t="s">
        <v>7830</v>
      </c>
      <c r="E3042" s="22">
        <v>315599</v>
      </c>
      <c r="F3042" s="19"/>
      <c r="G3042" s="14">
        <f t="shared" si="50"/>
        <v>315599</v>
      </c>
      <c r="H3042" s="13"/>
    </row>
    <row r="3043" spans="1:8" hidden="1" x14ac:dyDescent="0.25">
      <c r="A3043" s="116">
        <v>44865</v>
      </c>
      <c r="B3043" s="21" t="s">
        <v>8122</v>
      </c>
      <c r="C3043" s="13" t="s">
        <v>8483</v>
      </c>
      <c r="D3043" s="782" t="s">
        <v>7893</v>
      </c>
      <c r="E3043" s="22">
        <v>17676</v>
      </c>
      <c r="F3043" s="19"/>
      <c r="G3043" s="14">
        <f t="shared" si="50"/>
        <v>17676</v>
      </c>
      <c r="H3043" s="13"/>
    </row>
    <row r="3044" spans="1:8" hidden="1" x14ac:dyDescent="0.25">
      <c r="A3044" s="116">
        <v>44865</v>
      </c>
      <c r="B3044" s="21" t="s">
        <v>8000</v>
      </c>
      <c r="C3044" s="13" t="s">
        <v>8483</v>
      </c>
      <c r="D3044" s="782" t="s">
        <v>8685</v>
      </c>
      <c r="E3044" s="22">
        <v>8421</v>
      </c>
      <c r="F3044" s="19"/>
      <c r="G3044" s="14">
        <f t="shared" si="50"/>
        <v>8421</v>
      </c>
      <c r="H3044" s="13"/>
    </row>
    <row r="3045" spans="1:8" hidden="1" x14ac:dyDescent="0.25">
      <c r="A3045" s="116">
        <v>44865</v>
      </c>
      <c r="B3045" s="21" t="s">
        <v>8625</v>
      </c>
      <c r="C3045" s="13" t="s">
        <v>8483</v>
      </c>
      <c r="D3045" s="782" t="s">
        <v>8125</v>
      </c>
      <c r="E3045" s="22">
        <v>112292</v>
      </c>
      <c r="F3045" s="19"/>
      <c r="G3045" s="14">
        <f t="shared" si="50"/>
        <v>112292</v>
      </c>
      <c r="H3045" s="13"/>
    </row>
    <row r="3046" spans="1:8" hidden="1" x14ac:dyDescent="0.25">
      <c r="A3046" s="116">
        <v>44865</v>
      </c>
      <c r="B3046" s="21" t="s">
        <v>1407</v>
      </c>
      <c r="C3046" s="13" t="s">
        <v>7309</v>
      </c>
      <c r="D3046" s="782"/>
      <c r="E3046" s="22"/>
      <c r="F3046" s="19">
        <v>50000</v>
      </c>
      <c r="G3046" s="14">
        <f t="shared" si="50"/>
        <v>-50000</v>
      </c>
      <c r="H3046" s="13" t="s">
        <v>1164</v>
      </c>
    </row>
    <row r="3047" spans="1:8" hidden="1" x14ac:dyDescent="0.25">
      <c r="A3047" s="116">
        <v>44866</v>
      </c>
      <c r="B3047" s="21" t="s">
        <v>6562</v>
      </c>
      <c r="C3047" s="13" t="s">
        <v>164</v>
      </c>
      <c r="D3047" s="782" t="s">
        <v>8299</v>
      </c>
      <c r="E3047" s="22">
        <v>7017</v>
      </c>
      <c r="F3047" s="19"/>
      <c r="G3047" s="14">
        <f t="shared" si="50"/>
        <v>7017</v>
      </c>
      <c r="H3047" s="13"/>
    </row>
    <row r="3048" spans="1:8" hidden="1" x14ac:dyDescent="0.25">
      <c r="A3048" s="116">
        <v>44866</v>
      </c>
      <c r="B3048" s="21" t="s">
        <v>8653</v>
      </c>
      <c r="C3048" s="13" t="s">
        <v>2212</v>
      </c>
      <c r="D3048" s="782" t="s">
        <v>8681</v>
      </c>
      <c r="E3048" s="22">
        <v>27000</v>
      </c>
      <c r="F3048" s="19"/>
      <c r="G3048" s="14">
        <f t="shared" si="50"/>
        <v>27000</v>
      </c>
      <c r="H3048" s="13"/>
    </row>
    <row r="3049" spans="1:8" hidden="1" x14ac:dyDescent="0.25">
      <c r="A3049" s="116">
        <v>44866</v>
      </c>
      <c r="B3049" s="21" t="s">
        <v>3979</v>
      </c>
      <c r="C3049" s="13" t="s">
        <v>7587</v>
      </c>
      <c r="D3049" s="782"/>
      <c r="E3049" s="22"/>
      <c r="F3049" s="19">
        <v>350000</v>
      </c>
      <c r="G3049" s="14">
        <f t="shared" si="50"/>
        <v>-350000</v>
      </c>
      <c r="H3049" s="13" t="s">
        <v>8689</v>
      </c>
    </row>
    <row r="3050" spans="1:8" hidden="1" x14ac:dyDescent="0.25">
      <c r="A3050" s="116">
        <v>44867</v>
      </c>
      <c r="B3050" s="21" t="s">
        <v>8156</v>
      </c>
      <c r="C3050" s="13" t="s">
        <v>8483</v>
      </c>
      <c r="D3050" s="782" t="s">
        <v>8126</v>
      </c>
      <c r="E3050" s="22">
        <v>4429</v>
      </c>
      <c r="F3050" s="19"/>
      <c r="G3050" s="14">
        <f t="shared" si="50"/>
        <v>4429</v>
      </c>
      <c r="H3050" s="13"/>
    </row>
    <row r="3051" spans="1:8" hidden="1" x14ac:dyDescent="0.25">
      <c r="A3051" s="116">
        <v>44867</v>
      </c>
      <c r="B3051" s="21" t="s">
        <v>8000</v>
      </c>
      <c r="C3051" s="13" t="s">
        <v>5234</v>
      </c>
      <c r="D3051" s="782" t="s">
        <v>8683</v>
      </c>
      <c r="E3051" s="22">
        <v>37944</v>
      </c>
      <c r="F3051" s="19"/>
      <c r="G3051" s="14">
        <f t="shared" si="50"/>
        <v>37944</v>
      </c>
      <c r="H3051" s="13" t="s">
        <v>8684</v>
      </c>
    </row>
    <row r="3052" spans="1:8" hidden="1" x14ac:dyDescent="0.25">
      <c r="A3052" s="116">
        <v>44868</v>
      </c>
      <c r="B3052" s="21" t="s">
        <v>8426</v>
      </c>
      <c r="C3052" s="13" t="s">
        <v>7309</v>
      </c>
      <c r="D3052" s="782" t="s">
        <v>8682</v>
      </c>
      <c r="E3052" s="22">
        <v>1054245</v>
      </c>
      <c r="F3052" s="19"/>
      <c r="G3052" s="14">
        <f t="shared" si="50"/>
        <v>1054245</v>
      </c>
      <c r="H3052" s="13"/>
    </row>
    <row r="3053" spans="1:8" hidden="1" x14ac:dyDescent="0.25">
      <c r="A3053" s="116">
        <v>44869</v>
      </c>
      <c r="B3053" s="21" t="s">
        <v>8156</v>
      </c>
      <c r="C3053" s="13" t="s">
        <v>8301</v>
      </c>
      <c r="D3053" s="782"/>
      <c r="E3053" s="22"/>
      <c r="F3053" s="19">
        <v>28000</v>
      </c>
      <c r="G3053" s="14">
        <f t="shared" si="50"/>
        <v>-28000</v>
      </c>
      <c r="H3053" s="78" t="s">
        <v>7997</v>
      </c>
    </row>
    <row r="3054" spans="1:8" hidden="1" x14ac:dyDescent="0.25">
      <c r="A3054" s="116">
        <v>44870</v>
      </c>
      <c r="B3054" s="21" t="s">
        <v>8426</v>
      </c>
      <c r="C3054" s="13" t="s">
        <v>7309</v>
      </c>
      <c r="D3054" s="782"/>
      <c r="E3054" s="22"/>
      <c r="F3054" s="19">
        <v>200000</v>
      </c>
      <c r="G3054" s="14">
        <f t="shared" si="50"/>
        <v>-200000</v>
      </c>
      <c r="H3054" s="13" t="s">
        <v>8719</v>
      </c>
    </row>
    <row r="3055" spans="1:8" hidden="1" x14ac:dyDescent="0.25">
      <c r="A3055" s="116">
        <v>44870</v>
      </c>
      <c r="B3055" s="21" t="s">
        <v>8426</v>
      </c>
      <c r="C3055" s="13" t="s">
        <v>7309</v>
      </c>
      <c r="D3055" s="782"/>
      <c r="E3055" s="22"/>
      <c r="F3055" s="19">
        <v>100000</v>
      </c>
      <c r="G3055" s="14">
        <f t="shared" si="50"/>
        <v>-100000</v>
      </c>
      <c r="H3055" s="13" t="s">
        <v>8720</v>
      </c>
    </row>
    <row r="3056" spans="1:8" hidden="1" x14ac:dyDescent="0.25">
      <c r="A3056" s="116">
        <v>44870</v>
      </c>
      <c r="B3056" s="21" t="s">
        <v>8426</v>
      </c>
      <c r="C3056" s="13" t="s">
        <v>7309</v>
      </c>
      <c r="D3056" s="782"/>
      <c r="E3056" s="22"/>
      <c r="F3056" s="19">
        <v>278000</v>
      </c>
      <c r="G3056" s="14">
        <f t="shared" si="50"/>
        <v>-278000</v>
      </c>
      <c r="H3056" s="726" t="s">
        <v>8730</v>
      </c>
    </row>
    <row r="3057" spans="1:8" hidden="1" x14ac:dyDescent="0.25">
      <c r="A3057" s="116">
        <v>44872</v>
      </c>
      <c r="B3057" s="21" t="s">
        <v>8156</v>
      </c>
      <c r="C3057" s="13" t="s">
        <v>162</v>
      </c>
      <c r="D3057" s="782" t="s">
        <v>8721</v>
      </c>
      <c r="E3057" s="22">
        <v>17510</v>
      </c>
      <c r="F3057" s="19"/>
      <c r="G3057" s="14">
        <f t="shared" si="50"/>
        <v>17510</v>
      </c>
      <c r="H3057" s="13"/>
    </row>
    <row r="3058" spans="1:8" hidden="1" x14ac:dyDescent="0.25">
      <c r="A3058" s="116">
        <v>44872</v>
      </c>
      <c r="B3058" s="21" t="s">
        <v>7811</v>
      </c>
      <c r="C3058" s="13" t="s">
        <v>162</v>
      </c>
      <c r="D3058" s="782"/>
      <c r="E3058" s="22"/>
      <c r="F3058" s="19">
        <v>15000</v>
      </c>
      <c r="G3058" s="14">
        <f t="shared" si="50"/>
        <v>-15000</v>
      </c>
      <c r="H3058" s="1188" t="s">
        <v>8722</v>
      </c>
    </row>
    <row r="3059" spans="1:8" hidden="1" x14ac:dyDescent="0.25">
      <c r="A3059" s="116">
        <v>44872</v>
      </c>
      <c r="B3059" s="21" t="s">
        <v>7896</v>
      </c>
      <c r="C3059" s="13" t="s">
        <v>162</v>
      </c>
      <c r="D3059" s="782"/>
      <c r="E3059" s="22"/>
      <c r="F3059" s="19">
        <v>35000</v>
      </c>
      <c r="G3059" s="14">
        <f t="shared" si="50"/>
        <v>-35000</v>
      </c>
      <c r="H3059" s="1188"/>
    </row>
    <row r="3060" spans="1:8" hidden="1" x14ac:dyDescent="0.25">
      <c r="A3060" s="116">
        <v>44872</v>
      </c>
      <c r="B3060" s="21" t="s">
        <v>8000</v>
      </c>
      <c r="C3060" s="13" t="s">
        <v>162</v>
      </c>
      <c r="D3060" s="782"/>
      <c r="E3060" s="22"/>
      <c r="F3060" s="19">
        <v>26000</v>
      </c>
      <c r="G3060" s="14">
        <f t="shared" si="50"/>
        <v>-26000</v>
      </c>
      <c r="H3060" s="1188"/>
    </row>
    <row r="3061" spans="1:8" hidden="1" x14ac:dyDescent="0.25">
      <c r="A3061" s="116">
        <v>44872</v>
      </c>
      <c r="B3061" s="21" t="s">
        <v>8156</v>
      </c>
      <c r="C3061" s="13" t="s">
        <v>162</v>
      </c>
      <c r="D3061" s="782"/>
      <c r="E3061" s="22"/>
      <c r="F3061" s="19">
        <v>32000</v>
      </c>
      <c r="G3061" s="14">
        <f t="shared" si="50"/>
        <v>-32000</v>
      </c>
      <c r="H3061" s="1188"/>
    </row>
    <row r="3062" spans="1:8" hidden="1" x14ac:dyDescent="0.25">
      <c r="A3062" s="116">
        <v>44872</v>
      </c>
      <c r="B3062" s="21" t="s">
        <v>7811</v>
      </c>
      <c r="C3062" s="13" t="s">
        <v>162</v>
      </c>
      <c r="D3062" s="782"/>
      <c r="E3062" s="22"/>
      <c r="F3062" s="19">
        <v>3000</v>
      </c>
      <c r="G3062" s="14">
        <f t="shared" si="50"/>
        <v>-3000</v>
      </c>
      <c r="H3062" s="13" t="s">
        <v>7955</v>
      </c>
    </row>
    <row r="3063" spans="1:8" hidden="1" x14ac:dyDescent="0.25">
      <c r="A3063" s="116">
        <v>44872</v>
      </c>
      <c r="B3063" s="21" t="s">
        <v>7896</v>
      </c>
      <c r="C3063" s="13" t="s">
        <v>162</v>
      </c>
      <c r="D3063" s="782"/>
      <c r="E3063" s="22"/>
      <c r="F3063" s="19">
        <v>1000</v>
      </c>
      <c r="G3063" s="14">
        <f t="shared" si="50"/>
        <v>-1000</v>
      </c>
      <c r="H3063" s="13" t="s">
        <v>7955</v>
      </c>
    </row>
    <row r="3064" spans="1:8" hidden="1" x14ac:dyDescent="0.25">
      <c r="A3064" s="116">
        <v>44872</v>
      </c>
      <c r="B3064" s="21" t="s">
        <v>8000</v>
      </c>
      <c r="C3064" s="13" t="s">
        <v>162</v>
      </c>
      <c r="D3064" s="782"/>
      <c r="E3064" s="22"/>
      <c r="F3064" s="19">
        <v>1990</v>
      </c>
      <c r="G3064" s="14">
        <f t="shared" si="50"/>
        <v>-1990</v>
      </c>
      <c r="H3064" s="13" t="s">
        <v>7955</v>
      </c>
    </row>
    <row r="3065" spans="1:8" hidden="1" x14ac:dyDescent="0.25">
      <c r="A3065" s="116">
        <v>44872</v>
      </c>
      <c r="B3065" s="21" t="s">
        <v>8156</v>
      </c>
      <c r="C3065" s="13" t="s">
        <v>162</v>
      </c>
      <c r="D3065" s="782"/>
      <c r="E3065" s="22"/>
      <c r="F3065" s="19">
        <v>3020</v>
      </c>
      <c r="G3065" s="14">
        <f t="shared" si="50"/>
        <v>-3020</v>
      </c>
      <c r="H3065" s="13" t="s">
        <v>7955</v>
      </c>
    </row>
    <row r="3066" spans="1:8" hidden="1" x14ac:dyDescent="0.25">
      <c r="A3066" s="116">
        <v>44873</v>
      </c>
      <c r="B3066" s="21" t="s">
        <v>8426</v>
      </c>
      <c r="C3066" s="13" t="s">
        <v>2212</v>
      </c>
      <c r="D3066" s="782" t="s">
        <v>8746</v>
      </c>
      <c r="E3066" s="22">
        <v>90000</v>
      </c>
      <c r="F3066" s="19"/>
      <c r="G3066" s="14">
        <f t="shared" si="50"/>
        <v>90000</v>
      </c>
      <c r="H3066" s="13" t="s">
        <v>8747</v>
      </c>
    </row>
    <row r="3067" spans="1:8" hidden="1" x14ac:dyDescent="0.25">
      <c r="A3067" s="116">
        <v>44876</v>
      </c>
      <c r="B3067" s="21" t="s">
        <v>8032</v>
      </c>
      <c r="C3067" s="13" t="s">
        <v>8033</v>
      </c>
      <c r="D3067" s="782"/>
      <c r="E3067" s="22"/>
      <c r="F3067" s="19">
        <v>300000</v>
      </c>
      <c r="G3067" s="14">
        <f t="shared" si="50"/>
        <v>-300000</v>
      </c>
      <c r="H3067" s="13" t="s">
        <v>8727</v>
      </c>
    </row>
    <row r="3068" spans="1:8" hidden="1" x14ac:dyDescent="0.25">
      <c r="A3068" s="116">
        <v>44876</v>
      </c>
      <c r="B3068" s="21" t="s">
        <v>8000</v>
      </c>
      <c r="C3068" s="13" t="s">
        <v>164</v>
      </c>
      <c r="D3068" s="782"/>
      <c r="E3068" s="22"/>
      <c r="F3068" s="19">
        <v>50000</v>
      </c>
      <c r="G3068" s="14">
        <f t="shared" si="50"/>
        <v>-50000</v>
      </c>
      <c r="H3068" s="13" t="s">
        <v>1164</v>
      </c>
    </row>
    <row r="3069" spans="1:8" hidden="1" x14ac:dyDescent="0.25">
      <c r="A3069" s="116">
        <v>44879</v>
      </c>
      <c r="B3069" s="21" t="s">
        <v>8426</v>
      </c>
      <c r="C3069" s="13" t="s">
        <v>169</v>
      </c>
      <c r="D3069" s="782" t="s">
        <v>8750</v>
      </c>
      <c r="E3069" s="22">
        <v>57500</v>
      </c>
      <c r="F3069" s="19"/>
      <c r="G3069" s="14">
        <f t="shared" si="50"/>
        <v>57500</v>
      </c>
      <c r="H3069" s="13" t="s">
        <v>8751</v>
      </c>
    </row>
    <row r="3070" spans="1:8" hidden="1" x14ac:dyDescent="0.25">
      <c r="A3070" s="116">
        <v>44879</v>
      </c>
      <c r="B3070" s="21" t="s">
        <v>8156</v>
      </c>
      <c r="C3070" s="13" t="s">
        <v>8301</v>
      </c>
      <c r="D3070" s="782"/>
      <c r="E3070" s="22"/>
      <c r="F3070" s="19">
        <v>10857</v>
      </c>
      <c r="G3070" s="14">
        <f t="shared" ref="G3070:G3330" si="51">E3070-F3070</f>
        <v>-10857</v>
      </c>
      <c r="H3070" s="13"/>
    </row>
    <row r="3071" spans="1:8" hidden="1" x14ac:dyDescent="0.25">
      <c r="A3071" s="116">
        <v>44880</v>
      </c>
      <c r="B3071" s="21" t="s">
        <v>8653</v>
      </c>
      <c r="C3071" s="13" t="s">
        <v>2212</v>
      </c>
      <c r="D3071" s="782" t="s">
        <v>8778</v>
      </c>
      <c r="E3071" s="22">
        <v>2530</v>
      </c>
      <c r="F3071" s="19"/>
      <c r="G3071" s="14">
        <f t="shared" si="51"/>
        <v>2530</v>
      </c>
      <c r="H3071" s="13" t="s">
        <v>8779</v>
      </c>
    </row>
    <row r="3072" spans="1:8" hidden="1" x14ac:dyDescent="0.25">
      <c r="A3072" s="116">
        <v>44881</v>
      </c>
      <c r="B3072" s="21" t="s">
        <v>8122</v>
      </c>
      <c r="C3072" s="13" t="s">
        <v>5234</v>
      </c>
      <c r="D3072" s="782" t="s">
        <v>8769</v>
      </c>
      <c r="E3072" s="22">
        <v>93600</v>
      </c>
      <c r="F3072" s="19"/>
      <c r="G3072" s="14">
        <f t="shared" si="51"/>
        <v>93600</v>
      </c>
      <c r="H3072" s="13" t="s">
        <v>8770</v>
      </c>
    </row>
    <row r="3073" spans="1:8" hidden="1" x14ac:dyDescent="0.25">
      <c r="A3073" s="116">
        <v>44881</v>
      </c>
      <c r="B3073" s="21" t="s">
        <v>8122</v>
      </c>
      <c r="C3073" s="13" t="s">
        <v>5234</v>
      </c>
      <c r="D3073" s="782"/>
      <c r="E3073" s="22"/>
      <c r="F3073" s="19">
        <v>93600</v>
      </c>
      <c r="G3073" s="14">
        <f t="shared" si="51"/>
        <v>-93600</v>
      </c>
      <c r="H3073" s="13" t="s">
        <v>8772</v>
      </c>
    </row>
    <row r="3074" spans="1:8" hidden="1" x14ac:dyDescent="0.25">
      <c r="A3074" s="116">
        <v>44881</v>
      </c>
      <c r="B3074" s="21" t="s">
        <v>8752</v>
      </c>
      <c r="C3074" s="13" t="s">
        <v>8483</v>
      </c>
      <c r="D3074" s="782" t="s">
        <v>8124</v>
      </c>
      <c r="E3074" s="22">
        <v>472224</v>
      </c>
      <c r="F3074" s="19"/>
      <c r="G3074" s="14">
        <f t="shared" si="51"/>
        <v>472224</v>
      </c>
      <c r="H3074" s="13"/>
    </row>
    <row r="3075" spans="1:8" hidden="1" x14ac:dyDescent="0.25">
      <c r="A3075" s="116">
        <v>44881</v>
      </c>
      <c r="B3075" s="21" t="s">
        <v>8426</v>
      </c>
      <c r="C3075" s="13" t="s">
        <v>169</v>
      </c>
      <c r="D3075" s="782" t="s">
        <v>8828</v>
      </c>
      <c r="E3075" s="22">
        <v>13900</v>
      </c>
      <c r="F3075" s="19"/>
      <c r="G3075" s="14">
        <f t="shared" si="51"/>
        <v>13900</v>
      </c>
      <c r="H3075" s="13" t="s">
        <v>8829</v>
      </c>
    </row>
    <row r="3076" spans="1:8" hidden="1"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hidden="1" x14ac:dyDescent="0.25">
      <c r="A3078" s="116">
        <v>44882</v>
      </c>
      <c r="B3078" s="21" t="s">
        <v>7896</v>
      </c>
      <c r="C3078" s="13" t="s">
        <v>161</v>
      </c>
      <c r="D3078" s="782"/>
      <c r="E3078" s="22"/>
      <c r="F3078" s="19">
        <v>9000</v>
      </c>
      <c r="G3078" s="14">
        <f t="shared" si="51"/>
        <v>-9000</v>
      </c>
      <c r="H3078" s="1188" t="s">
        <v>8771</v>
      </c>
    </row>
    <row r="3079" spans="1:8" hidden="1" x14ac:dyDescent="0.25">
      <c r="A3079" s="116">
        <v>44882</v>
      </c>
      <c r="B3079" s="21" t="s">
        <v>8122</v>
      </c>
      <c r="C3079" s="13" t="s">
        <v>161</v>
      </c>
      <c r="D3079" s="782"/>
      <c r="E3079" s="22"/>
      <c r="F3079" s="19">
        <v>60000</v>
      </c>
      <c r="G3079" s="14">
        <f t="shared" si="51"/>
        <v>-60000</v>
      </c>
      <c r="H3079" s="1188"/>
    </row>
    <row r="3080" spans="1:8" hidden="1" x14ac:dyDescent="0.25">
      <c r="A3080" s="116">
        <v>44882</v>
      </c>
      <c r="B3080" s="21" t="s">
        <v>7896</v>
      </c>
      <c r="C3080" s="13" t="s">
        <v>161</v>
      </c>
      <c r="D3080" s="782"/>
      <c r="E3080" s="22"/>
      <c r="F3080" s="19">
        <v>95</v>
      </c>
      <c r="G3080" s="14">
        <f t="shared" si="51"/>
        <v>-95</v>
      </c>
      <c r="H3080" s="1188" t="s">
        <v>5019</v>
      </c>
    </row>
    <row r="3081" spans="1:8" hidden="1" x14ac:dyDescent="0.25">
      <c r="A3081" s="116">
        <v>44882</v>
      </c>
      <c r="B3081" s="21" t="s">
        <v>8122</v>
      </c>
      <c r="C3081" s="13" t="s">
        <v>161</v>
      </c>
      <c r="D3081" s="782"/>
      <c r="E3081" s="22"/>
      <c r="F3081" s="19">
        <v>383</v>
      </c>
      <c r="G3081" s="14">
        <f t="shared" si="51"/>
        <v>-383</v>
      </c>
      <c r="H3081" s="1188"/>
    </row>
    <row r="3082" spans="1:8" hidden="1" x14ac:dyDescent="0.25">
      <c r="A3082" s="116">
        <v>44882</v>
      </c>
      <c r="B3082" s="21" t="s">
        <v>8000</v>
      </c>
      <c r="C3082" s="13" t="s">
        <v>8483</v>
      </c>
      <c r="D3082" s="782"/>
      <c r="E3082" s="22"/>
      <c r="F3082" s="19">
        <v>100000</v>
      </c>
      <c r="G3082" s="14">
        <f t="shared" si="51"/>
        <v>-100000</v>
      </c>
      <c r="H3082" s="1236" t="s">
        <v>8730</v>
      </c>
    </row>
    <row r="3083" spans="1:8" hidden="1" x14ac:dyDescent="0.25">
      <c r="A3083" s="116">
        <v>44882</v>
      </c>
      <c r="B3083" s="21" t="s">
        <v>8122</v>
      </c>
      <c r="C3083" s="13" t="s">
        <v>8483</v>
      </c>
      <c r="D3083" s="782"/>
      <c r="E3083" s="22"/>
      <c r="F3083" s="19">
        <v>100000</v>
      </c>
      <c r="G3083" s="14">
        <f t="shared" si="51"/>
        <v>-100000</v>
      </c>
      <c r="H3083" s="1236"/>
    </row>
    <row r="3084" spans="1:8" hidden="1" x14ac:dyDescent="0.25">
      <c r="A3084" s="116">
        <v>44882</v>
      </c>
      <c r="B3084" s="21" t="s">
        <v>8653</v>
      </c>
      <c r="C3084" s="13" t="s">
        <v>8483</v>
      </c>
      <c r="D3084" s="782"/>
      <c r="E3084" s="22"/>
      <c r="F3084" s="19">
        <v>200000</v>
      </c>
      <c r="G3084" s="14">
        <f t="shared" si="51"/>
        <v>-200000</v>
      </c>
      <c r="H3084" s="1236"/>
    </row>
    <row r="3085" spans="1:8" hidden="1" x14ac:dyDescent="0.25">
      <c r="A3085" s="116">
        <v>44882</v>
      </c>
      <c r="B3085" s="21" t="s">
        <v>8625</v>
      </c>
      <c r="C3085" s="13" t="s">
        <v>8483</v>
      </c>
      <c r="D3085" s="782"/>
      <c r="E3085" s="22"/>
      <c r="F3085" s="19">
        <v>100000</v>
      </c>
      <c r="G3085" s="14">
        <f t="shared" si="51"/>
        <v>-100000</v>
      </c>
      <c r="H3085" s="1236"/>
    </row>
    <row r="3086" spans="1:8" hidden="1" x14ac:dyDescent="0.25">
      <c r="A3086" s="116">
        <v>44884</v>
      </c>
      <c r="B3086" s="21" t="s">
        <v>8752</v>
      </c>
      <c r="C3086" s="13" t="s">
        <v>8483</v>
      </c>
      <c r="D3086" s="782" t="s">
        <v>8791</v>
      </c>
      <c r="E3086" s="22">
        <v>259749</v>
      </c>
      <c r="F3086" s="19"/>
      <c r="G3086" s="14">
        <f t="shared" si="51"/>
        <v>259749</v>
      </c>
      <c r="H3086" s="13"/>
    </row>
    <row r="3087" spans="1:8" hidden="1" x14ac:dyDescent="0.25">
      <c r="A3087" s="116">
        <v>44884</v>
      </c>
      <c r="B3087" s="21" t="s">
        <v>8752</v>
      </c>
      <c r="C3087" s="13" t="s">
        <v>166</v>
      </c>
      <c r="D3087" s="782" t="s">
        <v>8831</v>
      </c>
      <c r="E3087" s="22">
        <v>602000</v>
      </c>
      <c r="F3087" s="19"/>
      <c r="G3087" s="14">
        <f t="shared" si="51"/>
        <v>602000</v>
      </c>
      <c r="H3087" s="13" t="s">
        <v>8832</v>
      </c>
    </row>
    <row r="3088" spans="1:8" hidden="1" x14ac:dyDescent="0.25">
      <c r="A3088" s="116">
        <v>44884</v>
      </c>
      <c r="B3088" s="21" t="s">
        <v>8625</v>
      </c>
      <c r="C3088" s="13" t="s">
        <v>8483</v>
      </c>
      <c r="D3088" s="782" t="s">
        <v>8792</v>
      </c>
      <c r="E3088" s="22">
        <v>60270</v>
      </c>
      <c r="F3088" s="19"/>
      <c r="G3088" s="14">
        <f t="shared" si="51"/>
        <v>60270</v>
      </c>
      <c r="H3088" s="13"/>
    </row>
    <row r="3089" spans="1:8" hidden="1"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hidden="1" x14ac:dyDescent="0.25">
      <c r="A3092" s="116">
        <v>44884</v>
      </c>
      <c r="B3092" s="21" t="s">
        <v>6562</v>
      </c>
      <c r="C3092" s="13" t="s">
        <v>164</v>
      </c>
      <c r="D3092" s="782" t="s">
        <v>8299</v>
      </c>
      <c r="E3092" s="22">
        <v>2311</v>
      </c>
      <c r="F3092" s="19"/>
      <c r="G3092" s="14">
        <f t="shared" si="51"/>
        <v>2311</v>
      </c>
      <c r="H3092" s="13"/>
    </row>
    <row r="3093" spans="1:8" hidden="1" x14ac:dyDescent="0.25">
      <c r="A3093" s="116">
        <v>44886</v>
      </c>
      <c r="B3093" s="21" t="s">
        <v>8752</v>
      </c>
      <c r="C3093" s="13" t="s">
        <v>8483</v>
      </c>
      <c r="D3093" s="782" t="s">
        <v>8793</v>
      </c>
      <c r="E3093" s="22">
        <v>448149</v>
      </c>
      <c r="F3093" s="19"/>
      <c r="G3093" s="14">
        <f t="shared" si="51"/>
        <v>448149</v>
      </c>
      <c r="H3093" s="13"/>
    </row>
    <row r="3094" spans="1:8" hidden="1"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hidden="1" x14ac:dyDescent="0.25">
      <c r="A3096" s="116">
        <v>44887</v>
      </c>
      <c r="B3096" s="21" t="s">
        <v>8122</v>
      </c>
      <c r="C3096" s="13" t="s">
        <v>8545</v>
      </c>
      <c r="D3096" s="782"/>
      <c r="E3096" s="22"/>
      <c r="F3096" s="19">
        <v>100000</v>
      </c>
      <c r="G3096" s="14">
        <f t="shared" si="51"/>
        <v>-100000</v>
      </c>
      <c r="H3096" s="13" t="s">
        <v>1164</v>
      </c>
    </row>
    <row r="3097" spans="1:8" hidden="1" x14ac:dyDescent="0.25">
      <c r="A3097" s="116">
        <v>44887</v>
      </c>
      <c r="B3097" s="21" t="s">
        <v>8122</v>
      </c>
      <c r="C3097" s="13" t="s">
        <v>3039</v>
      </c>
      <c r="D3097" s="782"/>
      <c r="E3097" s="22"/>
      <c r="F3097" s="19">
        <v>50000</v>
      </c>
      <c r="G3097" s="14">
        <f t="shared" si="51"/>
        <v>-50000</v>
      </c>
      <c r="H3097" s="13" t="s">
        <v>8801</v>
      </c>
    </row>
    <row r="3098" spans="1:8" hidden="1" x14ac:dyDescent="0.25">
      <c r="A3098" s="116">
        <v>44888</v>
      </c>
      <c r="B3098" s="21" t="s">
        <v>8426</v>
      </c>
      <c r="C3098" s="13" t="s">
        <v>8803</v>
      </c>
      <c r="D3098" s="782"/>
      <c r="E3098" s="22">
        <v>300000</v>
      </c>
      <c r="F3098" s="19"/>
      <c r="G3098" s="14">
        <f t="shared" si="51"/>
        <v>300000</v>
      </c>
      <c r="H3098" s="13" t="s">
        <v>8804</v>
      </c>
    </row>
    <row r="3099" spans="1:8" hidden="1" x14ac:dyDescent="0.25">
      <c r="A3099" s="116">
        <v>44888</v>
      </c>
      <c r="B3099" s="21" t="s">
        <v>8426</v>
      </c>
      <c r="C3099" s="13" t="s">
        <v>8803</v>
      </c>
      <c r="D3099" s="782"/>
      <c r="E3099" s="22"/>
      <c r="F3099" s="19">
        <v>200000</v>
      </c>
      <c r="G3099" s="14">
        <f t="shared" si="51"/>
        <v>-200000</v>
      </c>
      <c r="H3099" s="13" t="s">
        <v>7997</v>
      </c>
    </row>
    <row r="3100" spans="1:8" s="744" customFormat="1" ht="31.5" hidden="1" x14ac:dyDescent="0.25">
      <c r="A3100" s="116">
        <v>44887</v>
      </c>
      <c r="B3100" s="756" t="s">
        <v>8000</v>
      </c>
      <c r="C3100" s="764" t="s">
        <v>8479</v>
      </c>
      <c r="D3100" s="795"/>
      <c r="E3100" s="765"/>
      <c r="F3100" s="766">
        <v>500000</v>
      </c>
      <c r="G3100" s="767">
        <f t="shared" si="51"/>
        <v>-500000</v>
      </c>
      <c r="H3100" s="771" t="s">
        <v>8812</v>
      </c>
    </row>
    <row r="3101" spans="1:8" hidden="1" x14ac:dyDescent="0.25">
      <c r="A3101" s="116">
        <v>44887</v>
      </c>
      <c r="B3101" s="21" t="s">
        <v>1407</v>
      </c>
      <c r="C3101" s="13" t="s">
        <v>7309</v>
      </c>
      <c r="D3101" s="782"/>
      <c r="E3101" s="22"/>
      <c r="F3101" s="19">
        <v>250000</v>
      </c>
      <c r="G3101" s="14">
        <f t="shared" si="51"/>
        <v>-250000</v>
      </c>
      <c r="H3101" s="13" t="s">
        <v>8813</v>
      </c>
    </row>
    <row r="3102" spans="1:8" hidden="1" x14ac:dyDescent="0.25">
      <c r="A3102" s="116">
        <v>44887</v>
      </c>
      <c r="B3102" s="21" t="s">
        <v>8653</v>
      </c>
      <c r="C3102" s="13" t="s">
        <v>7309</v>
      </c>
      <c r="D3102" s="782"/>
      <c r="E3102" s="22"/>
      <c r="F3102" s="19">
        <v>250000</v>
      </c>
      <c r="G3102" s="14">
        <f t="shared" si="51"/>
        <v>-250000</v>
      </c>
      <c r="H3102" s="13" t="s">
        <v>8814</v>
      </c>
    </row>
    <row r="3103" spans="1:8" hidden="1" x14ac:dyDescent="0.25">
      <c r="A3103" s="116">
        <v>44887</v>
      </c>
      <c r="B3103" s="21" t="s">
        <v>8122</v>
      </c>
      <c r="C3103" s="13" t="s">
        <v>5234</v>
      </c>
      <c r="D3103" s="782"/>
      <c r="E3103" s="22"/>
      <c r="F3103" s="19">
        <v>200000</v>
      </c>
      <c r="G3103" s="14">
        <f t="shared" si="51"/>
        <v>-200000</v>
      </c>
      <c r="H3103" s="13" t="s">
        <v>8815</v>
      </c>
    </row>
    <row r="3104" spans="1:8" hidden="1" x14ac:dyDescent="0.25">
      <c r="A3104" s="116">
        <v>44888</v>
      </c>
      <c r="B3104" s="21" t="s">
        <v>8000</v>
      </c>
      <c r="C3104" s="13" t="s">
        <v>180</v>
      </c>
      <c r="D3104" s="782"/>
      <c r="E3104" s="22"/>
      <c r="F3104" s="19">
        <v>59000</v>
      </c>
      <c r="G3104" s="14">
        <f t="shared" si="51"/>
        <v>-59000</v>
      </c>
      <c r="H3104" s="1192" t="s">
        <v>8816</v>
      </c>
    </row>
    <row r="3105" spans="1:8" hidden="1" x14ac:dyDescent="0.25">
      <c r="A3105" s="116">
        <v>44888</v>
      </c>
      <c r="B3105" s="21" t="s">
        <v>8032</v>
      </c>
      <c r="C3105" s="13" t="s">
        <v>180</v>
      </c>
      <c r="D3105" s="782"/>
      <c r="E3105" s="22"/>
      <c r="F3105" s="19">
        <v>28000</v>
      </c>
      <c r="G3105" s="14">
        <f t="shared" si="51"/>
        <v>-28000</v>
      </c>
      <c r="H3105" s="1192"/>
    </row>
    <row r="3106" spans="1:8" hidden="1" x14ac:dyDescent="0.25">
      <c r="A3106" s="116">
        <v>44888</v>
      </c>
      <c r="B3106" s="21" t="s">
        <v>8122</v>
      </c>
      <c r="C3106" s="13" t="s">
        <v>180</v>
      </c>
      <c r="D3106" s="782"/>
      <c r="E3106" s="22"/>
      <c r="F3106" s="19">
        <v>100000</v>
      </c>
      <c r="G3106" s="14">
        <f t="shared" si="51"/>
        <v>-100000</v>
      </c>
      <c r="H3106" s="1192"/>
    </row>
    <row r="3107" spans="1:8" hidden="1" x14ac:dyDescent="0.25">
      <c r="A3107" s="116">
        <v>44888</v>
      </c>
      <c r="B3107" s="21" t="s">
        <v>8000</v>
      </c>
      <c r="C3107" s="13" t="s">
        <v>180</v>
      </c>
      <c r="D3107" s="782"/>
      <c r="E3107" s="22"/>
      <c r="F3107" s="19">
        <v>880</v>
      </c>
      <c r="G3107" s="14">
        <f t="shared" si="51"/>
        <v>-880</v>
      </c>
      <c r="H3107" s="13" t="s">
        <v>5019</v>
      </c>
    </row>
    <row r="3108" spans="1:8" hidden="1" x14ac:dyDescent="0.25">
      <c r="A3108" s="116">
        <v>44888</v>
      </c>
      <c r="B3108" s="21" t="s">
        <v>8032</v>
      </c>
      <c r="C3108" s="13" t="s">
        <v>180</v>
      </c>
      <c r="D3108" s="782"/>
      <c r="E3108" s="22"/>
      <c r="F3108" s="19">
        <v>860</v>
      </c>
      <c r="G3108" s="14">
        <f t="shared" si="51"/>
        <v>-860</v>
      </c>
      <c r="H3108" s="13" t="s">
        <v>5019</v>
      </c>
    </row>
    <row r="3109" spans="1:8" hidden="1" x14ac:dyDescent="0.25">
      <c r="A3109" s="116">
        <v>44888</v>
      </c>
      <c r="B3109" s="21" t="s">
        <v>8122</v>
      </c>
      <c r="C3109" s="13" t="s">
        <v>180</v>
      </c>
      <c r="D3109" s="782"/>
      <c r="E3109" s="22"/>
      <c r="F3109" s="19">
        <v>800</v>
      </c>
      <c r="G3109" s="14">
        <f t="shared" si="51"/>
        <v>-800</v>
      </c>
      <c r="H3109" s="13" t="s">
        <v>5019</v>
      </c>
    </row>
    <row r="3110" spans="1:8" s="744" customFormat="1" ht="31.5" hidden="1" x14ac:dyDescent="0.25">
      <c r="A3110" s="116">
        <v>44888</v>
      </c>
      <c r="B3110" s="756" t="s">
        <v>8122</v>
      </c>
      <c r="C3110" s="764" t="s">
        <v>7538</v>
      </c>
      <c r="D3110" s="795"/>
      <c r="E3110" s="765"/>
      <c r="F3110" s="766">
        <v>550000</v>
      </c>
      <c r="G3110" s="767">
        <f t="shared" si="51"/>
        <v>-550000</v>
      </c>
      <c r="H3110" s="771" t="s">
        <v>8812</v>
      </c>
    </row>
    <row r="3111" spans="1:8" hidden="1" x14ac:dyDescent="0.25">
      <c r="A3111" s="116">
        <v>44888</v>
      </c>
      <c r="B3111" s="21" t="s">
        <v>8752</v>
      </c>
      <c r="C3111" s="13" t="s">
        <v>2212</v>
      </c>
      <c r="D3111" s="782" t="s">
        <v>8845</v>
      </c>
      <c r="E3111" s="22">
        <v>28000</v>
      </c>
      <c r="F3111" s="19"/>
      <c r="G3111" s="14">
        <f t="shared" si="51"/>
        <v>28000</v>
      </c>
      <c r="H3111" s="13" t="s">
        <v>8846</v>
      </c>
    </row>
    <row r="3112" spans="1:8" hidden="1" x14ac:dyDescent="0.25">
      <c r="A3112" s="116">
        <v>44888</v>
      </c>
      <c r="B3112" s="21" t="s">
        <v>8625</v>
      </c>
      <c r="C3112" s="13" t="s">
        <v>166</v>
      </c>
      <c r="D3112" s="782" t="s">
        <v>8903</v>
      </c>
      <c r="E3112" s="22">
        <v>8160</v>
      </c>
      <c r="F3112" s="19"/>
      <c r="G3112" s="14">
        <f t="shared" si="51"/>
        <v>8160</v>
      </c>
      <c r="H3112" s="13"/>
    </row>
    <row r="3113" spans="1:8" hidden="1" x14ac:dyDescent="0.25">
      <c r="A3113" s="116">
        <v>44888</v>
      </c>
      <c r="B3113" s="21" t="s">
        <v>8426</v>
      </c>
      <c r="C3113" s="13" t="s">
        <v>7538</v>
      </c>
      <c r="D3113" s="782" t="s">
        <v>8965</v>
      </c>
      <c r="E3113" s="22">
        <v>1450496</v>
      </c>
      <c r="F3113" s="19"/>
      <c r="G3113" s="14">
        <f t="shared" si="51"/>
        <v>1450496</v>
      </c>
      <c r="H3113" s="13"/>
    </row>
    <row r="3114" spans="1:8" hidden="1" x14ac:dyDescent="0.25">
      <c r="A3114" s="116">
        <v>44889</v>
      </c>
      <c r="B3114" s="21" t="s">
        <v>8752</v>
      </c>
      <c r="C3114" s="13" t="s">
        <v>8483</v>
      </c>
      <c r="D3114" s="782" t="s">
        <v>8682</v>
      </c>
      <c r="E3114" s="22">
        <v>451515</v>
      </c>
      <c r="F3114" s="19"/>
      <c r="G3114" s="14">
        <f t="shared" si="51"/>
        <v>451515</v>
      </c>
      <c r="H3114" s="13"/>
    </row>
    <row r="3115" spans="1:8" hidden="1" x14ac:dyDescent="0.25">
      <c r="A3115" s="116">
        <v>44889</v>
      </c>
      <c r="B3115" s="21" t="s">
        <v>8752</v>
      </c>
      <c r="C3115" s="13" t="s">
        <v>8483</v>
      </c>
      <c r="D3115" s="782" t="s">
        <v>8833</v>
      </c>
      <c r="E3115" s="22">
        <v>118979</v>
      </c>
      <c r="F3115" s="19"/>
      <c r="G3115" s="14">
        <f t="shared" si="51"/>
        <v>118979</v>
      </c>
      <c r="H3115" s="13"/>
    </row>
    <row r="3116" spans="1:8" hidden="1" x14ac:dyDescent="0.25">
      <c r="A3116" s="116">
        <v>44889</v>
      </c>
      <c r="B3116" s="21" t="s">
        <v>8752</v>
      </c>
      <c r="C3116" s="13" t="s">
        <v>166</v>
      </c>
      <c r="D3116" s="782" t="s">
        <v>8904</v>
      </c>
      <c r="E3116" s="22">
        <v>364000</v>
      </c>
      <c r="F3116" s="19"/>
      <c r="G3116" s="14">
        <f t="shared" si="51"/>
        <v>364000</v>
      </c>
      <c r="H3116" s="13"/>
    </row>
    <row r="3117" spans="1:8" hidden="1" x14ac:dyDescent="0.25">
      <c r="A3117" s="116">
        <v>44890</v>
      </c>
      <c r="B3117" s="21" t="s">
        <v>8752</v>
      </c>
      <c r="C3117" s="13" t="s">
        <v>8483</v>
      </c>
      <c r="D3117" s="782" t="s">
        <v>8834</v>
      </c>
      <c r="E3117" s="22">
        <v>206663</v>
      </c>
      <c r="F3117" s="19"/>
      <c r="G3117" s="14">
        <f t="shared" si="51"/>
        <v>206663</v>
      </c>
      <c r="H3117" s="13"/>
    </row>
    <row r="3118" spans="1:8" hidden="1" x14ac:dyDescent="0.25">
      <c r="A3118" s="116">
        <v>44890</v>
      </c>
      <c r="B3118" s="21" t="s">
        <v>8122</v>
      </c>
      <c r="C3118" s="13" t="s">
        <v>8483</v>
      </c>
      <c r="D3118" s="782" t="s">
        <v>8835</v>
      </c>
      <c r="E3118" s="22">
        <v>128076</v>
      </c>
      <c r="F3118" s="19"/>
      <c r="G3118" s="14">
        <f t="shared" si="51"/>
        <v>128076</v>
      </c>
      <c r="H3118" s="13"/>
    </row>
    <row r="3119" spans="1:8" hidden="1" x14ac:dyDescent="0.25">
      <c r="A3119" s="116">
        <v>44889</v>
      </c>
      <c r="B3119" s="21" t="s">
        <v>8000</v>
      </c>
      <c r="C3119" s="13" t="s">
        <v>8483</v>
      </c>
      <c r="D3119" s="782"/>
      <c r="E3119" s="22"/>
      <c r="F3119" s="19">
        <v>51219</v>
      </c>
      <c r="G3119" s="14">
        <f t="shared" si="51"/>
        <v>-51219</v>
      </c>
      <c r="H3119" s="1195" t="s">
        <v>8730</v>
      </c>
    </row>
    <row r="3120" spans="1:8" hidden="1" x14ac:dyDescent="0.25">
      <c r="A3120" s="116">
        <v>44889</v>
      </c>
      <c r="B3120" s="21" t="s">
        <v>8122</v>
      </c>
      <c r="C3120" s="13" t="s">
        <v>8483</v>
      </c>
      <c r="D3120" s="782"/>
      <c r="E3120" s="22"/>
      <c r="F3120" s="19">
        <v>50117</v>
      </c>
      <c r="G3120" s="14">
        <f t="shared" si="51"/>
        <v>-50117</v>
      </c>
      <c r="H3120" s="1195"/>
    </row>
    <row r="3121" spans="1:8" hidden="1" x14ac:dyDescent="0.25">
      <c r="A3121" s="116">
        <v>44889</v>
      </c>
      <c r="B3121" s="21" t="s">
        <v>8156</v>
      </c>
      <c r="C3121" s="13" t="s">
        <v>8483</v>
      </c>
      <c r="D3121" s="782"/>
      <c r="E3121" s="22"/>
      <c r="F3121" s="19">
        <v>13496</v>
      </c>
      <c r="G3121" s="14">
        <f t="shared" si="51"/>
        <v>-13496</v>
      </c>
      <c r="H3121" s="1195"/>
    </row>
    <row r="3122" spans="1:8" hidden="1" x14ac:dyDescent="0.25">
      <c r="A3122" s="116">
        <v>44889</v>
      </c>
      <c r="B3122" s="21" t="s">
        <v>8653</v>
      </c>
      <c r="C3122" s="13" t="s">
        <v>8483</v>
      </c>
      <c r="D3122" s="782"/>
      <c r="E3122" s="22"/>
      <c r="F3122" s="19">
        <v>115599</v>
      </c>
      <c r="G3122" s="14">
        <f t="shared" si="51"/>
        <v>-115599</v>
      </c>
      <c r="H3122" s="1195"/>
    </row>
    <row r="3123" spans="1:8" hidden="1" x14ac:dyDescent="0.25">
      <c r="A3123" s="116">
        <v>44889</v>
      </c>
      <c r="B3123" s="21" t="s">
        <v>8625</v>
      </c>
      <c r="C3123" s="13" t="s">
        <v>8483</v>
      </c>
      <c r="D3123" s="782"/>
      <c r="E3123" s="22"/>
      <c r="F3123" s="19">
        <v>72562</v>
      </c>
      <c r="G3123" s="14">
        <f t="shared" si="51"/>
        <v>-72562</v>
      </c>
      <c r="H3123" s="1195"/>
    </row>
    <row r="3124" spans="1:8" hidden="1" x14ac:dyDescent="0.25">
      <c r="A3124" s="116">
        <v>44889</v>
      </c>
      <c r="B3124" s="21" t="s">
        <v>8752</v>
      </c>
      <c r="C3124" s="13" t="s">
        <v>8483</v>
      </c>
      <c r="D3124" s="782"/>
      <c r="E3124" s="22"/>
      <c r="F3124" s="19">
        <f>500000-F3123-F3122-F3121-F3120-F3119</f>
        <v>197007</v>
      </c>
      <c r="G3124" s="14">
        <f t="shared" si="51"/>
        <v>-197007</v>
      </c>
      <c r="H3124" s="1195"/>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hidden="1" x14ac:dyDescent="0.25">
      <c r="A3126" s="116">
        <v>44891</v>
      </c>
      <c r="B3126" s="21" t="s">
        <v>8426</v>
      </c>
      <c r="C3126" s="13" t="s">
        <v>169</v>
      </c>
      <c r="D3126" s="782" t="s">
        <v>8830</v>
      </c>
      <c r="E3126" s="22">
        <v>4000</v>
      </c>
      <c r="F3126" s="19"/>
      <c r="G3126" s="14">
        <f t="shared" si="51"/>
        <v>4000</v>
      </c>
      <c r="H3126" s="13" t="s">
        <v>8827</v>
      </c>
    </row>
    <row r="3127" spans="1:8" hidden="1" x14ac:dyDescent="0.25">
      <c r="A3127" s="116">
        <v>44891</v>
      </c>
      <c r="B3127" s="21" t="s">
        <v>8426</v>
      </c>
      <c r="C3127" s="13" t="s">
        <v>2212</v>
      </c>
      <c r="D3127" s="782" t="s">
        <v>8847</v>
      </c>
      <c r="E3127" s="22">
        <v>15000</v>
      </c>
      <c r="F3127" s="19"/>
      <c r="G3127" s="14">
        <f t="shared" si="51"/>
        <v>15000</v>
      </c>
      <c r="H3127" s="13" t="s">
        <v>8851</v>
      </c>
    </row>
    <row r="3128" spans="1:8" hidden="1" x14ac:dyDescent="0.25">
      <c r="A3128" s="116">
        <v>44891</v>
      </c>
      <c r="B3128" s="21" t="s">
        <v>8426</v>
      </c>
      <c r="C3128" s="13" t="s">
        <v>2212</v>
      </c>
      <c r="D3128" s="782" t="s">
        <v>8848</v>
      </c>
      <c r="E3128" s="22">
        <v>25200</v>
      </c>
      <c r="F3128" s="19"/>
      <c r="G3128" s="14">
        <f t="shared" si="51"/>
        <v>25200</v>
      </c>
      <c r="H3128" s="13" t="s">
        <v>8852</v>
      </c>
    </row>
    <row r="3129" spans="1:8" hidden="1" x14ac:dyDescent="0.25">
      <c r="A3129" s="116">
        <v>44893</v>
      </c>
      <c r="B3129" s="53" t="s">
        <v>8426</v>
      </c>
      <c r="C3129" s="7" t="s">
        <v>166</v>
      </c>
      <c r="D3129" s="796" t="s">
        <v>8905</v>
      </c>
      <c r="E3129" s="308">
        <v>52000</v>
      </c>
      <c r="F3129" s="220"/>
      <c r="G3129" s="14">
        <f t="shared" si="51"/>
        <v>52000</v>
      </c>
    </row>
    <row r="3130" spans="1:8" hidden="1" x14ac:dyDescent="0.25">
      <c r="A3130" s="116">
        <v>44893</v>
      </c>
      <c r="B3130" s="53" t="s">
        <v>8752</v>
      </c>
      <c r="C3130" s="7" t="s">
        <v>8483</v>
      </c>
      <c r="D3130" s="796" t="s">
        <v>8911</v>
      </c>
      <c r="E3130" s="308">
        <v>295403</v>
      </c>
      <c r="F3130" s="220"/>
      <c r="G3130" s="14">
        <f t="shared" si="51"/>
        <v>295403</v>
      </c>
    </row>
    <row r="3131" spans="1:8" hidden="1" x14ac:dyDescent="0.25">
      <c r="A3131" s="116">
        <v>44895</v>
      </c>
      <c r="B3131" s="53" t="s">
        <v>8426</v>
      </c>
      <c r="C3131" s="13" t="s">
        <v>5234</v>
      </c>
      <c r="D3131" s="796" t="s">
        <v>8900</v>
      </c>
      <c r="E3131" s="308">
        <v>61900</v>
      </c>
      <c r="F3131" s="220"/>
      <c r="G3131" s="14">
        <f t="shared" si="51"/>
        <v>61900</v>
      </c>
    </row>
    <row r="3132" spans="1:8" hidden="1" x14ac:dyDescent="0.25">
      <c r="A3132" s="116">
        <v>44895</v>
      </c>
      <c r="B3132" s="53" t="s">
        <v>8122</v>
      </c>
      <c r="C3132" s="13" t="s">
        <v>5234</v>
      </c>
      <c r="D3132" s="796" t="s">
        <v>8899</v>
      </c>
      <c r="E3132" s="308">
        <v>19520</v>
      </c>
      <c r="F3132" s="220"/>
      <c r="G3132" s="14">
        <f t="shared" si="51"/>
        <v>19520</v>
      </c>
    </row>
    <row r="3133" spans="1:8" hidden="1" x14ac:dyDescent="0.25">
      <c r="A3133" s="116">
        <v>44896</v>
      </c>
      <c r="B3133" s="53" t="s">
        <v>8000</v>
      </c>
      <c r="C3133" s="7" t="s">
        <v>440</v>
      </c>
      <c r="D3133" s="796"/>
      <c r="E3133" s="308"/>
      <c r="F3133" s="220">
        <v>100000</v>
      </c>
      <c r="G3133" s="14">
        <f t="shared" si="51"/>
        <v>-100000</v>
      </c>
      <c r="H3133" s="7" t="s">
        <v>8812</v>
      </c>
    </row>
    <row r="3134" spans="1:8" hidden="1" x14ac:dyDescent="0.25">
      <c r="A3134" s="116">
        <v>44897</v>
      </c>
      <c r="B3134" s="53" t="s">
        <v>8000</v>
      </c>
      <c r="C3134" s="7" t="s">
        <v>440</v>
      </c>
      <c r="D3134" s="796"/>
      <c r="E3134" s="308"/>
      <c r="F3134" s="220">
        <v>100000</v>
      </c>
      <c r="G3134" s="14">
        <f t="shared" si="51"/>
        <v>-100000</v>
      </c>
      <c r="H3134" s="7" t="s">
        <v>8812</v>
      </c>
    </row>
    <row r="3135" spans="1:8" hidden="1" x14ac:dyDescent="0.25">
      <c r="A3135" s="116">
        <v>44896</v>
      </c>
      <c r="B3135" s="53" t="s">
        <v>8426</v>
      </c>
      <c r="C3135" s="7" t="s">
        <v>7538</v>
      </c>
      <c r="D3135" s="796" t="s">
        <v>8963</v>
      </c>
      <c r="E3135" s="308">
        <v>4000</v>
      </c>
      <c r="F3135" s="220"/>
      <c r="G3135" s="14">
        <f t="shared" si="51"/>
        <v>4000</v>
      </c>
    </row>
    <row r="3136" spans="1:8" hidden="1" x14ac:dyDescent="0.25">
      <c r="A3136" s="116">
        <v>44896</v>
      </c>
      <c r="B3136" s="53" t="s">
        <v>8426</v>
      </c>
      <c r="C3136" s="7" t="s">
        <v>7538</v>
      </c>
      <c r="D3136" s="796" t="s">
        <v>8964</v>
      </c>
      <c r="E3136" s="308">
        <v>100742</v>
      </c>
      <c r="F3136" s="220"/>
      <c r="G3136" s="14">
        <f t="shared" si="51"/>
        <v>100742</v>
      </c>
    </row>
    <row r="3137" spans="1:8" hidden="1" x14ac:dyDescent="0.25">
      <c r="A3137" s="116">
        <v>44896</v>
      </c>
      <c r="B3137" s="53" t="s">
        <v>8426</v>
      </c>
      <c r="C3137" s="7" t="s">
        <v>7538</v>
      </c>
      <c r="D3137" s="796" t="s">
        <v>8967</v>
      </c>
      <c r="E3137" s="308">
        <v>294393</v>
      </c>
      <c r="F3137" s="220"/>
      <c r="G3137" s="14">
        <f t="shared" si="51"/>
        <v>294393</v>
      </c>
    </row>
    <row r="3138" spans="1:8" hidden="1" x14ac:dyDescent="0.25">
      <c r="A3138" s="116">
        <v>44896</v>
      </c>
      <c r="B3138" s="53" t="s">
        <v>8752</v>
      </c>
      <c r="C3138" s="7" t="s">
        <v>2212</v>
      </c>
      <c r="D3138" s="796" t="s">
        <v>8907</v>
      </c>
      <c r="E3138" s="308">
        <v>42000</v>
      </c>
      <c r="F3138" s="220"/>
      <c r="G3138" s="14">
        <f t="shared" si="51"/>
        <v>42000</v>
      </c>
      <c r="H3138" s="13" t="s">
        <v>8909</v>
      </c>
    </row>
    <row r="3139" spans="1:8" hidden="1" x14ac:dyDescent="0.25">
      <c r="A3139" s="116">
        <v>44897</v>
      </c>
      <c r="B3139" s="53" t="s">
        <v>8752</v>
      </c>
      <c r="C3139" s="7" t="s">
        <v>2212</v>
      </c>
      <c r="D3139" s="796" t="s">
        <v>8908</v>
      </c>
      <c r="E3139" s="308">
        <v>10000</v>
      </c>
      <c r="F3139" s="220"/>
      <c r="G3139" s="14">
        <f t="shared" si="51"/>
        <v>10000</v>
      </c>
      <c r="H3139" s="7" t="s">
        <v>8910</v>
      </c>
    </row>
    <row r="3140" spans="1:8" hidden="1" x14ac:dyDescent="0.25">
      <c r="A3140" s="116">
        <v>44897</v>
      </c>
      <c r="B3140" s="53" t="s">
        <v>8653</v>
      </c>
      <c r="C3140" s="7" t="s">
        <v>7538</v>
      </c>
      <c r="D3140" s="796" t="s">
        <v>8968</v>
      </c>
      <c r="E3140" s="308">
        <v>157044</v>
      </c>
      <c r="F3140" s="220"/>
      <c r="G3140" s="14">
        <f t="shared" si="51"/>
        <v>157044</v>
      </c>
    </row>
    <row r="3141" spans="1:8" hidden="1" x14ac:dyDescent="0.25">
      <c r="A3141" s="116">
        <v>44897</v>
      </c>
      <c r="B3141" s="53" t="s">
        <v>8653</v>
      </c>
      <c r="C3141" s="7" t="s">
        <v>7538</v>
      </c>
      <c r="D3141" s="796" t="s">
        <v>8969</v>
      </c>
      <c r="E3141" s="308">
        <v>55248</v>
      </c>
      <c r="F3141" s="220"/>
      <c r="G3141" s="14">
        <f t="shared" si="51"/>
        <v>55248</v>
      </c>
    </row>
    <row r="3142" spans="1:8" hidden="1" x14ac:dyDescent="0.25">
      <c r="A3142" s="116">
        <v>44897</v>
      </c>
      <c r="B3142" s="53" t="s">
        <v>8426</v>
      </c>
      <c r="C3142" s="7" t="s">
        <v>7538</v>
      </c>
      <c r="D3142" s="796" t="s">
        <v>8970</v>
      </c>
      <c r="E3142" s="308">
        <v>56000</v>
      </c>
      <c r="F3142" s="220"/>
      <c r="G3142" s="14">
        <f t="shared" si="51"/>
        <v>56000</v>
      </c>
    </row>
    <row r="3143" spans="1:8" hidden="1" x14ac:dyDescent="0.25">
      <c r="A3143" s="116">
        <v>44897</v>
      </c>
      <c r="B3143" s="10" t="s">
        <v>8032</v>
      </c>
      <c r="C3143" s="11" t="s">
        <v>8033</v>
      </c>
      <c r="F3143" s="9">
        <v>200000</v>
      </c>
      <c r="G3143" s="14">
        <f t="shared" si="51"/>
        <v>-200000</v>
      </c>
      <c r="H3143" s="7" t="s">
        <v>7997</v>
      </c>
    </row>
    <row r="3144" spans="1:8" hidden="1" x14ac:dyDescent="0.25">
      <c r="A3144" s="116">
        <v>44898</v>
      </c>
      <c r="B3144" s="10" t="s">
        <v>8122</v>
      </c>
      <c r="C3144" s="11" t="s">
        <v>7538</v>
      </c>
      <c r="D3144" s="784" t="s">
        <v>8971</v>
      </c>
      <c r="E3144" s="8">
        <v>350364</v>
      </c>
      <c r="G3144" s="14">
        <f t="shared" si="51"/>
        <v>350364</v>
      </c>
    </row>
    <row r="3145" spans="1:8" hidden="1" x14ac:dyDescent="0.25">
      <c r="A3145" s="116">
        <v>44898</v>
      </c>
      <c r="B3145" s="10" t="s">
        <v>8122</v>
      </c>
      <c r="C3145" s="11" t="s">
        <v>161</v>
      </c>
      <c r="D3145" s="784" t="s">
        <v>9157</v>
      </c>
      <c r="E3145" s="8">
        <v>33213</v>
      </c>
      <c r="G3145" s="14">
        <f t="shared" si="51"/>
        <v>33213</v>
      </c>
      <c r="H3145" s="7" t="s">
        <v>9158</v>
      </c>
    </row>
    <row r="3146" spans="1:8" hidden="1" x14ac:dyDescent="0.25">
      <c r="A3146" s="116">
        <v>44900</v>
      </c>
      <c r="B3146" s="10" t="s">
        <v>3979</v>
      </c>
      <c r="C3146" s="13" t="s">
        <v>5234</v>
      </c>
      <c r="D3146" s="784" t="s">
        <v>8901</v>
      </c>
      <c r="E3146" s="8">
        <v>21600</v>
      </c>
      <c r="G3146" s="14">
        <f t="shared" si="51"/>
        <v>21600</v>
      </c>
      <c r="H3146" s="7" t="s">
        <v>8902</v>
      </c>
    </row>
    <row r="3147" spans="1:8" hidden="1"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7132</v>
      </c>
      <c r="C3149" s="11" t="s">
        <v>168</v>
      </c>
      <c r="F3149" s="9">
        <v>80055</v>
      </c>
      <c r="G3149" s="6">
        <f t="shared" ref="G3149:G3150" si="52">E3149-F3149</f>
        <v>-80055</v>
      </c>
      <c r="H3149" s="7" t="s">
        <v>11228</v>
      </c>
    </row>
    <row r="3150" spans="1:8" x14ac:dyDescent="0.25">
      <c r="A3150" s="116">
        <v>44901</v>
      </c>
      <c r="B3150" s="10" t="s">
        <v>7132</v>
      </c>
      <c r="C3150" s="11" t="s">
        <v>168</v>
      </c>
      <c r="F3150" s="9">
        <v>66000</v>
      </c>
      <c r="G3150" s="6">
        <f t="shared" si="52"/>
        <v>-66000</v>
      </c>
      <c r="H3150" s="7" t="s">
        <v>11228</v>
      </c>
    </row>
    <row r="3151" spans="1:8" hidden="1" x14ac:dyDescent="0.25">
      <c r="A3151" s="116">
        <v>44901</v>
      </c>
      <c r="B3151" s="10" t="s">
        <v>1407</v>
      </c>
      <c r="C3151" s="11" t="s">
        <v>440</v>
      </c>
      <c r="D3151" s="784" t="s">
        <v>8961</v>
      </c>
      <c r="E3151" s="8">
        <v>1900</v>
      </c>
      <c r="G3151" s="6">
        <f t="shared" si="51"/>
        <v>1900</v>
      </c>
      <c r="H3151" s="7" t="s">
        <v>8962</v>
      </c>
    </row>
    <row r="3152" spans="1:8" hidden="1" x14ac:dyDescent="0.25">
      <c r="A3152" s="116">
        <v>44901</v>
      </c>
      <c r="B3152" s="10" t="s">
        <v>8426</v>
      </c>
      <c r="C3152" s="11" t="s">
        <v>7538</v>
      </c>
      <c r="D3152" s="784" t="s">
        <v>8966</v>
      </c>
      <c r="E3152" s="8">
        <v>100742</v>
      </c>
      <c r="G3152" s="6">
        <f t="shared" si="51"/>
        <v>100742</v>
      </c>
    </row>
    <row r="3153" spans="1:8" hidden="1" x14ac:dyDescent="0.25">
      <c r="A3153" s="116">
        <v>44901</v>
      </c>
      <c r="B3153" s="10" t="s">
        <v>8426</v>
      </c>
      <c r="C3153" s="11" t="s">
        <v>7538</v>
      </c>
      <c r="D3153" s="784" t="s">
        <v>8972</v>
      </c>
      <c r="E3153" s="8">
        <v>147250</v>
      </c>
      <c r="G3153" s="6">
        <f t="shared" si="51"/>
        <v>147250</v>
      </c>
    </row>
    <row r="3154" spans="1:8" hidden="1" x14ac:dyDescent="0.25">
      <c r="A3154" s="116">
        <v>44902</v>
      </c>
      <c r="B3154" s="10" t="s">
        <v>1407</v>
      </c>
      <c r="C3154" s="11" t="s">
        <v>2212</v>
      </c>
      <c r="F3154" s="9">
        <v>5940</v>
      </c>
      <c r="G3154" s="6">
        <f t="shared" si="51"/>
        <v>-5940</v>
      </c>
      <c r="H3154" s="1235" t="s">
        <v>8928</v>
      </c>
    </row>
    <row r="3155" spans="1:8" hidden="1" x14ac:dyDescent="0.25">
      <c r="A3155" s="116">
        <v>44902</v>
      </c>
      <c r="B3155" s="10" t="s">
        <v>8426</v>
      </c>
      <c r="C3155" s="11" t="s">
        <v>2212</v>
      </c>
      <c r="F3155" s="9">
        <v>39210</v>
      </c>
      <c r="G3155" s="6">
        <f t="shared" si="51"/>
        <v>-39210</v>
      </c>
      <c r="H3155" s="1235"/>
    </row>
    <row r="3156" spans="1:8" hidden="1" x14ac:dyDescent="0.25">
      <c r="A3156" s="116">
        <v>44902</v>
      </c>
      <c r="B3156" s="10" t="s">
        <v>8653</v>
      </c>
      <c r="C3156" s="11" t="s">
        <v>2212</v>
      </c>
      <c r="F3156" s="9">
        <v>18450</v>
      </c>
      <c r="G3156" s="6">
        <f t="shared" si="51"/>
        <v>-18450</v>
      </c>
      <c r="H3156" s="1235"/>
    </row>
    <row r="3157" spans="1:8" hidden="1" x14ac:dyDescent="0.25">
      <c r="A3157" s="116">
        <v>44902</v>
      </c>
      <c r="B3157" s="10" t="s">
        <v>8752</v>
      </c>
      <c r="C3157" s="11" t="s">
        <v>2212</v>
      </c>
      <c r="F3157" s="9">
        <v>80000</v>
      </c>
      <c r="G3157" s="6">
        <f t="shared" si="51"/>
        <v>-80000</v>
      </c>
      <c r="H3157" s="1235"/>
    </row>
    <row r="3158" spans="1:8" hidden="1" x14ac:dyDescent="0.25">
      <c r="A3158" s="116">
        <v>44904</v>
      </c>
      <c r="B3158" s="10" t="s">
        <v>8752</v>
      </c>
      <c r="C3158" s="11" t="s">
        <v>8483</v>
      </c>
      <c r="F3158" s="9">
        <v>468530</v>
      </c>
      <c r="G3158" s="6">
        <f t="shared" si="51"/>
        <v>-468530</v>
      </c>
      <c r="H3158" s="7" t="s">
        <v>8939</v>
      </c>
    </row>
    <row r="3159" spans="1:8" hidden="1" x14ac:dyDescent="0.25">
      <c r="A3159" s="116">
        <v>44904</v>
      </c>
      <c r="B3159" s="10" t="s">
        <v>8752</v>
      </c>
      <c r="C3159" s="11" t="s">
        <v>7309</v>
      </c>
      <c r="F3159" s="9">
        <v>790800</v>
      </c>
      <c r="G3159" s="6">
        <f t="shared" si="51"/>
        <v>-790800</v>
      </c>
      <c r="H3159" s="7" t="s">
        <v>8940</v>
      </c>
    </row>
    <row r="3160" spans="1:8" hidden="1" x14ac:dyDescent="0.25">
      <c r="A3160" s="116">
        <v>44904</v>
      </c>
      <c r="B3160" s="10" t="s">
        <v>8752</v>
      </c>
      <c r="C3160" s="11" t="s">
        <v>5731</v>
      </c>
      <c r="F3160" s="9">
        <v>500000</v>
      </c>
      <c r="G3160" s="6">
        <f t="shared" si="51"/>
        <v>-500000</v>
      </c>
      <c r="H3160" s="7" t="s">
        <v>8939</v>
      </c>
    </row>
    <row r="3161" spans="1:8" hidden="1" x14ac:dyDescent="0.25">
      <c r="A3161" s="116">
        <v>44904</v>
      </c>
      <c r="B3161" s="10" t="s">
        <v>8752</v>
      </c>
      <c r="C3161" s="11" t="s">
        <v>5731</v>
      </c>
      <c r="F3161" s="9">
        <v>350000</v>
      </c>
      <c r="G3161" s="6">
        <f t="shared" si="51"/>
        <v>-350000</v>
      </c>
      <c r="H3161" s="7" t="s">
        <v>8939</v>
      </c>
    </row>
    <row r="3162" spans="1:8" hidden="1" x14ac:dyDescent="0.25">
      <c r="A3162" s="116">
        <v>44904</v>
      </c>
      <c r="B3162" s="10" t="s">
        <v>6303</v>
      </c>
      <c r="C3162" s="11" t="s">
        <v>5731</v>
      </c>
      <c r="F3162" s="9">
        <v>100</v>
      </c>
      <c r="G3162" s="6">
        <f t="shared" si="51"/>
        <v>-100</v>
      </c>
      <c r="H3162" s="7" t="s">
        <v>5019</v>
      </c>
    </row>
    <row r="3163" spans="1:8" hidden="1" x14ac:dyDescent="0.25">
      <c r="A3163" s="116">
        <v>44907</v>
      </c>
      <c r="B3163" s="10" t="s">
        <v>3979</v>
      </c>
      <c r="C3163" s="13" t="s">
        <v>5234</v>
      </c>
      <c r="F3163" s="9">
        <v>21600</v>
      </c>
      <c r="G3163" s="6">
        <f t="shared" si="51"/>
        <v>-21600</v>
      </c>
    </row>
    <row r="3164" spans="1:8" hidden="1" x14ac:dyDescent="0.25">
      <c r="A3164" s="272">
        <v>44907</v>
      </c>
      <c r="B3164" s="10" t="s">
        <v>3979</v>
      </c>
      <c r="C3164" s="11" t="s">
        <v>7587</v>
      </c>
      <c r="F3164" s="9">
        <v>150000</v>
      </c>
      <c r="G3164" s="6">
        <f t="shared" si="51"/>
        <v>-150000</v>
      </c>
      <c r="H3164" s="7" t="s">
        <v>8953</v>
      </c>
    </row>
    <row r="3165" spans="1:8" hidden="1" x14ac:dyDescent="0.25">
      <c r="A3165" s="116">
        <v>44907</v>
      </c>
      <c r="B3165" s="756" t="s">
        <v>8000</v>
      </c>
      <c r="C3165" s="764" t="s">
        <v>440</v>
      </c>
      <c r="D3165" s="795"/>
      <c r="E3165" s="765"/>
      <c r="F3165" s="766">
        <v>24400</v>
      </c>
      <c r="G3165" s="767">
        <f t="shared" si="51"/>
        <v>-24400</v>
      </c>
      <c r="H3165" s="1197" t="s">
        <v>8955</v>
      </c>
    </row>
    <row r="3166" spans="1:8" hidden="1" x14ac:dyDescent="0.25">
      <c r="A3166" s="116">
        <v>44907</v>
      </c>
      <c r="B3166" s="756" t="s">
        <v>3979</v>
      </c>
      <c r="C3166" s="764" t="s">
        <v>440</v>
      </c>
      <c r="D3166" s="795"/>
      <c r="E3166" s="765"/>
      <c r="F3166" s="766">
        <v>68000</v>
      </c>
      <c r="G3166" s="767">
        <f t="shared" si="51"/>
        <v>-68000</v>
      </c>
      <c r="H3166" s="1197"/>
    </row>
    <row r="3167" spans="1:8" hidden="1" x14ac:dyDescent="0.25">
      <c r="A3167" s="116">
        <v>44907</v>
      </c>
      <c r="B3167" s="756" t="s">
        <v>1407</v>
      </c>
      <c r="C3167" s="764" t="s">
        <v>440</v>
      </c>
      <c r="D3167" s="795"/>
      <c r="E3167" s="765"/>
      <c r="F3167" s="766">
        <v>7600</v>
      </c>
      <c r="G3167" s="767">
        <f t="shared" si="51"/>
        <v>-7600</v>
      </c>
      <c r="H3167" s="1197"/>
    </row>
    <row r="3168" spans="1:8" hidden="1" x14ac:dyDescent="0.25">
      <c r="A3168" s="116">
        <v>44907</v>
      </c>
      <c r="B3168" s="756" t="s">
        <v>8000</v>
      </c>
      <c r="C3168" s="764" t="s">
        <v>8479</v>
      </c>
      <c r="D3168" s="795"/>
      <c r="E3168" s="765"/>
      <c r="F3168" s="766">
        <v>144795</v>
      </c>
      <c r="G3168" s="767">
        <f t="shared" si="51"/>
        <v>-144795</v>
      </c>
      <c r="H3168" s="764" t="s">
        <v>8954</v>
      </c>
    </row>
    <row r="3169" spans="1:8" hidden="1" x14ac:dyDescent="0.25">
      <c r="A3169" s="116">
        <v>44907</v>
      </c>
      <c r="B3169" s="756" t="s">
        <v>8426</v>
      </c>
      <c r="C3169" s="764" t="s">
        <v>7309</v>
      </c>
      <c r="D3169" s="795" t="s">
        <v>8833</v>
      </c>
      <c r="E3169" s="765">
        <v>1603139</v>
      </c>
      <c r="F3169" s="766"/>
      <c r="G3169" s="767">
        <f t="shared" si="51"/>
        <v>1603139</v>
      </c>
      <c r="H3169" s="764"/>
    </row>
    <row r="3170" spans="1:8" hidden="1" x14ac:dyDescent="0.25">
      <c r="A3170" s="116">
        <v>44907</v>
      </c>
      <c r="B3170" s="756" t="s">
        <v>1407</v>
      </c>
      <c r="C3170" s="764" t="s">
        <v>7309</v>
      </c>
      <c r="D3170" s="795" t="s">
        <v>8834</v>
      </c>
      <c r="E3170" s="765">
        <v>38000</v>
      </c>
      <c r="F3170" s="766"/>
      <c r="G3170" s="767">
        <f t="shared" si="51"/>
        <v>38000</v>
      </c>
      <c r="H3170" s="764"/>
    </row>
    <row r="3171" spans="1:8" hidden="1" x14ac:dyDescent="0.25">
      <c r="A3171" s="116">
        <v>44909</v>
      </c>
      <c r="B3171" s="756" t="s">
        <v>8426</v>
      </c>
      <c r="C3171" s="13" t="s">
        <v>5234</v>
      </c>
      <c r="D3171" s="795" t="s">
        <v>8958</v>
      </c>
      <c r="E3171" s="765">
        <v>29568</v>
      </c>
      <c r="F3171" s="766"/>
      <c r="G3171" s="767">
        <f t="shared" si="51"/>
        <v>29568</v>
      </c>
      <c r="H3171" s="764"/>
    </row>
    <row r="3172" spans="1:8" hidden="1" x14ac:dyDescent="0.25">
      <c r="A3172" s="116">
        <v>44909</v>
      </c>
      <c r="B3172" s="756" t="s">
        <v>8122</v>
      </c>
      <c r="C3172" s="13" t="s">
        <v>5234</v>
      </c>
      <c r="D3172" s="795" t="s">
        <v>8958</v>
      </c>
      <c r="E3172" s="765">
        <v>5040</v>
      </c>
      <c r="F3172" s="766"/>
      <c r="G3172" s="767">
        <f t="shared" si="51"/>
        <v>5040</v>
      </c>
      <c r="H3172" s="764"/>
    </row>
    <row r="3173" spans="1:8" hidden="1" x14ac:dyDescent="0.25">
      <c r="A3173" s="116">
        <v>44909</v>
      </c>
      <c r="B3173" s="756" t="s">
        <v>8752</v>
      </c>
      <c r="C3173" s="764" t="s">
        <v>166</v>
      </c>
      <c r="D3173" s="795" t="s">
        <v>8906</v>
      </c>
      <c r="E3173" s="765">
        <v>23625</v>
      </c>
      <c r="F3173" s="766"/>
      <c r="G3173" s="767">
        <f t="shared" si="51"/>
        <v>23625</v>
      </c>
      <c r="H3173" s="764"/>
    </row>
    <row r="3174" spans="1:8" hidden="1" x14ac:dyDescent="0.25">
      <c r="A3174" s="116">
        <v>44910</v>
      </c>
      <c r="B3174" s="756" t="s">
        <v>6562</v>
      </c>
      <c r="C3174" s="764" t="s">
        <v>164</v>
      </c>
      <c r="D3174" s="795" t="s">
        <v>8299</v>
      </c>
      <c r="E3174" s="765">
        <v>1320</v>
      </c>
      <c r="F3174" s="766"/>
      <c r="G3174" s="767">
        <f t="shared" si="51"/>
        <v>1320</v>
      </c>
      <c r="H3174" s="764" t="s">
        <v>9013</v>
      </c>
    </row>
    <row r="3175" spans="1:8" hidden="1" x14ac:dyDescent="0.25">
      <c r="A3175" s="116">
        <v>44910</v>
      </c>
      <c r="B3175" s="756" t="s">
        <v>8426</v>
      </c>
      <c r="C3175" s="764" t="s">
        <v>2212</v>
      </c>
      <c r="D3175" s="795"/>
      <c r="E3175" s="765"/>
      <c r="F3175" s="766">
        <v>100000</v>
      </c>
      <c r="G3175" s="767">
        <f t="shared" si="51"/>
        <v>-100000</v>
      </c>
      <c r="H3175" s="764" t="s">
        <v>8975</v>
      </c>
    </row>
    <row r="3176" spans="1:8" hidden="1" x14ac:dyDescent="0.25">
      <c r="A3176" s="116">
        <v>44910</v>
      </c>
      <c r="B3176" s="756" t="s">
        <v>8000</v>
      </c>
      <c r="C3176" s="764" t="s">
        <v>164</v>
      </c>
      <c r="D3176" s="795"/>
      <c r="E3176" s="765"/>
      <c r="F3176" s="766">
        <v>67349</v>
      </c>
      <c r="G3176" s="767">
        <f t="shared" si="51"/>
        <v>-67349</v>
      </c>
      <c r="H3176" s="1234" t="s">
        <v>8975</v>
      </c>
    </row>
    <row r="3177" spans="1:8" hidden="1" x14ac:dyDescent="0.25">
      <c r="A3177" s="116">
        <v>44910</v>
      </c>
      <c r="B3177" s="756" t="s">
        <v>6562</v>
      </c>
      <c r="C3177" s="764" t="s">
        <v>164</v>
      </c>
      <c r="D3177" s="795"/>
      <c r="E3177" s="765"/>
      <c r="F3177" s="766">
        <v>9328</v>
      </c>
      <c r="G3177" s="767">
        <f t="shared" si="51"/>
        <v>-9328</v>
      </c>
      <c r="H3177" s="1234"/>
    </row>
    <row r="3178" spans="1:8" hidden="1" x14ac:dyDescent="0.25">
      <c r="A3178" s="116">
        <v>44910</v>
      </c>
      <c r="B3178" s="756" t="s">
        <v>7132</v>
      </c>
      <c r="C3178" s="764" t="s">
        <v>164</v>
      </c>
      <c r="D3178" s="795"/>
      <c r="E3178" s="765"/>
      <c r="F3178" s="766">
        <v>247</v>
      </c>
      <c r="G3178" s="767">
        <f t="shared" si="51"/>
        <v>-247</v>
      </c>
      <c r="H3178" s="1234"/>
    </row>
    <row r="3179" spans="1:8" hidden="1" x14ac:dyDescent="0.25">
      <c r="A3179" s="116">
        <v>44910</v>
      </c>
      <c r="B3179" s="756" t="s">
        <v>1407</v>
      </c>
      <c r="C3179" s="764" t="s">
        <v>164</v>
      </c>
      <c r="D3179" s="795"/>
      <c r="E3179" s="765"/>
      <c r="F3179" s="766">
        <v>23076</v>
      </c>
      <c r="G3179" s="767">
        <f t="shared" si="51"/>
        <v>-23076</v>
      </c>
      <c r="H3179" s="1234"/>
    </row>
    <row r="3180" spans="1:8" hidden="1" x14ac:dyDescent="0.25">
      <c r="A3180" s="116">
        <v>44910</v>
      </c>
      <c r="B3180" s="756" t="s">
        <v>8000</v>
      </c>
      <c r="C3180" s="764" t="s">
        <v>8479</v>
      </c>
      <c r="D3180" s="795"/>
      <c r="E3180" s="765"/>
      <c r="F3180" s="766">
        <v>250000</v>
      </c>
      <c r="G3180" s="767">
        <f t="shared" si="51"/>
        <v>-250000</v>
      </c>
      <c r="H3180" s="764" t="s">
        <v>8975</v>
      </c>
    </row>
    <row r="3181" spans="1:8" hidden="1" x14ac:dyDescent="0.25">
      <c r="A3181" s="116">
        <v>44910</v>
      </c>
      <c r="B3181" s="756" t="s">
        <v>8122</v>
      </c>
      <c r="C3181" s="764" t="s">
        <v>7538</v>
      </c>
      <c r="D3181" s="795"/>
      <c r="E3181" s="765"/>
      <c r="F3181" s="766">
        <v>300000</v>
      </c>
      <c r="G3181" s="767">
        <f t="shared" si="51"/>
        <v>-300000</v>
      </c>
      <c r="H3181" s="764" t="s">
        <v>8975</v>
      </c>
    </row>
    <row r="3182" spans="1:8" hidden="1" x14ac:dyDescent="0.25">
      <c r="A3182" s="116">
        <v>44910</v>
      </c>
      <c r="B3182" s="756" t="s">
        <v>8122</v>
      </c>
      <c r="C3182" s="764" t="s">
        <v>7538</v>
      </c>
      <c r="D3182" s="795"/>
      <c r="E3182" s="765"/>
      <c r="F3182" s="766">
        <v>300000</v>
      </c>
      <c r="G3182" s="767">
        <f t="shared" si="51"/>
        <v>-300000</v>
      </c>
      <c r="H3182" s="764" t="s">
        <v>8975</v>
      </c>
    </row>
    <row r="3183" spans="1:8" hidden="1" x14ac:dyDescent="0.25">
      <c r="A3183" s="116">
        <v>44911</v>
      </c>
      <c r="B3183" s="756" t="s">
        <v>8426</v>
      </c>
      <c r="C3183" s="764" t="s">
        <v>2212</v>
      </c>
      <c r="D3183" s="795" t="s">
        <v>9014</v>
      </c>
      <c r="E3183" s="765">
        <v>17800</v>
      </c>
      <c r="F3183" s="766"/>
      <c r="G3183" s="767">
        <f t="shared" si="51"/>
        <v>17800</v>
      </c>
      <c r="H3183" s="764" t="s">
        <v>9015</v>
      </c>
    </row>
    <row r="3184" spans="1:8" hidden="1" x14ac:dyDescent="0.25">
      <c r="A3184" s="116">
        <v>44911</v>
      </c>
      <c r="B3184" s="756" t="s">
        <v>8752</v>
      </c>
      <c r="C3184" s="13" t="s">
        <v>5234</v>
      </c>
      <c r="D3184" s="795"/>
      <c r="E3184" s="765"/>
      <c r="F3184" s="766">
        <v>216700</v>
      </c>
      <c r="G3184" s="767">
        <f t="shared" si="51"/>
        <v>-216700</v>
      </c>
      <c r="H3184" s="764" t="s">
        <v>9437</v>
      </c>
    </row>
    <row r="3185" spans="1:8" hidden="1" x14ac:dyDescent="0.25">
      <c r="A3185" s="116">
        <v>44912</v>
      </c>
      <c r="B3185" s="756" t="s">
        <v>8653</v>
      </c>
      <c r="C3185" s="764" t="s">
        <v>7854</v>
      </c>
      <c r="D3185" s="795"/>
      <c r="E3185" s="765"/>
      <c r="F3185" s="766">
        <v>10000</v>
      </c>
      <c r="G3185" s="767">
        <f t="shared" si="51"/>
        <v>-10000</v>
      </c>
      <c r="H3185" s="764" t="s">
        <v>5431</v>
      </c>
    </row>
    <row r="3186" spans="1:8" hidden="1" x14ac:dyDescent="0.25">
      <c r="A3186" s="116">
        <v>44914</v>
      </c>
      <c r="B3186" s="756" t="s">
        <v>8122</v>
      </c>
      <c r="C3186" s="764" t="s">
        <v>5113</v>
      </c>
      <c r="D3186" s="795"/>
      <c r="E3186" s="765"/>
      <c r="F3186" s="766">
        <v>80000</v>
      </c>
      <c r="G3186" s="767">
        <f t="shared" si="51"/>
        <v>-80000</v>
      </c>
      <c r="H3186" s="764" t="s">
        <v>9000</v>
      </c>
    </row>
    <row r="3187" spans="1:8" hidden="1" x14ac:dyDescent="0.25">
      <c r="A3187" s="116">
        <v>44914</v>
      </c>
      <c r="B3187" s="756" t="s">
        <v>1407</v>
      </c>
      <c r="C3187" s="764" t="s">
        <v>3039</v>
      </c>
      <c r="D3187" s="795"/>
      <c r="E3187" s="765"/>
      <c r="F3187" s="766">
        <v>14000</v>
      </c>
      <c r="G3187" s="767">
        <f t="shared" si="51"/>
        <v>-14000</v>
      </c>
      <c r="H3187" s="1233" t="s">
        <v>9002</v>
      </c>
    </row>
    <row r="3188" spans="1:8" hidden="1" x14ac:dyDescent="0.25">
      <c r="A3188" s="116">
        <v>44914</v>
      </c>
      <c r="B3188" s="756" t="s">
        <v>6568</v>
      </c>
      <c r="C3188" s="764" t="s">
        <v>3039</v>
      </c>
      <c r="D3188" s="795"/>
      <c r="E3188" s="765"/>
      <c r="F3188" s="766">
        <v>11000</v>
      </c>
      <c r="G3188" s="767">
        <f t="shared" si="51"/>
        <v>-11000</v>
      </c>
      <c r="H3188" s="1233"/>
    </row>
    <row r="3189" spans="1:8" hidden="1" x14ac:dyDescent="0.25">
      <c r="A3189" s="116">
        <v>44914</v>
      </c>
      <c r="B3189" s="756" t="s">
        <v>8122</v>
      </c>
      <c r="C3189" s="764" t="s">
        <v>3039</v>
      </c>
      <c r="D3189" s="795"/>
      <c r="E3189" s="765"/>
      <c r="F3189" s="766">
        <v>25000</v>
      </c>
      <c r="G3189" s="767">
        <f t="shared" si="51"/>
        <v>-25000</v>
      </c>
      <c r="H3189" s="1233"/>
    </row>
    <row r="3190" spans="1:8" hidden="1" x14ac:dyDescent="0.25">
      <c r="A3190" s="116">
        <v>44917</v>
      </c>
      <c r="B3190" s="756" t="s">
        <v>8974</v>
      </c>
      <c r="C3190" s="764" t="s">
        <v>166</v>
      </c>
      <c r="D3190" s="795" t="s">
        <v>9016</v>
      </c>
      <c r="E3190" s="765">
        <v>78000</v>
      </c>
      <c r="F3190" s="766"/>
      <c r="G3190" s="767">
        <f t="shared" si="51"/>
        <v>78000</v>
      </c>
      <c r="H3190" s="764" t="s">
        <v>9017</v>
      </c>
    </row>
    <row r="3191" spans="1:8" hidden="1" x14ac:dyDescent="0.25">
      <c r="A3191" s="116">
        <v>44917</v>
      </c>
      <c r="B3191" s="756" t="s">
        <v>8982</v>
      </c>
      <c r="C3191" s="764" t="s">
        <v>180</v>
      </c>
      <c r="D3191" s="795" t="s">
        <v>9045</v>
      </c>
      <c r="E3191" s="765">
        <v>247080</v>
      </c>
      <c r="F3191" s="766"/>
      <c r="G3191" s="767">
        <f t="shared" si="51"/>
        <v>247080</v>
      </c>
      <c r="H3191" s="764"/>
    </row>
    <row r="3192" spans="1:8" hidden="1" x14ac:dyDescent="0.25">
      <c r="A3192" s="116">
        <v>44917</v>
      </c>
      <c r="B3192" s="756" t="s">
        <v>8653</v>
      </c>
      <c r="C3192" s="764" t="s">
        <v>7854</v>
      </c>
      <c r="D3192" s="795"/>
      <c r="E3192" s="765"/>
      <c r="F3192" s="766">
        <v>15000</v>
      </c>
      <c r="G3192" s="767">
        <f t="shared" si="51"/>
        <v>-15000</v>
      </c>
      <c r="H3192" s="764"/>
    </row>
    <row r="3193" spans="1:8" hidden="1" x14ac:dyDescent="0.25">
      <c r="A3193" s="116">
        <v>44918</v>
      </c>
      <c r="B3193" s="756" t="s">
        <v>8000</v>
      </c>
      <c r="C3193" s="764" t="s">
        <v>8329</v>
      </c>
      <c r="D3193" s="795"/>
      <c r="E3193" s="765"/>
      <c r="F3193" s="766">
        <v>150000</v>
      </c>
      <c r="G3193" s="767">
        <f t="shared" si="51"/>
        <v>-150000</v>
      </c>
      <c r="H3193" s="764" t="s">
        <v>9020</v>
      </c>
    </row>
    <row r="3194" spans="1:8" hidden="1" x14ac:dyDescent="0.25">
      <c r="A3194" s="116">
        <v>44918</v>
      </c>
      <c r="B3194" s="756" t="s">
        <v>8000</v>
      </c>
      <c r="C3194" s="764" t="s">
        <v>8329</v>
      </c>
      <c r="D3194" s="795"/>
      <c r="E3194" s="765"/>
      <c r="F3194" s="766">
        <v>150000</v>
      </c>
      <c r="G3194" s="767">
        <f t="shared" si="51"/>
        <v>-150000</v>
      </c>
      <c r="H3194" s="764" t="s">
        <v>9021</v>
      </c>
    </row>
    <row r="3195" spans="1:8" hidden="1" x14ac:dyDescent="0.25">
      <c r="A3195" s="116">
        <v>44919</v>
      </c>
      <c r="B3195" s="756" t="s">
        <v>8752</v>
      </c>
      <c r="C3195" s="764" t="s">
        <v>8483</v>
      </c>
      <c r="D3195" s="795" t="s">
        <v>9074</v>
      </c>
      <c r="E3195" s="765">
        <v>118318</v>
      </c>
      <c r="F3195" s="766"/>
      <c r="G3195" s="767">
        <f t="shared" si="51"/>
        <v>118318</v>
      </c>
      <c r="H3195" s="764"/>
    </row>
    <row r="3196" spans="1:8" hidden="1" x14ac:dyDescent="0.25">
      <c r="A3196" s="116">
        <v>44919</v>
      </c>
      <c r="B3196" s="756" t="s">
        <v>8974</v>
      </c>
      <c r="C3196" s="764" t="s">
        <v>180</v>
      </c>
      <c r="D3196" s="795" t="s">
        <v>9046</v>
      </c>
      <c r="E3196" s="765">
        <v>164160</v>
      </c>
      <c r="F3196" s="766"/>
      <c r="G3196" s="767">
        <f t="shared" si="51"/>
        <v>164160</v>
      </c>
      <c r="H3196" s="764"/>
    </row>
    <row r="3197" spans="1:8" hidden="1" x14ac:dyDescent="0.25">
      <c r="A3197" s="116">
        <v>44921</v>
      </c>
      <c r="B3197" s="756" t="s">
        <v>8974</v>
      </c>
      <c r="C3197" s="13" t="s">
        <v>5234</v>
      </c>
      <c r="D3197" s="795"/>
      <c r="E3197" s="765"/>
      <c r="F3197" s="766">
        <v>190000</v>
      </c>
      <c r="G3197" s="767">
        <f t="shared" si="51"/>
        <v>-190000</v>
      </c>
      <c r="H3197" s="764" t="s">
        <v>9049</v>
      </c>
    </row>
    <row r="3198" spans="1:8" hidden="1" x14ac:dyDescent="0.25">
      <c r="A3198" s="116">
        <v>44922</v>
      </c>
      <c r="B3198" s="756" t="s">
        <v>8653</v>
      </c>
      <c r="C3198" s="764" t="s">
        <v>7538</v>
      </c>
      <c r="D3198" s="795" t="s">
        <v>9072</v>
      </c>
      <c r="E3198" s="765">
        <v>33571</v>
      </c>
      <c r="F3198" s="766"/>
      <c r="G3198" s="767">
        <f t="shared" si="51"/>
        <v>33571</v>
      </c>
      <c r="H3198" s="764" t="s">
        <v>9073</v>
      </c>
    </row>
    <row r="3199" spans="1:8" hidden="1" x14ac:dyDescent="0.25">
      <c r="A3199" s="116">
        <v>44924</v>
      </c>
      <c r="B3199" s="756" t="s">
        <v>8122</v>
      </c>
      <c r="C3199" s="764" t="s">
        <v>7538</v>
      </c>
      <c r="D3199" s="795"/>
      <c r="E3199" s="765"/>
      <c r="F3199" s="766">
        <v>333000</v>
      </c>
      <c r="G3199" s="767">
        <f t="shared" si="51"/>
        <v>-333000</v>
      </c>
      <c r="H3199" s="764" t="s">
        <v>9062</v>
      </c>
    </row>
    <row r="3200" spans="1:8" hidden="1" x14ac:dyDescent="0.25">
      <c r="A3200" s="116">
        <v>44924</v>
      </c>
      <c r="B3200" s="756" t="s">
        <v>8122</v>
      </c>
      <c r="C3200" s="764" t="s">
        <v>7538</v>
      </c>
      <c r="D3200" s="795"/>
      <c r="E3200" s="765"/>
      <c r="F3200" s="766">
        <v>333000</v>
      </c>
      <c r="G3200" s="767">
        <f t="shared" si="51"/>
        <v>-333000</v>
      </c>
      <c r="H3200" s="764" t="s">
        <v>9063</v>
      </c>
    </row>
    <row r="3201" spans="1:8" hidden="1" x14ac:dyDescent="0.25">
      <c r="A3201" s="116">
        <v>44924</v>
      </c>
      <c r="B3201" s="756" t="s">
        <v>8122</v>
      </c>
      <c r="C3201" s="764" t="s">
        <v>7538</v>
      </c>
      <c r="D3201" s="795"/>
      <c r="E3201" s="765"/>
      <c r="F3201" s="766">
        <v>334000</v>
      </c>
      <c r="G3201" s="767">
        <f t="shared" si="51"/>
        <v>-334000</v>
      </c>
      <c r="H3201" s="764" t="s">
        <v>9064</v>
      </c>
    </row>
    <row r="3202" spans="1:8" hidden="1" x14ac:dyDescent="0.25">
      <c r="A3202" s="116">
        <v>44924</v>
      </c>
      <c r="B3202" s="756" t="s">
        <v>8752</v>
      </c>
      <c r="C3202" s="764" t="s">
        <v>166</v>
      </c>
      <c r="D3202" s="795" t="s">
        <v>9088</v>
      </c>
      <c r="E3202" s="765">
        <v>149500</v>
      </c>
      <c r="F3202" s="766"/>
      <c r="G3202" s="767">
        <f t="shared" si="51"/>
        <v>149500</v>
      </c>
      <c r="H3202" s="764" t="s">
        <v>9089</v>
      </c>
    </row>
    <row r="3203" spans="1:8" hidden="1" x14ac:dyDescent="0.25">
      <c r="A3203" s="116">
        <v>44924</v>
      </c>
      <c r="B3203" s="756" t="s">
        <v>8426</v>
      </c>
      <c r="C3203" s="764" t="s">
        <v>166</v>
      </c>
      <c r="D3203" s="795" t="s">
        <v>9071</v>
      </c>
      <c r="E3203" s="765">
        <v>17000</v>
      </c>
      <c r="F3203" s="766"/>
      <c r="G3203" s="767">
        <f t="shared" si="51"/>
        <v>17000</v>
      </c>
      <c r="H3203" s="764" t="s">
        <v>9070</v>
      </c>
    </row>
    <row r="3204" spans="1:8" hidden="1" x14ac:dyDescent="0.25">
      <c r="A3204" s="116">
        <v>44924</v>
      </c>
      <c r="B3204" s="756" t="s">
        <v>8752</v>
      </c>
      <c r="C3204" s="764" t="s">
        <v>8483</v>
      </c>
      <c r="D3204" s="795" t="s">
        <v>9075</v>
      </c>
      <c r="E3204" s="765">
        <v>38995</v>
      </c>
      <c r="F3204" s="766"/>
      <c r="G3204" s="767">
        <f t="shared" si="51"/>
        <v>38995</v>
      </c>
      <c r="H3204" s="764"/>
    </row>
    <row r="3205" spans="1:8" ht="25.5" hidden="1" x14ac:dyDescent="0.25">
      <c r="A3205" s="116">
        <v>44925</v>
      </c>
      <c r="B3205" s="756" t="s">
        <v>8974</v>
      </c>
      <c r="C3205" s="764" t="s">
        <v>7309</v>
      </c>
      <c r="D3205" s="795"/>
      <c r="E3205" s="765"/>
      <c r="F3205" s="766">
        <v>410600</v>
      </c>
      <c r="G3205" s="767">
        <f t="shared" si="51"/>
        <v>-410600</v>
      </c>
      <c r="H3205" s="78" t="s">
        <v>9069</v>
      </c>
    </row>
    <row r="3206" spans="1:8" ht="25.5" hidden="1" x14ac:dyDescent="0.25">
      <c r="A3206" s="116">
        <v>44925</v>
      </c>
      <c r="B3206" s="756" t="s">
        <v>8426</v>
      </c>
      <c r="C3206" s="764" t="s">
        <v>7309</v>
      </c>
      <c r="D3206" s="795"/>
      <c r="E3206" s="765"/>
      <c r="F3206" s="766">
        <v>370200</v>
      </c>
      <c r="G3206" s="767">
        <f t="shared" si="51"/>
        <v>-370200</v>
      </c>
      <c r="H3206" s="78" t="s">
        <v>9069</v>
      </c>
    </row>
    <row r="3207" spans="1:8" ht="25.5" hidden="1" x14ac:dyDescent="0.25">
      <c r="A3207" s="116">
        <v>44925</v>
      </c>
      <c r="B3207" s="756" t="s">
        <v>8653</v>
      </c>
      <c r="C3207" s="764" t="s">
        <v>7309</v>
      </c>
      <c r="D3207" s="795"/>
      <c r="E3207" s="765"/>
      <c r="F3207" s="766">
        <v>275600</v>
      </c>
      <c r="G3207" s="767">
        <f t="shared" si="51"/>
        <v>-275600</v>
      </c>
      <c r="H3207" s="78" t="s">
        <v>9069</v>
      </c>
    </row>
    <row r="3208" spans="1:8" hidden="1" x14ac:dyDescent="0.25">
      <c r="A3208" s="116">
        <v>44925</v>
      </c>
      <c r="B3208" s="756" t="s">
        <v>8426</v>
      </c>
      <c r="C3208" s="13" t="s">
        <v>8803</v>
      </c>
      <c r="D3208" s="782"/>
      <c r="E3208" s="22"/>
      <c r="F3208" s="19">
        <v>100000</v>
      </c>
      <c r="G3208" s="14">
        <f t="shared" si="51"/>
        <v>-100000</v>
      </c>
      <c r="H3208" s="13" t="s">
        <v>9087</v>
      </c>
    </row>
    <row r="3209" spans="1:8" hidden="1" x14ac:dyDescent="0.25">
      <c r="A3209" s="116">
        <v>44928</v>
      </c>
      <c r="B3209" s="756" t="s">
        <v>8426</v>
      </c>
      <c r="C3209" s="13" t="s">
        <v>2212</v>
      </c>
      <c r="D3209" s="782" t="s">
        <v>9090</v>
      </c>
      <c r="E3209" s="22">
        <v>16800</v>
      </c>
      <c r="F3209" s="19"/>
      <c r="G3209" s="14">
        <f t="shared" si="51"/>
        <v>16800</v>
      </c>
      <c r="H3209" s="764" t="s">
        <v>9015</v>
      </c>
    </row>
    <row r="3210" spans="1:8" hidden="1" x14ac:dyDescent="0.25">
      <c r="A3210" s="116">
        <v>44928</v>
      </c>
      <c r="B3210" s="756" t="s">
        <v>8426</v>
      </c>
      <c r="C3210" s="13" t="s">
        <v>2212</v>
      </c>
      <c r="D3210" s="782" t="s">
        <v>9091</v>
      </c>
      <c r="E3210" s="22">
        <v>40500</v>
      </c>
      <c r="F3210" s="19"/>
      <c r="G3210" s="14">
        <f t="shared" si="51"/>
        <v>40500</v>
      </c>
      <c r="H3210" s="764" t="s">
        <v>9092</v>
      </c>
    </row>
    <row r="3211" spans="1:8" hidden="1" x14ac:dyDescent="0.25">
      <c r="A3211" s="116">
        <v>44929</v>
      </c>
      <c r="B3211" s="756" t="s">
        <v>8653</v>
      </c>
      <c r="C3211" s="13" t="s">
        <v>7309</v>
      </c>
      <c r="D3211" s="782" t="s">
        <v>8835</v>
      </c>
      <c r="E3211" s="22">
        <v>704772</v>
      </c>
      <c r="F3211" s="19"/>
      <c r="G3211" s="14">
        <f t="shared" si="51"/>
        <v>704772</v>
      </c>
      <c r="H3211" s="764"/>
    </row>
    <row r="3212" spans="1:8" hidden="1" x14ac:dyDescent="0.25">
      <c r="A3212" s="116">
        <v>44929</v>
      </c>
      <c r="B3212" s="756" t="s">
        <v>8752</v>
      </c>
      <c r="C3212" s="13" t="s">
        <v>7309</v>
      </c>
      <c r="D3212" s="782" t="s">
        <v>8911</v>
      </c>
      <c r="E3212" s="22">
        <v>480779</v>
      </c>
      <c r="F3212" s="19"/>
      <c r="G3212" s="14">
        <f t="shared" si="51"/>
        <v>480779</v>
      </c>
      <c r="H3212" s="764"/>
    </row>
    <row r="3213" spans="1:8" hidden="1" x14ac:dyDescent="0.25">
      <c r="A3213" s="116">
        <v>44929</v>
      </c>
      <c r="B3213" s="756" t="s">
        <v>8974</v>
      </c>
      <c r="C3213" s="13" t="s">
        <v>7309</v>
      </c>
      <c r="D3213" s="782" t="s">
        <v>8912</v>
      </c>
      <c r="E3213" s="22">
        <v>353420</v>
      </c>
      <c r="F3213" s="19"/>
      <c r="G3213" s="14">
        <f t="shared" si="51"/>
        <v>353420</v>
      </c>
      <c r="H3213" s="764"/>
    </row>
    <row r="3214" spans="1:8" hidden="1" x14ac:dyDescent="0.25">
      <c r="A3214" s="116">
        <v>44929</v>
      </c>
      <c r="B3214" s="756" t="s">
        <v>8122</v>
      </c>
      <c r="C3214" s="13" t="s">
        <v>7309</v>
      </c>
      <c r="D3214" s="782" t="s">
        <v>9074</v>
      </c>
      <c r="E3214" s="22">
        <v>83410</v>
      </c>
      <c r="F3214" s="19"/>
      <c r="G3214" s="14">
        <f t="shared" si="51"/>
        <v>83410</v>
      </c>
      <c r="H3214" s="764"/>
    </row>
    <row r="3215" spans="1:8" hidden="1" x14ac:dyDescent="0.25">
      <c r="A3215" s="116">
        <v>44930</v>
      </c>
      <c r="B3215" s="756" t="s">
        <v>8426</v>
      </c>
      <c r="C3215" s="13" t="s">
        <v>2212</v>
      </c>
      <c r="D3215" s="782" t="s">
        <v>9147</v>
      </c>
      <c r="E3215" s="22">
        <v>9450</v>
      </c>
      <c r="F3215" s="19"/>
      <c r="G3215" s="14">
        <f t="shared" si="51"/>
        <v>9450</v>
      </c>
      <c r="H3215" s="764" t="s">
        <v>9149</v>
      </c>
    </row>
    <row r="3216" spans="1:8" hidden="1" x14ac:dyDescent="0.25">
      <c r="A3216" s="116">
        <v>44932</v>
      </c>
      <c r="B3216" s="756" t="s">
        <v>8426</v>
      </c>
      <c r="C3216" s="13" t="s">
        <v>7309</v>
      </c>
      <c r="D3216" s="782"/>
      <c r="E3216" s="22"/>
      <c r="F3216" s="19">
        <v>300000</v>
      </c>
      <c r="G3216" s="14">
        <f t="shared" si="51"/>
        <v>-300000</v>
      </c>
      <c r="H3216" s="13" t="s">
        <v>9094</v>
      </c>
    </row>
    <row r="3217" spans="1:8" hidden="1" x14ac:dyDescent="0.25">
      <c r="A3217" s="116">
        <v>44932</v>
      </c>
      <c r="B3217" s="756" t="s">
        <v>8426</v>
      </c>
      <c r="C3217" s="13" t="s">
        <v>7309</v>
      </c>
      <c r="D3217" s="782"/>
      <c r="E3217" s="22"/>
      <c r="F3217" s="19">
        <v>300000</v>
      </c>
      <c r="G3217" s="14">
        <f t="shared" si="51"/>
        <v>-300000</v>
      </c>
      <c r="H3217" s="13" t="s">
        <v>9093</v>
      </c>
    </row>
    <row r="3218" spans="1:8" hidden="1" x14ac:dyDescent="0.25">
      <c r="A3218" s="116">
        <v>44932</v>
      </c>
      <c r="B3218" s="756" t="s">
        <v>8426</v>
      </c>
      <c r="C3218" s="13" t="s">
        <v>7309</v>
      </c>
      <c r="D3218" s="782"/>
      <c r="E3218" s="22"/>
      <c r="F3218" s="19">
        <v>284875</v>
      </c>
      <c r="G3218" s="14">
        <f t="shared" si="51"/>
        <v>-284875</v>
      </c>
      <c r="H3218" s="13" t="s">
        <v>5019</v>
      </c>
    </row>
    <row r="3219" spans="1:8" hidden="1" x14ac:dyDescent="0.25">
      <c r="A3219" s="116">
        <v>44932</v>
      </c>
      <c r="B3219" s="756" t="s">
        <v>8426</v>
      </c>
      <c r="C3219" s="13" t="s">
        <v>7309</v>
      </c>
      <c r="D3219" s="782"/>
      <c r="E3219" s="22">
        <v>22990</v>
      </c>
      <c r="F3219" s="19"/>
      <c r="G3219" s="14">
        <f t="shared" si="51"/>
        <v>22990</v>
      </c>
      <c r="H3219" s="13" t="s">
        <v>5019</v>
      </c>
    </row>
    <row r="3220" spans="1:8" hidden="1" x14ac:dyDescent="0.25">
      <c r="A3220" s="116">
        <v>44935</v>
      </c>
      <c r="B3220" s="21" t="s">
        <v>8122</v>
      </c>
      <c r="C3220" s="13" t="s">
        <v>8545</v>
      </c>
      <c r="D3220" s="782" t="s">
        <v>9096</v>
      </c>
      <c r="E3220" s="22">
        <v>120000</v>
      </c>
      <c r="F3220" s="19"/>
      <c r="G3220" s="14">
        <f t="shared" si="51"/>
        <v>120000</v>
      </c>
      <c r="H3220" s="13"/>
    </row>
    <row r="3221" spans="1:8" hidden="1" x14ac:dyDescent="0.25">
      <c r="A3221" s="116">
        <v>44935</v>
      </c>
      <c r="B3221" s="21" t="s">
        <v>8974</v>
      </c>
      <c r="C3221" s="13" t="s">
        <v>2212</v>
      </c>
      <c r="D3221" s="782" t="s">
        <v>9148</v>
      </c>
      <c r="E3221" s="22">
        <v>7360</v>
      </c>
      <c r="F3221" s="19"/>
      <c r="G3221" s="14">
        <f t="shared" si="51"/>
        <v>7360</v>
      </c>
      <c r="H3221" s="13" t="s">
        <v>9150</v>
      </c>
    </row>
    <row r="3222" spans="1:8" hidden="1" x14ac:dyDescent="0.25">
      <c r="A3222" s="116">
        <v>44933</v>
      </c>
      <c r="B3222" s="21" t="s">
        <v>8426</v>
      </c>
      <c r="C3222" s="13" t="s">
        <v>7538</v>
      </c>
      <c r="D3222" s="782" t="s">
        <v>9159</v>
      </c>
      <c r="E3222" s="22">
        <v>33600</v>
      </c>
      <c r="F3222" s="19"/>
      <c r="G3222" s="14">
        <f t="shared" si="51"/>
        <v>33600</v>
      </c>
      <c r="H3222" s="13" t="s">
        <v>9160</v>
      </c>
    </row>
    <row r="3223" spans="1:8" hidden="1" x14ac:dyDescent="0.25">
      <c r="A3223" s="116">
        <v>44933</v>
      </c>
      <c r="B3223" s="21" t="s">
        <v>8122</v>
      </c>
      <c r="C3223" s="13" t="s">
        <v>8545</v>
      </c>
      <c r="D3223" s="782"/>
      <c r="E3223" s="22"/>
      <c r="F3223" s="19">
        <v>58000</v>
      </c>
      <c r="G3223" s="14">
        <f t="shared" si="51"/>
        <v>-58000</v>
      </c>
      <c r="H3223" s="1146" t="s">
        <v>9095</v>
      </c>
    </row>
    <row r="3224" spans="1:8" hidden="1" x14ac:dyDescent="0.25">
      <c r="A3224" s="116">
        <v>44933</v>
      </c>
      <c r="B3224" s="21" t="s">
        <v>8000</v>
      </c>
      <c r="C3224" s="13" t="s">
        <v>8545</v>
      </c>
      <c r="D3224" s="782"/>
      <c r="E3224" s="22"/>
      <c r="F3224" s="19">
        <v>42000</v>
      </c>
      <c r="G3224" s="14">
        <f t="shared" si="51"/>
        <v>-42000</v>
      </c>
      <c r="H3224" s="1148"/>
    </row>
    <row r="3225" spans="1:8" hidden="1" x14ac:dyDescent="0.25">
      <c r="A3225" s="116">
        <v>44935</v>
      </c>
      <c r="B3225" s="21" t="s">
        <v>3979</v>
      </c>
      <c r="C3225" s="13" t="s">
        <v>7587</v>
      </c>
      <c r="D3225" s="782"/>
      <c r="E3225" s="22">
        <v>500000</v>
      </c>
      <c r="F3225" s="19"/>
      <c r="G3225" s="14">
        <f t="shared" si="51"/>
        <v>500000</v>
      </c>
      <c r="H3225" s="13" t="s">
        <v>5019</v>
      </c>
    </row>
    <row r="3226" spans="1:8" hidden="1" x14ac:dyDescent="0.25">
      <c r="A3226" s="116">
        <v>44935</v>
      </c>
      <c r="B3226" s="21" t="s">
        <v>8032</v>
      </c>
      <c r="C3226" s="13" t="s">
        <v>8033</v>
      </c>
      <c r="D3226" s="782"/>
      <c r="E3226" s="22">
        <v>35000</v>
      </c>
      <c r="F3226" s="19"/>
      <c r="G3226" s="14">
        <f t="shared" si="51"/>
        <v>35000</v>
      </c>
      <c r="H3226" s="13" t="s">
        <v>5019</v>
      </c>
    </row>
    <row r="3227" spans="1:8" hidden="1" x14ac:dyDescent="0.25">
      <c r="A3227" s="116">
        <v>44935</v>
      </c>
      <c r="B3227" s="21" t="s">
        <v>8752</v>
      </c>
      <c r="C3227" s="13" t="s">
        <v>166</v>
      </c>
      <c r="D3227" s="782" t="s">
        <v>9162</v>
      </c>
      <c r="E3227" s="22">
        <v>126500</v>
      </c>
      <c r="F3227" s="19"/>
      <c r="G3227" s="14">
        <f t="shared" si="51"/>
        <v>126500</v>
      </c>
      <c r="H3227" s="764" t="s">
        <v>9163</v>
      </c>
    </row>
    <row r="3228" spans="1:8" hidden="1" x14ac:dyDescent="0.25">
      <c r="A3228" s="116">
        <v>44935</v>
      </c>
      <c r="B3228" s="21" t="s">
        <v>8752</v>
      </c>
      <c r="C3228" s="13" t="s">
        <v>8483</v>
      </c>
      <c r="D3228" s="782"/>
      <c r="E3228" s="22"/>
      <c r="F3228" s="19">
        <v>1000000</v>
      </c>
      <c r="G3228" s="14">
        <f t="shared" si="51"/>
        <v>-1000000</v>
      </c>
      <c r="H3228" s="13" t="s">
        <v>9113</v>
      </c>
    </row>
    <row r="3229" spans="1:8" hidden="1" x14ac:dyDescent="0.25">
      <c r="A3229" s="116">
        <v>44935</v>
      </c>
      <c r="B3229" s="21" t="s">
        <v>8000</v>
      </c>
      <c r="C3229" s="13" t="s">
        <v>4445</v>
      </c>
      <c r="D3229" s="782"/>
      <c r="E3229" s="22"/>
      <c r="F3229" s="19">
        <v>200000</v>
      </c>
      <c r="G3229" s="14">
        <f t="shared" si="51"/>
        <v>-200000</v>
      </c>
      <c r="H3229" s="13" t="s">
        <v>9114</v>
      </c>
    </row>
    <row r="3230" spans="1:8" hidden="1" x14ac:dyDescent="0.25">
      <c r="A3230" s="116">
        <v>44935</v>
      </c>
      <c r="B3230" s="21" t="s">
        <v>6565</v>
      </c>
      <c r="C3230" s="13" t="s">
        <v>4445</v>
      </c>
      <c r="D3230" s="782"/>
      <c r="E3230" s="22"/>
      <c r="F3230" s="19">
        <v>100000</v>
      </c>
      <c r="G3230" s="14">
        <f t="shared" si="51"/>
        <v>-100000</v>
      </c>
      <c r="H3230" s="13" t="s">
        <v>9095</v>
      </c>
    </row>
    <row r="3231" spans="1:8" hidden="1" x14ac:dyDescent="0.25">
      <c r="A3231" s="116">
        <v>44935</v>
      </c>
      <c r="B3231" s="21" t="s">
        <v>7132</v>
      </c>
      <c r="C3231" s="13" t="s">
        <v>4445</v>
      </c>
      <c r="D3231" s="782"/>
      <c r="E3231" s="22"/>
      <c r="F3231" s="19">
        <v>150000</v>
      </c>
      <c r="G3231" s="14">
        <f t="shared" si="51"/>
        <v>-150000</v>
      </c>
      <c r="H3231" s="13" t="s">
        <v>7955</v>
      </c>
    </row>
    <row r="3232" spans="1:8" hidden="1" x14ac:dyDescent="0.25">
      <c r="A3232" s="116">
        <v>44935</v>
      </c>
      <c r="B3232" s="21" t="s">
        <v>8000</v>
      </c>
      <c r="C3232" s="13" t="s">
        <v>4445</v>
      </c>
      <c r="D3232" s="782"/>
      <c r="E3232" s="22"/>
      <c r="F3232" s="19">
        <v>209759</v>
      </c>
      <c r="G3232" s="14">
        <f t="shared" si="51"/>
        <v>-209759</v>
      </c>
      <c r="H3232" s="13" t="s">
        <v>7955</v>
      </c>
    </row>
    <row r="3233" spans="1:8" hidden="1" x14ac:dyDescent="0.25">
      <c r="A3233" s="116">
        <v>44935</v>
      </c>
      <c r="B3233" s="21" t="s">
        <v>8653</v>
      </c>
      <c r="C3233" s="13" t="s">
        <v>7854</v>
      </c>
      <c r="D3233" s="782"/>
      <c r="E3233" s="22"/>
      <c r="F3233" s="19">
        <v>20000</v>
      </c>
      <c r="G3233" s="14">
        <f t="shared" si="51"/>
        <v>-20000</v>
      </c>
      <c r="H3233" s="13"/>
    </row>
    <row r="3234" spans="1:8" hidden="1" x14ac:dyDescent="0.25">
      <c r="A3234" s="116">
        <v>44935</v>
      </c>
      <c r="B3234" s="21" t="s">
        <v>8653</v>
      </c>
      <c r="C3234" s="13" t="s">
        <v>7854</v>
      </c>
      <c r="D3234" s="782"/>
      <c r="E3234" s="22"/>
      <c r="F3234" s="113">
        <v>10000</v>
      </c>
      <c r="G3234" s="14">
        <f t="shared" si="51"/>
        <v>-10000</v>
      </c>
      <c r="H3234" s="13"/>
    </row>
    <row r="3235" spans="1:8" hidden="1" x14ac:dyDescent="0.25">
      <c r="A3235" s="116">
        <v>44937</v>
      </c>
      <c r="B3235" s="21" t="s">
        <v>8426</v>
      </c>
      <c r="C3235" s="13" t="s">
        <v>7538</v>
      </c>
      <c r="D3235" s="782" t="s">
        <v>9393</v>
      </c>
      <c r="E3235" s="799">
        <v>49065</v>
      </c>
      <c r="F3235" s="113"/>
      <c r="G3235" s="14">
        <f t="shared" si="51"/>
        <v>49065</v>
      </c>
      <c r="H3235" s="13" t="s">
        <v>9394</v>
      </c>
    </row>
    <row r="3236" spans="1:8" hidden="1" x14ac:dyDescent="0.25">
      <c r="A3236" s="116">
        <v>44938</v>
      </c>
      <c r="B3236" s="21" t="s">
        <v>8982</v>
      </c>
      <c r="C3236" s="13" t="s">
        <v>2212</v>
      </c>
      <c r="D3236" s="782" t="s">
        <v>9151</v>
      </c>
      <c r="E3236" s="799">
        <v>45500</v>
      </c>
      <c r="F3236" s="113"/>
      <c r="G3236" s="14">
        <f t="shared" si="51"/>
        <v>45500</v>
      </c>
      <c r="H3236" s="764" t="s">
        <v>9152</v>
      </c>
    </row>
    <row r="3237" spans="1:8" hidden="1" x14ac:dyDescent="0.25">
      <c r="A3237" s="116">
        <v>44938</v>
      </c>
      <c r="B3237" s="21" t="s">
        <v>8752</v>
      </c>
      <c r="C3237" s="13" t="s">
        <v>166</v>
      </c>
      <c r="D3237" s="782" t="s">
        <v>9161</v>
      </c>
      <c r="E3237" s="799">
        <v>126500</v>
      </c>
      <c r="F3237" s="113"/>
      <c r="G3237" s="14">
        <f t="shared" si="51"/>
        <v>126500</v>
      </c>
      <c r="H3237" s="764" t="s">
        <v>9163</v>
      </c>
    </row>
    <row r="3238" spans="1:8" hidden="1" x14ac:dyDescent="0.25">
      <c r="A3238" s="116">
        <v>44939</v>
      </c>
      <c r="B3238" s="21" t="s">
        <v>8982</v>
      </c>
      <c r="C3238" s="13" t="s">
        <v>169</v>
      </c>
      <c r="D3238" s="782" t="s">
        <v>9155</v>
      </c>
      <c r="E3238" s="799">
        <v>25754</v>
      </c>
      <c r="F3238" s="113"/>
      <c r="G3238" s="14">
        <f t="shared" si="51"/>
        <v>25754</v>
      </c>
      <c r="H3238" s="764" t="s">
        <v>9156</v>
      </c>
    </row>
    <row r="3239" spans="1:8" hidden="1" x14ac:dyDescent="0.25">
      <c r="A3239" s="116">
        <v>44940</v>
      </c>
      <c r="B3239" s="21" t="s">
        <v>8982</v>
      </c>
      <c r="C3239" s="13" t="s">
        <v>2212</v>
      </c>
      <c r="D3239" s="782" t="s">
        <v>9153</v>
      </c>
      <c r="E3239" s="799">
        <v>47250</v>
      </c>
      <c r="F3239" s="113"/>
      <c r="G3239" s="14">
        <f t="shared" si="51"/>
        <v>47250</v>
      </c>
      <c r="H3239" s="764" t="s">
        <v>9154</v>
      </c>
    </row>
    <row r="3240" spans="1:8" hidden="1" x14ac:dyDescent="0.25">
      <c r="A3240" s="116">
        <v>44942</v>
      </c>
      <c r="B3240" s="21" t="s">
        <v>6562</v>
      </c>
      <c r="C3240" s="13" t="s">
        <v>166</v>
      </c>
      <c r="D3240" s="782"/>
      <c r="E3240" s="799"/>
      <c r="F3240" s="801">
        <v>21400</v>
      </c>
      <c r="G3240" s="800">
        <f t="shared" si="51"/>
        <v>-21400</v>
      </c>
      <c r="H3240" s="1186" t="s">
        <v>9140</v>
      </c>
    </row>
    <row r="3241" spans="1:8" hidden="1" x14ac:dyDescent="0.25">
      <c r="A3241" s="116">
        <v>44942</v>
      </c>
      <c r="B3241" s="21" t="s">
        <v>8000</v>
      </c>
      <c r="C3241" s="13" t="s">
        <v>166</v>
      </c>
      <c r="D3241" s="782"/>
      <c r="E3241" s="799"/>
      <c r="F3241" s="148">
        <v>25000</v>
      </c>
      <c r="G3241" s="800">
        <f t="shared" si="51"/>
        <v>-25000</v>
      </c>
      <c r="H3241" s="1212"/>
    </row>
    <row r="3242" spans="1:8" hidden="1" x14ac:dyDescent="0.25">
      <c r="A3242" s="116">
        <v>44942</v>
      </c>
      <c r="B3242" s="21" t="s">
        <v>8426</v>
      </c>
      <c r="C3242" s="13" t="s">
        <v>166</v>
      </c>
      <c r="D3242" s="782"/>
      <c r="E3242" s="799"/>
      <c r="F3242" s="148">
        <v>69000</v>
      </c>
      <c r="G3242" s="800">
        <f t="shared" si="51"/>
        <v>-69000</v>
      </c>
      <c r="H3242" s="1212"/>
    </row>
    <row r="3243" spans="1:8" hidden="1" x14ac:dyDescent="0.25">
      <c r="A3243" s="116">
        <v>44942</v>
      </c>
      <c r="B3243" s="21" t="s">
        <v>8653</v>
      </c>
      <c r="C3243" s="13" t="s">
        <v>166</v>
      </c>
      <c r="D3243" s="782"/>
      <c r="E3243" s="799"/>
      <c r="F3243" s="148">
        <v>15282</v>
      </c>
      <c r="G3243" s="800">
        <f t="shared" si="51"/>
        <v>-15282</v>
      </c>
      <c r="H3243" s="1212"/>
    </row>
    <row r="3244" spans="1:8" ht="16.5" hidden="1" thickBot="1" x14ac:dyDescent="0.3">
      <c r="A3244" s="116">
        <v>44942</v>
      </c>
      <c r="B3244" s="21" t="s">
        <v>8625</v>
      </c>
      <c r="C3244" s="13" t="s">
        <v>166</v>
      </c>
      <c r="D3244" s="782"/>
      <c r="E3244" s="799"/>
      <c r="F3244" s="802">
        <v>47891</v>
      </c>
      <c r="G3244" s="800">
        <f t="shared" si="51"/>
        <v>-47891</v>
      </c>
      <c r="H3244" s="1187"/>
    </row>
    <row r="3245" spans="1:8" hidden="1" x14ac:dyDescent="0.25">
      <c r="A3245" s="116">
        <v>44942</v>
      </c>
      <c r="B3245" s="21" t="s">
        <v>8752</v>
      </c>
      <c r="C3245" s="13" t="s">
        <v>5234</v>
      </c>
      <c r="D3245" s="782"/>
      <c r="E3245" s="22"/>
      <c r="F3245" s="19">
        <v>150000</v>
      </c>
      <c r="G3245" s="800">
        <f t="shared" si="51"/>
        <v>-150000</v>
      </c>
      <c r="H3245" s="13" t="s">
        <v>9141</v>
      </c>
    </row>
    <row r="3246" spans="1:8" hidden="1" x14ac:dyDescent="0.25">
      <c r="A3246" s="116">
        <v>44943</v>
      </c>
      <c r="B3246" s="21" t="s">
        <v>8982</v>
      </c>
      <c r="C3246" s="13" t="s">
        <v>180</v>
      </c>
      <c r="D3246" s="782" t="s">
        <v>9170</v>
      </c>
      <c r="E3246" s="22">
        <v>263400</v>
      </c>
      <c r="F3246" s="19"/>
      <c r="G3246" s="800">
        <f t="shared" si="51"/>
        <v>263400</v>
      </c>
      <c r="H3246" s="13" t="s">
        <v>9169</v>
      </c>
    </row>
    <row r="3247" spans="1:8" hidden="1" x14ac:dyDescent="0.25">
      <c r="A3247" s="116">
        <v>44947</v>
      </c>
      <c r="B3247" s="21" t="s">
        <v>8982</v>
      </c>
      <c r="C3247" s="13" t="s">
        <v>166</v>
      </c>
      <c r="D3247" s="782" t="s">
        <v>9171</v>
      </c>
      <c r="E3247" s="22">
        <v>17000</v>
      </c>
      <c r="F3247" s="19"/>
      <c r="G3247" s="800">
        <f t="shared" si="51"/>
        <v>17000</v>
      </c>
      <c r="H3247" s="13" t="s">
        <v>9380</v>
      </c>
    </row>
    <row r="3248" spans="1:8" hidden="1" x14ac:dyDescent="0.25">
      <c r="A3248" s="116">
        <v>44947</v>
      </c>
      <c r="B3248" s="21" t="s">
        <v>8982</v>
      </c>
      <c r="C3248" s="13" t="s">
        <v>166</v>
      </c>
      <c r="D3248" s="782" t="s">
        <v>9171</v>
      </c>
      <c r="E3248" s="22">
        <v>72000</v>
      </c>
      <c r="F3248" s="19"/>
      <c r="G3248" s="800">
        <f t="shared" si="51"/>
        <v>72000</v>
      </c>
      <c r="H3248" s="13" t="s">
        <v>9381</v>
      </c>
    </row>
    <row r="3249" spans="1:8" hidden="1" x14ac:dyDescent="0.25">
      <c r="A3249" s="116">
        <v>44945</v>
      </c>
      <c r="B3249" s="21" t="s">
        <v>8122</v>
      </c>
      <c r="C3249" s="13" t="s">
        <v>8545</v>
      </c>
      <c r="D3249" s="782"/>
      <c r="E3249" s="22"/>
      <c r="F3249" s="19">
        <v>120000</v>
      </c>
      <c r="G3249" s="800">
        <f t="shared" si="51"/>
        <v>-120000</v>
      </c>
      <c r="H3249" s="13" t="s">
        <v>9178</v>
      </c>
    </row>
    <row r="3250" spans="1:8" hidden="1" x14ac:dyDescent="0.25">
      <c r="A3250" s="116">
        <v>44949</v>
      </c>
      <c r="B3250" s="21" t="s">
        <v>8000</v>
      </c>
      <c r="C3250" s="13" t="s">
        <v>169</v>
      </c>
      <c r="D3250" s="782"/>
      <c r="E3250" s="22"/>
      <c r="F3250" s="19">
        <v>34773</v>
      </c>
      <c r="G3250" s="800">
        <f t="shared" si="51"/>
        <v>-34773</v>
      </c>
      <c r="H3250" s="1146" t="s">
        <v>9181</v>
      </c>
    </row>
    <row r="3251" spans="1:8" hidden="1" x14ac:dyDescent="0.25">
      <c r="A3251" s="116">
        <v>44949</v>
      </c>
      <c r="B3251" s="21" t="s">
        <v>8426</v>
      </c>
      <c r="C3251" s="13" t="s">
        <v>169</v>
      </c>
      <c r="D3251" s="782"/>
      <c r="E3251" s="22"/>
      <c r="F3251" s="19">
        <v>65227</v>
      </c>
      <c r="G3251" s="800">
        <f t="shared" si="51"/>
        <v>-65227</v>
      </c>
      <c r="H3251" s="1148"/>
    </row>
    <row r="3252" spans="1:8" hidden="1" x14ac:dyDescent="0.25">
      <c r="A3252" s="116">
        <v>44949</v>
      </c>
      <c r="B3252" s="21" t="s">
        <v>8426</v>
      </c>
      <c r="C3252" s="13" t="s">
        <v>2212</v>
      </c>
      <c r="D3252" s="782"/>
      <c r="E3252" s="22"/>
      <c r="F3252" s="19">
        <v>100000</v>
      </c>
      <c r="G3252" s="14">
        <f t="shared" si="51"/>
        <v>-100000</v>
      </c>
      <c r="H3252" s="13" t="s">
        <v>7799</v>
      </c>
    </row>
    <row r="3253" spans="1:8" hidden="1" x14ac:dyDescent="0.25">
      <c r="A3253" s="116">
        <v>44950</v>
      </c>
      <c r="B3253" s="21" t="s">
        <v>8653</v>
      </c>
      <c r="C3253" s="13" t="s">
        <v>7309</v>
      </c>
      <c r="D3253" s="782" t="s">
        <v>9351</v>
      </c>
      <c r="E3253" s="22">
        <v>605640</v>
      </c>
      <c r="F3253" s="19"/>
      <c r="G3253" s="14">
        <f t="shared" si="51"/>
        <v>605640</v>
      </c>
      <c r="H3253" s="13"/>
    </row>
    <row r="3254" spans="1:8" hidden="1" x14ac:dyDescent="0.25">
      <c r="A3254" s="116">
        <v>44950</v>
      </c>
      <c r="B3254" s="21" t="s">
        <v>8426</v>
      </c>
      <c r="C3254" s="13" t="s">
        <v>7309</v>
      </c>
      <c r="D3254" s="782" t="s">
        <v>9352</v>
      </c>
      <c r="E3254" s="22">
        <v>274161</v>
      </c>
      <c r="F3254" s="19"/>
      <c r="G3254" s="14">
        <f t="shared" si="51"/>
        <v>274161</v>
      </c>
      <c r="H3254" s="13"/>
    </row>
    <row r="3255" spans="1:8" hidden="1" x14ac:dyDescent="0.25">
      <c r="A3255" s="116">
        <v>44950</v>
      </c>
      <c r="B3255" s="21" t="s">
        <v>8122</v>
      </c>
      <c r="C3255" s="13" t="s">
        <v>7309</v>
      </c>
      <c r="D3255" s="782" t="s">
        <v>9075</v>
      </c>
      <c r="E3255" s="22">
        <v>23595</v>
      </c>
      <c r="F3255" s="19"/>
      <c r="G3255" s="14">
        <f t="shared" si="51"/>
        <v>23595</v>
      </c>
      <c r="H3255" s="13"/>
    </row>
    <row r="3256" spans="1:8" hidden="1" x14ac:dyDescent="0.25">
      <c r="A3256" s="116">
        <v>44952</v>
      </c>
      <c r="B3256" s="21" t="s">
        <v>8982</v>
      </c>
      <c r="C3256" s="13" t="s">
        <v>2212</v>
      </c>
      <c r="D3256" s="782" t="s">
        <v>9395</v>
      </c>
      <c r="E3256" s="22">
        <v>20250</v>
      </c>
      <c r="F3256" s="19"/>
      <c r="G3256" s="14">
        <f t="shared" si="51"/>
        <v>20250</v>
      </c>
      <c r="H3256" s="764" t="s">
        <v>9396</v>
      </c>
    </row>
    <row r="3257" spans="1:8" hidden="1" x14ac:dyDescent="0.25">
      <c r="A3257" s="116">
        <v>44952</v>
      </c>
      <c r="B3257" s="21" t="s">
        <v>8982</v>
      </c>
      <c r="C3257" s="13" t="s">
        <v>169</v>
      </c>
      <c r="D3257" s="782" t="s">
        <v>9397</v>
      </c>
      <c r="E3257" s="22">
        <v>56500</v>
      </c>
      <c r="F3257" s="19"/>
      <c r="G3257" s="14">
        <f t="shared" si="51"/>
        <v>56500</v>
      </c>
      <c r="H3257" s="764" t="s">
        <v>9398</v>
      </c>
    </row>
    <row r="3258" spans="1:8" hidden="1" x14ac:dyDescent="0.25">
      <c r="A3258" s="116">
        <v>44952</v>
      </c>
      <c r="B3258" s="21" t="s">
        <v>8982</v>
      </c>
      <c r="C3258" s="13" t="s">
        <v>7538</v>
      </c>
      <c r="D3258" s="782" t="s">
        <v>9478</v>
      </c>
      <c r="E3258" s="22">
        <v>536326</v>
      </c>
      <c r="F3258" s="19"/>
      <c r="G3258" s="14">
        <f t="shared" si="51"/>
        <v>536326</v>
      </c>
      <c r="H3258" s="764"/>
    </row>
    <row r="3259" spans="1:8" hidden="1" x14ac:dyDescent="0.25">
      <c r="A3259" s="116">
        <v>44952</v>
      </c>
      <c r="B3259" s="21" t="s">
        <v>1407</v>
      </c>
      <c r="C3259" s="13" t="s">
        <v>164</v>
      </c>
      <c r="D3259" s="782" t="s">
        <v>8299</v>
      </c>
      <c r="E3259" s="22">
        <v>2495</v>
      </c>
      <c r="F3259" s="19"/>
      <c r="G3259" s="14">
        <f t="shared" si="51"/>
        <v>2495</v>
      </c>
      <c r="H3259" s="764" t="s">
        <v>9547</v>
      </c>
    </row>
    <row r="3260" spans="1:8" hidden="1" x14ac:dyDescent="0.25">
      <c r="A3260" s="116">
        <v>44953</v>
      </c>
      <c r="B3260" s="21" t="s">
        <v>8426</v>
      </c>
      <c r="C3260" s="13" t="s">
        <v>8545</v>
      </c>
      <c r="D3260" s="782" t="s">
        <v>9383</v>
      </c>
      <c r="E3260" s="22">
        <v>230000</v>
      </c>
      <c r="F3260" s="19"/>
      <c r="G3260" s="14">
        <f t="shared" si="51"/>
        <v>230000</v>
      </c>
      <c r="H3260" s="13"/>
    </row>
    <row r="3261" spans="1:8" hidden="1" x14ac:dyDescent="0.25">
      <c r="A3261" s="116">
        <v>44953</v>
      </c>
      <c r="B3261" s="21" t="s">
        <v>8653</v>
      </c>
      <c r="C3261" s="13" t="s">
        <v>166</v>
      </c>
      <c r="D3261" s="782" t="s">
        <v>9384</v>
      </c>
      <c r="E3261" s="22">
        <v>3495</v>
      </c>
      <c r="F3261" s="19"/>
      <c r="G3261" s="14">
        <f t="shared" si="51"/>
        <v>3495</v>
      </c>
      <c r="H3261" s="13" t="s">
        <v>9386</v>
      </c>
    </row>
    <row r="3262" spans="1:8" hidden="1" x14ac:dyDescent="0.25">
      <c r="A3262" s="116">
        <v>44953</v>
      </c>
      <c r="B3262" s="21" t="s">
        <v>8653</v>
      </c>
      <c r="C3262" s="13" t="s">
        <v>166</v>
      </c>
      <c r="D3262" s="782" t="s">
        <v>9385</v>
      </c>
      <c r="E3262" s="22">
        <v>3420</v>
      </c>
      <c r="F3262" s="19"/>
      <c r="G3262" s="14">
        <f t="shared" si="51"/>
        <v>3420</v>
      </c>
      <c r="H3262" s="13" t="s">
        <v>9386</v>
      </c>
    </row>
    <row r="3263" spans="1:8" hidden="1" x14ac:dyDescent="0.25">
      <c r="A3263" s="116">
        <v>44954</v>
      </c>
      <c r="B3263" s="21" t="s">
        <v>8752</v>
      </c>
      <c r="C3263" s="13" t="s">
        <v>5731</v>
      </c>
      <c r="D3263" s="782" t="s">
        <v>9355</v>
      </c>
      <c r="E3263" s="22">
        <v>1535000</v>
      </c>
      <c r="F3263" s="19"/>
      <c r="G3263" s="14">
        <f t="shared" si="51"/>
        <v>1535000</v>
      </c>
      <c r="H3263" s="13"/>
    </row>
    <row r="3264" spans="1:8" hidden="1" x14ac:dyDescent="0.25">
      <c r="A3264" s="116">
        <v>44956</v>
      </c>
      <c r="B3264" s="21" t="s">
        <v>8982</v>
      </c>
      <c r="C3264" s="13" t="s">
        <v>7538</v>
      </c>
      <c r="D3264" s="782" t="s">
        <v>9479</v>
      </c>
      <c r="E3264" s="22">
        <v>240163</v>
      </c>
      <c r="F3264" s="19"/>
      <c r="G3264" s="14">
        <f t="shared" si="51"/>
        <v>240163</v>
      </c>
      <c r="H3264" s="13"/>
    </row>
    <row r="3265" spans="1:8" hidden="1" x14ac:dyDescent="0.25">
      <c r="A3265" s="116">
        <v>44957</v>
      </c>
      <c r="B3265" s="21" t="s">
        <v>1407</v>
      </c>
      <c r="C3265" s="13" t="s">
        <v>7309</v>
      </c>
      <c r="D3265" s="782"/>
      <c r="E3265" s="22"/>
      <c r="F3265" s="19">
        <v>443603</v>
      </c>
      <c r="G3265" s="14">
        <f t="shared" si="51"/>
        <v>-443603</v>
      </c>
      <c r="H3265" s="1186" t="s">
        <v>10427</v>
      </c>
    </row>
    <row r="3266" spans="1:8" hidden="1" x14ac:dyDescent="0.25">
      <c r="A3266" s="116">
        <v>44957</v>
      </c>
      <c r="B3266" s="21" t="s">
        <v>8752</v>
      </c>
      <c r="C3266" s="13" t="s">
        <v>7309</v>
      </c>
      <c r="D3266" s="782"/>
      <c r="E3266" s="22"/>
      <c r="F3266" s="19">
        <v>443603</v>
      </c>
      <c r="G3266" s="14">
        <f t="shared" ref="G3266" si="53">E3266-F3266</f>
        <v>-443603</v>
      </c>
      <c r="H3266" s="1187"/>
    </row>
    <row r="3267" spans="1:8" ht="18.75" hidden="1" customHeight="1" x14ac:dyDescent="0.25">
      <c r="A3267" s="116">
        <v>44957</v>
      </c>
      <c r="B3267" s="21" t="s">
        <v>8000</v>
      </c>
      <c r="C3267" s="13" t="s">
        <v>8329</v>
      </c>
      <c r="D3267" s="782"/>
      <c r="E3267" s="22"/>
      <c r="F3267" s="19">
        <v>265000</v>
      </c>
      <c r="G3267" s="14">
        <f t="shared" si="51"/>
        <v>-265000</v>
      </c>
      <c r="H3267" s="79" t="s">
        <v>9362</v>
      </c>
    </row>
    <row r="3268" spans="1:8" hidden="1" x14ac:dyDescent="0.25">
      <c r="A3268" s="116">
        <v>44957</v>
      </c>
      <c r="B3268" s="21" t="s">
        <v>8000</v>
      </c>
      <c r="C3268" s="13" t="s">
        <v>8329</v>
      </c>
      <c r="D3268" s="782"/>
      <c r="E3268" s="22"/>
      <c r="F3268" s="19">
        <v>4424</v>
      </c>
      <c r="G3268" s="14">
        <f t="shared" si="51"/>
        <v>-4424</v>
      </c>
      <c r="H3268" s="13" t="s">
        <v>3951</v>
      </c>
    </row>
    <row r="3269" spans="1:8" s="744" customFormat="1" ht="47.25" hidden="1" x14ac:dyDescent="0.25">
      <c r="A3269" s="116">
        <v>44961</v>
      </c>
      <c r="B3269" s="756" t="s">
        <v>8982</v>
      </c>
      <c r="C3269" s="764" t="s">
        <v>7309</v>
      </c>
      <c r="D3269" s="795"/>
      <c r="E3269" s="765"/>
      <c r="F3269" s="766">
        <v>393200</v>
      </c>
      <c r="G3269" s="767">
        <f t="shared" si="51"/>
        <v>-393200</v>
      </c>
      <c r="H3269" s="771" t="s">
        <v>9379</v>
      </c>
    </row>
    <row r="3270" spans="1:8" hidden="1" x14ac:dyDescent="0.25">
      <c r="A3270" s="116">
        <v>44961</v>
      </c>
      <c r="B3270" s="21" t="s">
        <v>8426</v>
      </c>
      <c r="C3270" s="13" t="s">
        <v>8545</v>
      </c>
      <c r="D3270" s="782"/>
      <c r="E3270" s="22"/>
      <c r="F3270" s="19">
        <v>100000</v>
      </c>
      <c r="G3270" s="14">
        <f t="shared" si="51"/>
        <v>-100000</v>
      </c>
      <c r="H3270" s="13" t="s">
        <v>9407</v>
      </c>
    </row>
    <row r="3271" spans="1:8" hidden="1" x14ac:dyDescent="0.25">
      <c r="A3271" s="116">
        <v>44961</v>
      </c>
      <c r="B3271" s="21" t="s">
        <v>8426</v>
      </c>
      <c r="C3271" s="13" t="s">
        <v>8545</v>
      </c>
      <c r="D3271" s="782"/>
      <c r="E3271" s="22"/>
      <c r="F3271" s="19">
        <v>130000</v>
      </c>
      <c r="G3271" s="14">
        <f t="shared" si="51"/>
        <v>-130000</v>
      </c>
      <c r="H3271" s="13" t="s">
        <v>9408</v>
      </c>
    </row>
    <row r="3272" spans="1:8" hidden="1" x14ac:dyDescent="0.25">
      <c r="A3272" s="116">
        <v>44964</v>
      </c>
      <c r="B3272" s="21" t="s">
        <v>8752</v>
      </c>
      <c r="C3272" s="13" t="s">
        <v>166</v>
      </c>
      <c r="D3272" s="793" t="s">
        <v>9474</v>
      </c>
      <c r="E3272" s="22">
        <v>154000</v>
      </c>
      <c r="F3272" s="19"/>
      <c r="G3272" s="14">
        <f t="shared" si="51"/>
        <v>154000</v>
      </c>
      <c r="H3272" s="56" t="s">
        <v>9475</v>
      </c>
    </row>
    <row r="3273" spans="1:8" hidden="1" x14ac:dyDescent="0.25">
      <c r="A3273" s="116">
        <v>44965</v>
      </c>
      <c r="B3273" s="21" t="s">
        <v>8426</v>
      </c>
      <c r="C3273" s="13" t="s">
        <v>7538</v>
      </c>
      <c r="D3273" s="793" t="s">
        <v>9480</v>
      </c>
      <c r="E3273" s="22">
        <v>74889</v>
      </c>
      <c r="F3273" s="19"/>
      <c r="G3273" s="14">
        <f t="shared" si="51"/>
        <v>74889</v>
      </c>
      <c r="H3273" s="56"/>
    </row>
    <row r="3274" spans="1:8" hidden="1" x14ac:dyDescent="0.25">
      <c r="A3274" s="116">
        <v>44965</v>
      </c>
      <c r="B3274" s="21" t="s">
        <v>8982</v>
      </c>
      <c r="C3274" s="13" t="s">
        <v>169</v>
      </c>
      <c r="D3274" s="1143" t="s">
        <v>9414</v>
      </c>
      <c r="E3274" s="22">
        <v>56000</v>
      </c>
      <c r="F3274" s="19"/>
      <c r="G3274" s="14">
        <f t="shared" si="51"/>
        <v>56000</v>
      </c>
      <c r="H3274" s="938" t="s">
        <v>9415</v>
      </c>
    </row>
    <row r="3275" spans="1:8" hidden="1" x14ac:dyDescent="0.25">
      <c r="A3275" s="116">
        <v>44965</v>
      </c>
      <c r="B3275" s="21" t="s">
        <v>8122</v>
      </c>
      <c r="C3275" s="13" t="s">
        <v>169</v>
      </c>
      <c r="D3275" s="1144"/>
      <c r="E3275" s="22">
        <v>56000</v>
      </c>
      <c r="F3275" s="19"/>
      <c r="G3275" s="14">
        <f t="shared" si="51"/>
        <v>56000</v>
      </c>
      <c r="H3275" s="938" t="s">
        <v>9415</v>
      </c>
    </row>
    <row r="3276" spans="1:8" hidden="1" x14ac:dyDescent="0.25">
      <c r="A3276" s="116">
        <v>44965</v>
      </c>
      <c r="B3276" s="21" t="s">
        <v>8122</v>
      </c>
      <c r="C3276" s="13" t="s">
        <v>169</v>
      </c>
      <c r="D3276" s="782"/>
      <c r="E3276" s="22"/>
      <c r="F3276" s="19">
        <v>56000</v>
      </c>
      <c r="G3276" s="14">
        <f t="shared" si="51"/>
        <v>-56000</v>
      </c>
      <c r="H3276" s="1132" t="s">
        <v>9416</v>
      </c>
    </row>
    <row r="3277" spans="1:8" hidden="1" x14ac:dyDescent="0.25">
      <c r="A3277" s="116">
        <v>44965</v>
      </c>
      <c r="B3277" s="21" t="s">
        <v>8426</v>
      </c>
      <c r="C3277" s="13" t="s">
        <v>169</v>
      </c>
      <c r="D3277" s="782"/>
      <c r="E3277" s="22"/>
      <c r="F3277" s="19">
        <v>10173</v>
      </c>
      <c r="G3277" s="14">
        <f t="shared" si="51"/>
        <v>-10173</v>
      </c>
      <c r="H3277" s="1172"/>
    </row>
    <row r="3278" spans="1:8" hidden="1" x14ac:dyDescent="0.25">
      <c r="A3278" s="116">
        <v>44965</v>
      </c>
      <c r="B3278" s="21" t="s">
        <v>8982</v>
      </c>
      <c r="C3278" s="13" t="s">
        <v>169</v>
      </c>
      <c r="D3278" s="782"/>
      <c r="E3278" s="22"/>
      <c r="F3278" s="19">
        <v>23827</v>
      </c>
      <c r="G3278" s="14">
        <f t="shared" si="51"/>
        <v>-23827</v>
      </c>
      <c r="H3278" s="1133"/>
    </row>
    <row r="3279" spans="1:8" hidden="1" x14ac:dyDescent="0.25">
      <c r="A3279" s="116">
        <v>44965</v>
      </c>
      <c r="B3279" s="21" t="s">
        <v>8982</v>
      </c>
      <c r="C3279" s="13" t="s">
        <v>169</v>
      </c>
      <c r="D3279" s="782"/>
      <c r="E3279" s="22"/>
      <c r="F3279" s="19">
        <v>110000</v>
      </c>
      <c r="G3279" s="14">
        <f t="shared" si="51"/>
        <v>-110000</v>
      </c>
      <c r="H3279" s="13" t="s">
        <v>9417</v>
      </c>
    </row>
    <row r="3280" spans="1:8" hidden="1" x14ac:dyDescent="0.25">
      <c r="A3280" s="116">
        <v>44965</v>
      </c>
      <c r="B3280" s="21" t="s">
        <v>8653</v>
      </c>
      <c r="C3280" s="13" t="s">
        <v>7854</v>
      </c>
      <c r="D3280" s="782"/>
      <c r="E3280" s="22">
        <v>55000</v>
      </c>
      <c r="F3280" s="19"/>
      <c r="G3280" s="14">
        <f t="shared" si="51"/>
        <v>55000</v>
      </c>
      <c r="H3280" s="13" t="s">
        <v>8300</v>
      </c>
    </row>
    <row r="3281" spans="1:8" hidden="1" x14ac:dyDescent="0.25">
      <c r="A3281" s="116">
        <v>44967</v>
      </c>
      <c r="B3281" s="21" t="s">
        <v>8974</v>
      </c>
      <c r="C3281" s="13" t="s">
        <v>5234</v>
      </c>
      <c r="D3281" s="1143" t="s">
        <v>9432</v>
      </c>
      <c r="E3281" s="22">
        <f>6336+15840+24960+43680</f>
        <v>90816</v>
      </c>
      <c r="F3281" s="19"/>
      <c r="G3281" s="14">
        <f t="shared" si="51"/>
        <v>90816</v>
      </c>
      <c r="H3281" s="1184" t="s">
        <v>9433</v>
      </c>
    </row>
    <row r="3282" spans="1:8" hidden="1" x14ac:dyDescent="0.25">
      <c r="A3282" s="116">
        <v>44967</v>
      </c>
      <c r="B3282" s="21" t="s">
        <v>8122</v>
      </c>
      <c r="C3282" s="13" t="s">
        <v>5234</v>
      </c>
      <c r="D3282" s="1144"/>
      <c r="E3282" s="22">
        <f>5032+5596</f>
        <v>10628</v>
      </c>
      <c r="F3282" s="19"/>
      <c r="G3282" s="14">
        <f t="shared" si="51"/>
        <v>10628</v>
      </c>
      <c r="H3282" s="1185"/>
    </row>
    <row r="3283" spans="1:8" hidden="1" x14ac:dyDescent="0.25">
      <c r="A3283" s="116">
        <v>44967</v>
      </c>
      <c r="B3283" s="21" t="s">
        <v>8982</v>
      </c>
      <c r="C3283" s="13" t="s">
        <v>5234</v>
      </c>
      <c r="D3283" s="782" t="s">
        <v>9434</v>
      </c>
      <c r="E3283" s="22">
        <v>42000</v>
      </c>
      <c r="F3283" s="19"/>
      <c r="G3283" s="14">
        <f t="shared" si="51"/>
        <v>42000</v>
      </c>
      <c r="H3283" s="13"/>
    </row>
    <row r="3284" spans="1:8" hidden="1" x14ac:dyDescent="0.25">
      <c r="A3284" s="116">
        <v>44967</v>
      </c>
      <c r="B3284" s="21" t="s">
        <v>8122</v>
      </c>
      <c r="C3284" s="13" t="s">
        <v>5234</v>
      </c>
      <c r="D3284" s="1143" t="s">
        <v>9457</v>
      </c>
      <c r="E3284" s="22">
        <f>15552+18000</f>
        <v>33552</v>
      </c>
      <c r="F3284" s="19"/>
      <c r="G3284" s="14">
        <f t="shared" si="51"/>
        <v>33552</v>
      </c>
      <c r="H3284" s="1184" t="s">
        <v>9433</v>
      </c>
    </row>
    <row r="3285" spans="1:8" hidden="1" x14ac:dyDescent="0.25">
      <c r="A3285" s="116">
        <v>44967</v>
      </c>
      <c r="B3285" s="21" t="s">
        <v>8426</v>
      </c>
      <c r="C3285" s="13" t="s">
        <v>5234</v>
      </c>
      <c r="D3285" s="1144"/>
      <c r="E3285" s="22">
        <v>28080</v>
      </c>
      <c r="F3285" s="19"/>
      <c r="G3285" s="14">
        <f t="shared" si="51"/>
        <v>28080</v>
      </c>
      <c r="H3285" s="1185"/>
    </row>
    <row r="3286" spans="1:8" ht="18.75" hidden="1" x14ac:dyDescent="0.25">
      <c r="A3286" s="116">
        <v>44968</v>
      </c>
      <c r="B3286" s="21" t="s">
        <v>8752</v>
      </c>
      <c r="C3286" s="13" t="s">
        <v>166</v>
      </c>
      <c r="D3286" s="942" t="s">
        <v>9542</v>
      </c>
      <c r="E3286" s="22">
        <v>192500</v>
      </c>
      <c r="F3286" s="19"/>
      <c r="G3286" s="14">
        <f t="shared" si="51"/>
        <v>192500</v>
      </c>
      <c r="H3286" s="943" t="s">
        <v>9543</v>
      </c>
    </row>
    <row r="3287" spans="1:8" hidden="1" x14ac:dyDescent="0.25">
      <c r="A3287" s="116">
        <v>44970</v>
      </c>
      <c r="B3287" s="21" t="s">
        <v>8974</v>
      </c>
      <c r="C3287" s="13" t="s">
        <v>5234</v>
      </c>
      <c r="D3287" s="782" t="s">
        <v>9435</v>
      </c>
      <c r="E3287" s="22">
        <v>306000</v>
      </c>
      <c r="F3287" s="19"/>
      <c r="G3287" s="14">
        <f t="shared" si="51"/>
        <v>306000</v>
      </c>
      <c r="H3287" s="13" t="s">
        <v>9436</v>
      </c>
    </row>
    <row r="3288" spans="1:8" hidden="1" x14ac:dyDescent="0.25">
      <c r="A3288" s="116">
        <v>44970</v>
      </c>
      <c r="B3288" s="21" t="s">
        <v>8752</v>
      </c>
      <c r="C3288" s="13" t="s">
        <v>5234</v>
      </c>
      <c r="D3288" s="782" t="s">
        <v>9432</v>
      </c>
      <c r="E3288" s="22">
        <v>175176</v>
      </c>
      <c r="F3288" s="19"/>
      <c r="G3288" s="14">
        <f t="shared" si="51"/>
        <v>175176</v>
      </c>
      <c r="H3288" s="13" t="s">
        <v>9440</v>
      </c>
    </row>
    <row r="3289" spans="1:8" hidden="1" x14ac:dyDescent="0.25">
      <c r="A3289" s="116">
        <v>44970</v>
      </c>
      <c r="B3289" s="21" t="s">
        <v>8752</v>
      </c>
      <c r="C3289" s="13" t="s">
        <v>5234</v>
      </c>
      <c r="D3289" s="782" t="s">
        <v>9439</v>
      </c>
      <c r="E3289" s="22">
        <v>251240</v>
      </c>
      <c r="F3289" s="19"/>
      <c r="G3289" s="14">
        <f t="shared" si="51"/>
        <v>251240</v>
      </c>
      <c r="H3289" s="13" t="s">
        <v>9441</v>
      </c>
    </row>
    <row r="3290" spans="1:8" hidden="1" x14ac:dyDescent="0.25">
      <c r="A3290" s="116">
        <v>44970</v>
      </c>
      <c r="B3290" s="21" t="s">
        <v>8982</v>
      </c>
      <c r="C3290" s="13" t="s">
        <v>5234</v>
      </c>
      <c r="D3290" s="782" t="s">
        <v>9456</v>
      </c>
      <c r="E3290" s="22">
        <v>6480</v>
      </c>
      <c r="F3290" s="19"/>
      <c r="G3290" s="14">
        <f t="shared" si="51"/>
        <v>6480</v>
      </c>
      <c r="H3290" s="13"/>
    </row>
    <row r="3291" spans="1:8" hidden="1" x14ac:dyDescent="0.25">
      <c r="A3291" s="116">
        <v>44970</v>
      </c>
      <c r="B3291" s="21" t="s">
        <v>8982</v>
      </c>
      <c r="C3291" s="13" t="s">
        <v>180</v>
      </c>
      <c r="D3291" s="782" t="s">
        <v>9470</v>
      </c>
      <c r="E3291" s="22">
        <v>39160</v>
      </c>
      <c r="F3291" s="19"/>
      <c r="G3291" s="14">
        <f t="shared" si="51"/>
        <v>39160</v>
      </c>
      <c r="H3291" s="13" t="s">
        <v>9472</v>
      </c>
    </row>
    <row r="3292" spans="1:8" hidden="1" x14ac:dyDescent="0.25">
      <c r="A3292" s="116">
        <v>44970</v>
      </c>
      <c r="B3292" s="21" t="s">
        <v>8982</v>
      </c>
      <c r="C3292" s="13" t="s">
        <v>180</v>
      </c>
      <c r="D3292" s="782" t="s">
        <v>9471</v>
      </c>
      <c r="E3292" s="22">
        <v>125580</v>
      </c>
      <c r="F3292" s="19"/>
      <c r="G3292" s="14">
        <f t="shared" si="51"/>
        <v>125580</v>
      </c>
      <c r="H3292" s="13" t="s">
        <v>9473</v>
      </c>
    </row>
    <row r="3293" spans="1:8" hidden="1" x14ac:dyDescent="0.25">
      <c r="A3293" s="116">
        <v>44971</v>
      </c>
      <c r="B3293" s="21" t="s">
        <v>8752</v>
      </c>
      <c r="C3293" s="13" t="s">
        <v>8483</v>
      </c>
      <c r="D3293" s="782"/>
      <c r="E3293" s="22"/>
      <c r="F3293" s="19">
        <v>650000</v>
      </c>
      <c r="G3293" s="14">
        <f t="shared" si="51"/>
        <v>-650000</v>
      </c>
      <c r="H3293" s="13" t="s">
        <v>9113</v>
      </c>
    </row>
    <row r="3294" spans="1:8" hidden="1" x14ac:dyDescent="0.25">
      <c r="A3294" s="116">
        <v>44971</v>
      </c>
      <c r="B3294" s="21" t="s">
        <v>8426</v>
      </c>
      <c r="C3294" s="13" t="s">
        <v>7309</v>
      </c>
      <c r="D3294" s="782"/>
      <c r="E3294" s="22"/>
      <c r="F3294" s="19">
        <v>400000</v>
      </c>
      <c r="G3294" s="14">
        <f t="shared" si="51"/>
        <v>-400000</v>
      </c>
      <c r="H3294" s="13" t="s">
        <v>9113</v>
      </c>
    </row>
    <row r="3295" spans="1:8" hidden="1" x14ac:dyDescent="0.25">
      <c r="A3295" s="116">
        <v>44971</v>
      </c>
      <c r="B3295" s="21" t="s">
        <v>8426</v>
      </c>
      <c r="C3295" s="13" t="s">
        <v>7309</v>
      </c>
      <c r="D3295" s="782"/>
      <c r="E3295" s="22"/>
      <c r="F3295" s="19">
        <v>1662</v>
      </c>
      <c r="G3295" s="14">
        <f t="shared" si="51"/>
        <v>-1662</v>
      </c>
      <c r="H3295" s="13" t="s">
        <v>9442</v>
      </c>
    </row>
    <row r="3296" spans="1:8" hidden="1" x14ac:dyDescent="0.25">
      <c r="A3296" s="116">
        <v>44971</v>
      </c>
      <c r="B3296" s="21" t="s">
        <v>8000</v>
      </c>
      <c r="C3296" s="13" t="s">
        <v>8479</v>
      </c>
      <c r="D3296" s="782"/>
      <c r="E3296" s="22"/>
      <c r="F3296" s="19">
        <v>34445</v>
      </c>
      <c r="G3296" s="14">
        <f t="shared" si="51"/>
        <v>-34445</v>
      </c>
      <c r="H3296" s="13" t="s">
        <v>9442</v>
      </c>
    </row>
    <row r="3297" spans="1:8" hidden="1" x14ac:dyDescent="0.25">
      <c r="A3297" s="116">
        <v>44971</v>
      </c>
      <c r="B3297" s="21" t="s">
        <v>8982</v>
      </c>
      <c r="C3297" s="13" t="s">
        <v>2212</v>
      </c>
      <c r="D3297" s="782"/>
      <c r="E3297" s="22"/>
      <c r="F3297" s="19">
        <v>100000</v>
      </c>
      <c r="G3297" s="14">
        <f t="shared" si="51"/>
        <v>-100000</v>
      </c>
      <c r="H3297" s="13" t="s">
        <v>4632</v>
      </c>
    </row>
    <row r="3298" spans="1:8" hidden="1" x14ac:dyDescent="0.25">
      <c r="A3298" s="116">
        <v>44971</v>
      </c>
      <c r="B3298" s="21" t="s">
        <v>8752</v>
      </c>
      <c r="C3298" s="13" t="s">
        <v>5731</v>
      </c>
      <c r="D3298" s="782"/>
      <c r="E3298" s="22"/>
      <c r="F3298" s="19">
        <v>250000</v>
      </c>
      <c r="G3298" s="14">
        <f t="shared" si="51"/>
        <v>-250000</v>
      </c>
      <c r="H3298" s="13" t="s">
        <v>9445</v>
      </c>
    </row>
    <row r="3299" spans="1:8" hidden="1" x14ac:dyDescent="0.25">
      <c r="A3299" s="116">
        <v>44971</v>
      </c>
      <c r="B3299" s="21" t="s">
        <v>8752</v>
      </c>
      <c r="C3299" s="13" t="s">
        <v>5731</v>
      </c>
      <c r="D3299" s="782"/>
      <c r="E3299" s="22"/>
      <c r="F3299" s="19">
        <v>60000</v>
      </c>
      <c r="G3299" s="14">
        <f t="shared" si="51"/>
        <v>-60000</v>
      </c>
      <c r="H3299" s="13" t="s">
        <v>9445</v>
      </c>
    </row>
    <row r="3300" spans="1:8" hidden="1" x14ac:dyDescent="0.25">
      <c r="A3300" s="116">
        <v>44971</v>
      </c>
      <c r="B3300" s="21" t="s">
        <v>8426</v>
      </c>
      <c r="C3300" s="13" t="s">
        <v>7538</v>
      </c>
      <c r="D3300" s="782"/>
      <c r="E3300" s="22"/>
      <c r="F3300" s="19">
        <v>600000</v>
      </c>
      <c r="G3300" s="14">
        <f t="shared" si="51"/>
        <v>-600000</v>
      </c>
      <c r="H3300" s="13" t="s">
        <v>9445</v>
      </c>
    </row>
    <row r="3301" spans="1:8" hidden="1" x14ac:dyDescent="0.25">
      <c r="A3301" s="116">
        <v>44972</v>
      </c>
      <c r="B3301" s="21" t="s">
        <v>8982</v>
      </c>
      <c r="C3301" s="13" t="s">
        <v>166</v>
      </c>
      <c r="D3301" s="782" t="s">
        <v>9476</v>
      </c>
      <c r="E3301" s="22">
        <v>26000</v>
      </c>
      <c r="F3301" s="19"/>
      <c r="G3301" s="14">
        <f t="shared" si="51"/>
        <v>26000</v>
      </c>
      <c r="H3301" s="13" t="s">
        <v>9477</v>
      </c>
    </row>
    <row r="3302" spans="1:8" hidden="1" x14ac:dyDescent="0.25">
      <c r="A3302" s="116">
        <v>44973</v>
      </c>
      <c r="B3302" s="21" t="s">
        <v>8426</v>
      </c>
      <c r="C3302" s="13" t="s">
        <v>7538</v>
      </c>
      <c r="D3302" s="782"/>
      <c r="E3302" s="22"/>
      <c r="F3302" s="19">
        <v>400000</v>
      </c>
      <c r="G3302" s="14">
        <f t="shared" si="51"/>
        <v>-400000</v>
      </c>
      <c r="H3302" s="13" t="s">
        <v>9455</v>
      </c>
    </row>
    <row r="3303" spans="1:8" hidden="1" x14ac:dyDescent="0.25">
      <c r="A3303" s="116">
        <v>44973</v>
      </c>
      <c r="B3303" s="21" t="s">
        <v>8000</v>
      </c>
      <c r="C3303" s="13" t="s">
        <v>5234</v>
      </c>
      <c r="D3303" s="782"/>
      <c r="E3303" s="22"/>
      <c r="F3303" s="19">
        <v>37944</v>
      </c>
      <c r="G3303" s="14">
        <f t="shared" si="51"/>
        <v>-37944</v>
      </c>
      <c r="H3303" s="1173" t="s">
        <v>9458</v>
      </c>
    </row>
    <row r="3304" spans="1:8" hidden="1" x14ac:dyDescent="0.25">
      <c r="A3304" s="116">
        <v>44973</v>
      </c>
      <c r="B3304" s="21" t="s">
        <v>8156</v>
      </c>
      <c r="C3304" s="13" t="s">
        <v>5234</v>
      </c>
      <c r="D3304" s="782"/>
      <c r="E3304" s="22"/>
      <c r="F3304" s="19">
        <v>63132</v>
      </c>
      <c r="G3304" s="14">
        <f t="shared" si="51"/>
        <v>-63132</v>
      </c>
      <c r="H3304" s="1174"/>
    </row>
    <row r="3305" spans="1:8" hidden="1" x14ac:dyDescent="0.25">
      <c r="A3305" s="116">
        <v>44973</v>
      </c>
      <c r="B3305" s="21" t="s">
        <v>8426</v>
      </c>
      <c r="C3305" s="13" t="s">
        <v>5234</v>
      </c>
      <c r="D3305" s="782"/>
      <c r="E3305" s="22"/>
      <c r="F3305" s="19">
        <v>98924</v>
      </c>
      <c r="G3305" s="14">
        <f t="shared" si="51"/>
        <v>-98924</v>
      </c>
      <c r="H3305" s="1175"/>
    </row>
    <row r="3306" spans="1:8" hidden="1" x14ac:dyDescent="0.25">
      <c r="A3306" s="116">
        <v>44978</v>
      </c>
      <c r="B3306" s="21" t="s">
        <v>8122</v>
      </c>
      <c r="C3306" s="13" t="s">
        <v>5234</v>
      </c>
      <c r="D3306" s="782"/>
      <c r="E3306" s="22"/>
      <c r="F3306" s="19">
        <v>50000</v>
      </c>
      <c r="G3306" s="14">
        <f t="shared" si="51"/>
        <v>-50000</v>
      </c>
      <c r="H3306" s="13" t="s">
        <v>9481</v>
      </c>
    </row>
    <row r="3307" spans="1:8" hidden="1" x14ac:dyDescent="0.25">
      <c r="A3307" s="116">
        <v>44984</v>
      </c>
      <c r="B3307" s="21" t="s">
        <v>8752</v>
      </c>
      <c r="C3307" s="13" t="s">
        <v>166</v>
      </c>
      <c r="D3307" s="782" t="s">
        <v>9544</v>
      </c>
      <c r="E3307" s="22">
        <v>47400</v>
      </c>
      <c r="F3307" s="19"/>
      <c r="G3307" s="14">
        <f t="shared" si="51"/>
        <v>47400</v>
      </c>
      <c r="H3307" s="13" t="s">
        <v>9545</v>
      </c>
    </row>
    <row r="3308" spans="1:8" hidden="1" x14ac:dyDescent="0.25">
      <c r="A3308" s="116">
        <v>44985</v>
      </c>
      <c r="B3308" s="21" t="s">
        <v>8752</v>
      </c>
      <c r="C3308" s="13" t="s">
        <v>166</v>
      </c>
      <c r="D3308" s="782" t="s">
        <v>9546</v>
      </c>
      <c r="E3308" s="22">
        <v>192500</v>
      </c>
      <c r="F3308" s="19"/>
      <c r="G3308" s="14">
        <f t="shared" si="51"/>
        <v>192500</v>
      </c>
      <c r="H3308" s="13"/>
    </row>
    <row r="3309" spans="1:8" hidden="1" x14ac:dyDescent="0.25">
      <c r="A3309" s="116">
        <v>44987</v>
      </c>
      <c r="B3309" s="21" t="s">
        <v>8653</v>
      </c>
      <c r="C3309" s="13" t="s">
        <v>7309</v>
      </c>
      <c r="D3309" s="782" t="s">
        <v>9392</v>
      </c>
      <c r="E3309" s="22">
        <v>49840</v>
      </c>
      <c r="F3309" s="19"/>
      <c r="G3309" s="14">
        <f t="shared" si="51"/>
        <v>49840</v>
      </c>
      <c r="H3309" s="13"/>
    </row>
    <row r="3310" spans="1:8" hidden="1" x14ac:dyDescent="0.25">
      <c r="A3310" s="116">
        <v>44987</v>
      </c>
      <c r="B3310" s="21" t="s">
        <v>8752</v>
      </c>
      <c r="C3310" s="13" t="s">
        <v>7309</v>
      </c>
      <c r="D3310" s="782" t="s">
        <v>9391</v>
      </c>
      <c r="E3310" s="22">
        <v>896955</v>
      </c>
      <c r="F3310" s="19"/>
      <c r="G3310" s="14">
        <f t="shared" si="51"/>
        <v>896955</v>
      </c>
      <c r="H3310" s="13"/>
    </row>
    <row r="3311" spans="1:8" hidden="1" x14ac:dyDescent="0.25">
      <c r="A3311" s="116">
        <v>44987</v>
      </c>
      <c r="B3311" s="21" t="s">
        <v>8974</v>
      </c>
      <c r="C3311" s="13" t="s">
        <v>7309</v>
      </c>
      <c r="D3311" s="782" t="s">
        <v>8399</v>
      </c>
      <c r="E3311" s="22">
        <v>61163</v>
      </c>
      <c r="F3311" s="19"/>
      <c r="G3311" s="14">
        <f t="shared" si="51"/>
        <v>61163</v>
      </c>
      <c r="H3311" s="13"/>
    </row>
    <row r="3312" spans="1:8" hidden="1" x14ac:dyDescent="0.25">
      <c r="A3312" s="116">
        <v>44987</v>
      </c>
      <c r="B3312" s="21" t="s">
        <v>8122</v>
      </c>
      <c r="C3312" s="13" t="s">
        <v>7309</v>
      </c>
      <c r="D3312" s="782" t="s">
        <v>9390</v>
      </c>
      <c r="E3312" s="22">
        <v>34650</v>
      </c>
      <c r="F3312" s="19"/>
      <c r="G3312" s="14">
        <f t="shared" si="51"/>
        <v>34650</v>
      </c>
      <c r="H3312" s="13"/>
    </row>
    <row r="3313" spans="1:8" hidden="1" x14ac:dyDescent="0.25">
      <c r="A3313" s="116">
        <v>44987</v>
      </c>
      <c r="B3313" s="21" t="s">
        <v>8752</v>
      </c>
      <c r="C3313" s="13" t="s">
        <v>7309</v>
      </c>
      <c r="D3313" s="782" t="s">
        <v>9389</v>
      </c>
      <c r="E3313" s="22">
        <v>44740</v>
      </c>
      <c r="F3313" s="19"/>
      <c r="G3313" s="14">
        <f t="shared" si="51"/>
        <v>44740</v>
      </c>
      <c r="H3313" s="13"/>
    </row>
    <row r="3314" spans="1:8" hidden="1" x14ac:dyDescent="0.25">
      <c r="A3314" s="116">
        <v>44987</v>
      </c>
      <c r="B3314" s="21" t="s">
        <v>8653</v>
      </c>
      <c r="C3314" s="13" t="s">
        <v>7309</v>
      </c>
      <c r="D3314" s="782" t="s">
        <v>9387</v>
      </c>
      <c r="E3314" s="22">
        <v>16940</v>
      </c>
      <c r="F3314" s="19"/>
      <c r="G3314" s="14">
        <f t="shared" si="51"/>
        <v>16940</v>
      </c>
      <c r="H3314" s="13"/>
    </row>
    <row r="3315" spans="1:8" hidden="1" x14ac:dyDescent="0.25">
      <c r="A3315" s="116">
        <v>44987</v>
      </c>
      <c r="B3315" s="21" t="s">
        <v>8982</v>
      </c>
      <c r="C3315" s="13" t="s">
        <v>7309</v>
      </c>
      <c r="D3315" s="782" t="s">
        <v>9388</v>
      </c>
      <c r="E3315" s="22">
        <v>610464</v>
      </c>
      <c r="F3315" s="19"/>
      <c r="G3315" s="14">
        <f t="shared" si="51"/>
        <v>610464</v>
      </c>
      <c r="H3315" s="13"/>
    </row>
    <row r="3316" spans="1:8" hidden="1" x14ac:dyDescent="0.25">
      <c r="A3316" s="116">
        <v>44989</v>
      </c>
      <c r="B3316" s="21" t="s">
        <v>8752</v>
      </c>
      <c r="C3316" s="13" t="s">
        <v>8483</v>
      </c>
      <c r="D3316" s="782" t="s">
        <v>9352</v>
      </c>
      <c r="E3316" s="22">
        <v>17197</v>
      </c>
      <c r="F3316" s="19"/>
      <c r="G3316" s="14">
        <f t="shared" si="51"/>
        <v>17197</v>
      </c>
      <c r="H3316" s="13"/>
    </row>
    <row r="3317" spans="1:8" hidden="1" x14ac:dyDescent="0.25">
      <c r="A3317" s="116">
        <v>44995</v>
      </c>
      <c r="B3317" s="21" t="s">
        <v>8752</v>
      </c>
      <c r="C3317" s="13" t="s">
        <v>8483</v>
      </c>
      <c r="D3317" s="782" t="s">
        <v>9351</v>
      </c>
      <c r="E3317" s="22">
        <v>90521</v>
      </c>
      <c r="F3317" s="19"/>
      <c r="G3317" s="14">
        <f t="shared" si="51"/>
        <v>90521</v>
      </c>
      <c r="H3317" s="13"/>
    </row>
    <row r="3318" spans="1:8" hidden="1" x14ac:dyDescent="0.25">
      <c r="A3318" s="116">
        <v>44995</v>
      </c>
      <c r="B3318" s="21" t="s">
        <v>6565</v>
      </c>
      <c r="C3318" s="13" t="s">
        <v>4853</v>
      </c>
      <c r="D3318" s="782"/>
      <c r="E3318" s="22">
        <v>28855</v>
      </c>
      <c r="F3318" s="19"/>
      <c r="G3318" s="14">
        <f t="shared" si="51"/>
        <v>28855</v>
      </c>
      <c r="H3318" s="13" t="s">
        <v>9548</v>
      </c>
    </row>
    <row r="3319" spans="1:8" hidden="1" x14ac:dyDescent="0.25">
      <c r="A3319" s="116">
        <v>44995</v>
      </c>
      <c r="B3319" s="21" t="s">
        <v>8122</v>
      </c>
      <c r="C3319" s="13" t="s">
        <v>8545</v>
      </c>
      <c r="D3319" s="782" t="s">
        <v>8685</v>
      </c>
      <c r="E3319" s="22">
        <v>189000</v>
      </c>
      <c r="F3319" s="19"/>
      <c r="G3319" s="14">
        <f t="shared" ref="G3319" si="54">E3319-F3319</f>
        <v>189000</v>
      </c>
      <c r="H3319" s="56"/>
    </row>
    <row r="3320" spans="1:8" hidden="1" x14ac:dyDescent="0.25">
      <c r="A3320" s="116">
        <v>45000</v>
      </c>
      <c r="B3320" s="21" t="s">
        <v>8752</v>
      </c>
      <c r="C3320" s="13" t="s">
        <v>5731</v>
      </c>
      <c r="D3320" s="782" t="s">
        <v>9601</v>
      </c>
      <c r="E3320" s="22">
        <v>857600</v>
      </c>
      <c r="F3320" s="19"/>
      <c r="G3320" s="14">
        <f t="shared" ref="G3320" si="55">E3320-F3320</f>
        <v>857600</v>
      </c>
      <c r="H3320" s="56"/>
    </row>
    <row r="3321" spans="1:8" hidden="1" x14ac:dyDescent="0.25">
      <c r="A3321" s="116">
        <v>45001</v>
      </c>
      <c r="B3321" s="21" t="s">
        <v>8653</v>
      </c>
      <c r="C3321" s="13" t="s">
        <v>166</v>
      </c>
      <c r="D3321" s="782"/>
      <c r="E3321" s="22"/>
      <c r="F3321" s="19">
        <v>6915</v>
      </c>
      <c r="G3321" s="14">
        <f t="shared" si="51"/>
        <v>-6915</v>
      </c>
      <c r="H3321" s="1137" t="s">
        <v>9566</v>
      </c>
    </row>
    <row r="3322" spans="1:8" hidden="1" x14ac:dyDescent="0.25">
      <c r="A3322" s="116">
        <v>45001</v>
      </c>
      <c r="B3322" s="21" t="s">
        <v>8625</v>
      </c>
      <c r="C3322" s="13" t="s">
        <v>166</v>
      </c>
      <c r="D3322" s="782"/>
      <c r="E3322" s="22"/>
      <c r="F3322" s="19">
        <v>15069</v>
      </c>
      <c r="G3322" s="14">
        <f t="shared" si="51"/>
        <v>-15069</v>
      </c>
      <c r="H3322" s="1138"/>
    </row>
    <row r="3323" spans="1:8" hidden="1" x14ac:dyDescent="0.25">
      <c r="A3323" s="116">
        <v>45001</v>
      </c>
      <c r="B3323" s="21" t="s">
        <v>8752</v>
      </c>
      <c r="C3323" s="13" t="s">
        <v>166</v>
      </c>
      <c r="D3323" s="782"/>
      <c r="E3323" s="22"/>
      <c r="F3323" s="19">
        <v>848690</v>
      </c>
      <c r="G3323" s="14">
        <f t="shared" si="51"/>
        <v>-848690</v>
      </c>
      <c r="H3323" s="1138"/>
    </row>
    <row r="3324" spans="1:8" hidden="1" x14ac:dyDescent="0.25">
      <c r="A3324" s="116">
        <v>45001</v>
      </c>
      <c r="B3324" s="21" t="s">
        <v>8974</v>
      </c>
      <c r="C3324" s="13" t="s">
        <v>166</v>
      </c>
      <c r="D3324" s="782"/>
      <c r="E3324" s="22"/>
      <c r="F3324" s="19">
        <v>78000</v>
      </c>
      <c r="G3324" s="14">
        <f t="shared" si="51"/>
        <v>-78000</v>
      </c>
      <c r="H3324" s="1138"/>
    </row>
    <row r="3325" spans="1:8" hidden="1" x14ac:dyDescent="0.25">
      <c r="A3325" s="116">
        <v>45001</v>
      </c>
      <c r="B3325" s="21" t="s">
        <v>8982</v>
      </c>
      <c r="C3325" s="13" t="s">
        <v>166</v>
      </c>
      <c r="D3325" s="782"/>
      <c r="E3325" s="22"/>
      <c r="F3325" s="19">
        <v>115000</v>
      </c>
      <c r="G3325" s="14">
        <f t="shared" si="51"/>
        <v>-115000</v>
      </c>
      <c r="H3325" s="1139"/>
    </row>
    <row r="3326" spans="1:8" hidden="1" x14ac:dyDescent="0.25">
      <c r="A3326" s="116">
        <v>45001</v>
      </c>
      <c r="B3326" s="21" t="s">
        <v>1407</v>
      </c>
      <c r="C3326" s="13" t="s">
        <v>440</v>
      </c>
      <c r="D3326" s="782"/>
      <c r="E3326" s="22"/>
      <c r="F3326" s="19">
        <v>28596</v>
      </c>
      <c r="G3326" s="14">
        <f t="shared" si="51"/>
        <v>-28596</v>
      </c>
      <c r="H3326" s="13" t="s">
        <v>3951</v>
      </c>
    </row>
    <row r="3327" spans="1:8" hidden="1" x14ac:dyDescent="0.25">
      <c r="A3327" s="116">
        <v>45001</v>
      </c>
      <c r="B3327" s="21" t="s">
        <v>9516</v>
      </c>
      <c r="C3327" s="13" t="s">
        <v>169</v>
      </c>
      <c r="D3327" s="782" t="s">
        <v>9599</v>
      </c>
      <c r="E3327" s="22">
        <v>20500</v>
      </c>
      <c r="F3327" s="19"/>
      <c r="G3327" s="14">
        <f t="shared" ref="G3327" si="56">E3327-F3327</f>
        <v>20500</v>
      </c>
      <c r="H3327" s="56" t="s">
        <v>9600</v>
      </c>
    </row>
    <row r="3328" spans="1:8" hidden="1" x14ac:dyDescent="0.25">
      <c r="A3328" s="116">
        <v>45002</v>
      </c>
      <c r="B3328" s="21" t="s">
        <v>8982</v>
      </c>
      <c r="C3328" s="13" t="s">
        <v>180</v>
      </c>
      <c r="D3328" s="782"/>
      <c r="E3328" s="22"/>
      <c r="F3328" s="19">
        <v>411820</v>
      </c>
      <c r="G3328" s="14">
        <f t="shared" si="51"/>
        <v>-411820</v>
      </c>
      <c r="H3328" s="1229" t="s">
        <v>9587</v>
      </c>
    </row>
    <row r="3329" spans="1:8" hidden="1" x14ac:dyDescent="0.25">
      <c r="A3329" s="116">
        <v>45002</v>
      </c>
      <c r="B3329" s="21" t="s">
        <v>8974</v>
      </c>
      <c r="C3329" s="13" t="s">
        <v>180</v>
      </c>
      <c r="D3329" s="782"/>
      <c r="E3329" s="22"/>
      <c r="F3329" s="19">
        <v>164160</v>
      </c>
      <c r="G3329" s="14">
        <f t="shared" si="51"/>
        <v>-164160</v>
      </c>
      <c r="H3329" s="1230"/>
    </row>
    <row r="3330" spans="1:8" hidden="1" x14ac:dyDescent="0.25">
      <c r="A3330" s="116">
        <v>45002</v>
      </c>
      <c r="B3330" s="65" t="s">
        <v>9516</v>
      </c>
      <c r="C3330" s="13" t="s">
        <v>180</v>
      </c>
      <c r="D3330" s="782" t="s">
        <v>9597</v>
      </c>
      <c r="E3330" s="22">
        <v>670000</v>
      </c>
      <c r="F3330" s="19"/>
      <c r="G3330" s="14">
        <f t="shared" si="51"/>
        <v>670000</v>
      </c>
      <c r="H3330" s="13"/>
    </row>
    <row r="3331" spans="1:8" hidden="1" x14ac:dyDescent="0.25">
      <c r="A3331" s="116">
        <v>45002</v>
      </c>
      <c r="B3331" s="21" t="s">
        <v>8982</v>
      </c>
      <c r="C3331" s="13" t="s">
        <v>180</v>
      </c>
      <c r="D3331" s="782" t="s">
        <v>9598</v>
      </c>
      <c r="E3331" s="22">
        <v>117520</v>
      </c>
      <c r="F3331" s="19"/>
      <c r="G3331" s="14">
        <f t="shared" ref="G3331:G3373" si="57">E3331-F3331</f>
        <v>117520</v>
      </c>
      <c r="H3331" s="13"/>
    </row>
    <row r="3332" spans="1:8" hidden="1" x14ac:dyDescent="0.25">
      <c r="A3332" s="116">
        <v>45003</v>
      </c>
      <c r="B3332" s="21" t="s">
        <v>8752</v>
      </c>
      <c r="C3332" s="13" t="s">
        <v>8483</v>
      </c>
      <c r="D3332" s="782" t="s">
        <v>9392</v>
      </c>
      <c r="E3332" s="22">
        <v>20020</v>
      </c>
      <c r="F3332" s="19"/>
      <c r="G3332" s="14">
        <f t="shared" si="57"/>
        <v>20020</v>
      </c>
      <c r="H3332" s="56"/>
    </row>
    <row r="3333" spans="1:8" hidden="1" x14ac:dyDescent="0.25">
      <c r="A3333" s="116">
        <v>45005</v>
      </c>
      <c r="B3333" s="21" t="s">
        <v>8122</v>
      </c>
      <c r="C3333" s="13" t="s">
        <v>8483</v>
      </c>
      <c r="D3333" s="782"/>
      <c r="E3333" s="22"/>
      <c r="F3333" s="19">
        <v>128554</v>
      </c>
      <c r="G3333" s="14">
        <f t="shared" si="57"/>
        <v>-128554</v>
      </c>
      <c r="H3333" s="1229" t="s">
        <v>9113</v>
      </c>
    </row>
    <row r="3334" spans="1:8" hidden="1" x14ac:dyDescent="0.25">
      <c r="A3334" s="116">
        <v>45005</v>
      </c>
      <c r="B3334" s="21" t="s">
        <v>8752</v>
      </c>
      <c r="C3334" s="13" t="s">
        <v>8483</v>
      </c>
      <c r="D3334" s="782"/>
      <c r="E3334" s="22"/>
      <c r="F3334" s="19">
        <v>371446</v>
      </c>
      <c r="G3334" s="14">
        <f t="shared" si="57"/>
        <v>-371446</v>
      </c>
      <c r="H3334" s="1230"/>
    </row>
    <row r="3335" spans="1:8" hidden="1" x14ac:dyDescent="0.25">
      <c r="A3335" s="116">
        <v>45005</v>
      </c>
      <c r="B3335" s="21" t="s">
        <v>8982</v>
      </c>
      <c r="C3335" s="13" t="s">
        <v>169</v>
      </c>
      <c r="D3335" s="782" t="s">
        <v>9757</v>
      </c>
      <c r="E3335" s="22">
        <v>9690</v>
      </c>
      <c r="F3335" s="19"/>
      <c r="G3335" s="14">
        <f t="shared" si="57"/>
        <v>9690</v>
      </c>
      <c r="H3335" s="967"/>
    </row>
    <row r="3336" spans="1:8" hidden="1" x14ac:dyDescent="0.25">
      <c r="A3336" s="116">
        <v>45007</v>
      </c>
      <c r="B3336" s="21" t="s">
        <v>8122</v>
      </c>
      <c r="C3336" s="13" t="s">
        <v>8545</v>
      </c>
      <c r="D3336" s="782"/>
      <c r="E3336" s="22"/>
      <c r="F3336" s="19">
        <v>100000</v>
      </c>
      <c r="G3336" s="14">
        <f t="shared" si="57"/>
        <v>-100000</v>
      </c>
      <c r="H3336" s="13" t="s">
        <v>9634</v>
      </c>
    </row>
    <row r="3337" spans="1:8" hidden="1" x14ac:dyDescent="0.25">
      <c r="A3337" s="116">
        <v>45007</v>
      </c>
      <c r="B3337" s="65" t="s">
        <v>9516</v>
      </c>
      <c r="C3337" s="13" t="s">
        <v>180</v>
      </c>
      <c r="D3337" s="782" t="s">
        <v>9701</v>
      </c>
      <c r="E3337" s="22">
        <v>193000</v>
      </c>
      <c r="F3337" s="19"/>
      <c r="G3337" s="14">
        <f t="shared" si="57"/>
        <v>193000</v>
      </c>
      <c r="H3337" s="13" t="s">
        <v>9702</v>
      </c>
    </row>
    <row r="3338" spans="1:8" hidden="1" x14ac:dyDescent="0.25">
      <c r="A3338" s="116">
        <v>45007</v>
      </c>
      <c r="B3338" s="21" t="s">
        <v>8752</v>
      </c>
      <c r="C3338" s="13" t="s">
        <v>8483</v>
      </c>
      <c r="D3338" s="782" t="s">
        <v>9391</v>
      </c>
      <c r="E3338" s="22">
        <v>331988</v>
      </c>
      <c r="F3338" s="19"/>
      <c r="G3338" s="14">
        <f t="shared" si="57"/>
        <v>331988</v>
      </c>
      <c r="H3338" s="13"/>
    </row>
    <row r="3339" spans="1:8" hidden="1" x14ac:dyDescent="0.25">
      <c r="A3339" s="116">
        <v>45007</v>
      </c>
      <c r="B3339" s="21" t="s">
        <v>8752</v>
      </c>
      <c r="C3339" s="13" t="s">
        <v>8483</v>
      </c>
      <c r="D3339" s="782" t="s">
        <v>8399</v>
      </c>
      <c r="E3339" s="22">
        <v>59781</v>
      </c>
      <c r="F3339" s="19"/>
      <c r="G3339" s="14">
        <f t="shared" si="57"/>
        <v>59781</v>
      </c>
      <c r="H3339" s="13"/>
    </row>
    <row r="3340" spans="1:8" hidden="1" x14ac:dyDescent="0.25">
      <c r="A3340" s="116">
        <v>45008</v>
      </c>
      <c r="B3340" s="21" t="s">
        <v>8982</v>
      </c>
      <c r="C3340" s="13" t="s">
        <v>169</v>
      </c>
      <c r="D3340" s="782" t="s">
        <v>9705</v>
      </c>
      <c r="E3340" s="22">
        <v>4248</v>
      </c>
      <c r="F3340" s="19"/>
      <c r="G3340" s="14">
        <f t="shared" si="57"/>
        <v>4248</v>
      </c>
      <c r="H3340" s="13"/>
    </row>
    <row r="3341" spans="1:8" hidden="1" x14ac:dyDescent="0.25">
      <c r="A3341" s="116">
        <v>45008</v>
      </c>
      <c r="B3341" s="21" t="s">
        <v>9516</v>
      </c>
      <c r="C3341" s="13" t="s">
        <v>169</v>
      </c>
      <c r="D3341" s="782" t="s">
        <v>9758</v>
      </c>
      <c r="E3341" s="22">
        <v>20500</v>
      </c>
      <c r="F3341" s="19"/>
      <c r="G3341" s="14">
        <f t="shared" si="57"/>
        <v>20500</v>
      </c>
      <c r="H3341" s="13" t="s">
        <v>9759</v>
      </c>
    </row>
    <row r="3342" spans="1:8" hidden="1" x14ac:dyDescent="0.25">
      <c r="A3342" s="116">
        <v>45008</v>
      </c>
      <c r="B3342" s="21" t="s">
        <v>9516</v>
      </c>
      <c r="C3342" s="13" t="s">
        <v>169</v>
      </c>
      <c r="D3342" s="782"/>
      <c r="E3342" s="22">
        <v>6936</v>
      </c>
      <c r="F3342" s="19"/>
      <c r="G3342" s="14">
        <f t="shared" si="57"/>
        <v>6936</v>
      </c>
      <c r="H3342" s="13" t="s">
        <v>9955</v>
      </c>
    </row>
    <row r="3343" spans="1:8" hidden="1" x14ac:dyDescent="0.25">
      <c r="A3343" s="116">
        <v>45010</v>
      </c>
      <c r="B3343" s="21" t="s">
        <v>9615</v>
      </c>
      <c r="C3343" s="13" t="s">
        <v>164</v>
      </c>
      <c r="D3343" s="782" t="s">
        <v>9918</v>
      </c>
      <c r="E3343" s="22">
        <v>3303</v>
      </c>
      <c r="F3343" s="19"/>
      <c r="G3343" s="14">
        <f t="shared" si="57"/>
        <v>3303</v>
      </c>
      <c r="H3343" s="13" t="s">
        <v>9917</v>
      </c>
    </row>
    <row r="3344" spans="1:8" hidden="1" x14ac:dyDescent="0.25">
      <c r="A3344" s="116">
        <v>45010</v>
      </c>
      <c r="B3344" s="21" t="s">
        <v>8974</v>
      </c>
      <c r="C3344" s="13" t="s">
        <v>164</v>
      </c>
      <c r="D3344" s="782" t="s">
        <v>9919</v>
      </c>
      <c r="E3344" s="22">
        <v>2773</v>
      </c>
      <c r="F3344" s="19"/>
      <c r="G3344" s="14">
        <f t="shared" si="57"/>
        <v>2773</v>
      </c>
      <c r="H3344" s="13" t="s">
        <v>9917</v>
      </c>
    </row>
    <row r="3345" spans="1:8" hidden="1" x14ac:dyDescent="0.25">
      <c r="A3345" s="116">
        <v>45013</v>
      </c>
      <c r="B3345" s="21" t="s">
        <v>8982</v>
      </c>
      <c r="C3345" s="13" t="s">
        <v>7538</v>
      </c>
      <c r="D3345" s="782" t="s">
        <v>9703</v>
      </c>
      <c r="E3345" s="22">
        <v>11200</v>
      </c>
      <c r="F3345" s="19"/>
      <c r="G3345" s="14">
        <f t="shared" si="57"/>
        <v>11200</v>
      </c>
      <c r="H3345" s="13" t="s">
        <v>9704</v>
      </c>
    </row>
    <row r="3346" spans="1:8" hidden="1" x14ac:dyDescent="0.25">
      <c r="A3346" s="116">
        <v>45019</v>
      </c>
      <c r="B3346" s="21" t="s">
        <v>9615</v>
      </c>
      <c r="C3346" s="13" t="s">
        <v>8483</v>
      </c>
      <c r="D3346" s="1231" t="s">
        <v>9390</v>
      </c>
      <c r="E3346" s="22">
        <v>28496</v>
      </c>
      <c r="F3346" s="19"/>
      <c r="G3346" s="14">
        <f t="shared" si="57"/>
        <v>28496</v>
      </c>
      <c r="H3346" s="1184" t="s">
        <v>9433</v>
      </c>
    </row>
    <row r="3347" spans="1:8" hidden="1" x14ac:dyDescent="0.25">
      <c r="A3347" s="116">
        <v>45019</v>
      </c>
      <c r="B3347" s="21" t="s">
        <v>3979</v>
      </c>
      <c r="C3347" s="13" t="s">
        <v>8483</v>
      </c>
      <c r="D3347" s="1232"/>
      <c r="E3347" s="22">
        <v>8745</v>
      </c>
      <c r="F3347" s="19"/>
      <c r="G3347" s="14">
        <f t="shared" si="57"/>
        <v>8745</v>
      </c>
      <c r="H3347" s="1185"/>
    </row>
    <row r="3348" spans="1:8" ht="18.75" hidden="1" x14ac:dyDescent="0.25">
      <c r="A3348" s="116">
        <v>45020</v>
      </c>
      <c r="B3348" s="21" t="s">
        <v>8752</v>
      </c>
      <c r="C3348" s="13" t="s">
        <v>166</v>
      </c>
      <c r="D3348" s="793" t="s">
        <v>9755</v>
      </c>
      <c r="E3348" s="22">
        <v>115000</v>
      </c>
      <c r="F3348" s="19"/>
      <c r="G3348" s="14">
        <f t="shared" si="57"/>
        <v>115000</v>
      </c>
      <c r="H3348" s="968" t="s">
        <v>9756</v>
      </c>
    </row>
    <row r="3349" spans="1:8" hidden="1" x14ac:dyDescent="0.25">
      <c r="A3349" s="116">
        <v>45022</v>
      </c>
      <c r="B3349" s="21" t="s">
        <v>8982</v>
      </c>
      <c r="C3349" s="13" t="s">
        <v>8483</v>
      </c>
      <c r="D3349" s="793" t="s">
        <v>9389</v>
      </c>
      <c r="E3349" s="22">
        <v>17015</v>
      </c>
      <c r="F3349" s="19"/>
      <c r="G3349" s="14">
        <f t="shared" si="57"/>
        <v>17015</v>
      </c>
      <c r="H3349" s="56"/>
    </row>
    <row r="3350" spans="1:8" hidden="1" x14ac:dyDescent="0.25">
      <c r="A3350" s="116">
        <v>45022</v>
      </c>
      <c r="B3350" s="21" t="s">
        <v>8752</v>
      </c>
      <c r="C3350" s="13" t="s">
        <v>8483</v>
      </c>
      <c r="D3350" s="793" t="s">
        <v>9387</v>
      </c>
      <c r="E3350" s="22">
        <v>119264</v>
      </c>
      <c r="F3350" s="19"/>
      <c r="G3350" s="14">
        <f t="shared" si="57"/>
        <v>119264</v>
      </c>
      <c r="H3350" s="56"/>
    </row>
    <row r="3351" spans="1:8" hidden="1" x14ac:dyDescent="0.25">
      <c r="A3351" s="116">
        <v>45024</v>
      </c>
      <c r="B3351" s="21" t="s">
        <v>8982</v>
      </c>
      <c r="C3351" s="13" t="s">
        <v>5234</v>
      </c>
      <c r="D3351" s="1143" t="s">
        <v>9710</v>
      </c>
      <c r="E3351" s="22">
        <v>20000</v>
      </c>
      <c r="F3351" s="19"/>
      <c r="G3351" s="14">
        <f t="shared" si="57"/>
        <v>20000</v>
      </c>
      <c r="H3351" s="1184" t="s">
        <v>9433</v>
      </c>
    </row>
    <row r="3352" spans="1:8" hidden="1" x14ac:dyDescent="0.25">
      <c r="A3352" s="116">
        <v>45024</v>
      </c>
      <c r="B3352" s="21" t="s">
        <v>8122</v>
      </c>
      <c r="C3352" s="13" t="s">
        <v>5234</v>
      </c>
      <c r="D3352" s="1144"/>
      <c r="E3352" s="22">
        <v>15000</v>
      </c>
      <c r="F3352" s="19"/>
      <c r="G3352" s="14">
        <f t="shared" si="57"/>
        <v>15000</v>
      </c>
      <c r="H3352" s="1185"/>
    </row>
    <row r="3353" spans="1:8" hidden="1" x14ac:dyDescent="0.25">
      <c r="A3353" s="116">
        <v>45024</v>
      </c>
      <c r="B3353" s="21" t="s">
        <v>8982</v>
      </c>
      <c r="C3353" s="13" t="s">
        <v>5234</v>
      </c>
      <c r="D3353" s="782" t="s">
        <v>9711</v>
      </c>
      <c r="E3353" s="22">
        <v>5000</v>
      </c>
      <c r="F3353" s="19"/>
      <c r="G3353" s="14">
        <f t="shared" si="57"/>
        <v>5000</v>
      </c>
      <c r="H3353" s="13"/>
    </row>
    <row r="3354" spans="1:8" hidden="1" x14ac:dyDescent="0.25">
      <c r="A3354" s="116">
        <v>45024</v>
      </c>
      <c r="B3354" s="21" t="s">
        <v>8122</v>
      </c>
      <c r="C3354" s="13" t="s">
        <v>169</v>
      </c>
      <c r="D3354" s="782" t="s">
        <v>9760</v>
      </c>
      <c r="E3354" s="22">
        <v>67000</v>
      </c>
      <c r="F3354" s="19"/>
      <c r="G3354" s="14">
        <f t="shared" si="57"/>
        <v>67000</v>
      </c>
      <c r="H3354" s="56" t="s">
        <v>9761</v>
      </c>
    </row>
    <row r="3355" spans="1:8" hidden="1" x14ac:dyDescent="0.25">
      <c r="A3355" s="116">
        <v>45026</v>
      </c>
      <c r="B3355" s="21" t="s">
        <v>8122</v>
      </c>
      <c r="C3355" s="13" t="s">
        <v>5234</v>
      </c>
      <c r="D3355" s="782"/>
      <c r="E3355" s="22"/>
      <c r="F3355" s="19">
        <f>98270-3720</f>
        <v>94550</v>
      </c>
      <c r="G3355" s="14">
        <f t="shared" si="57"/>
        <v>-94550</v>
      </c>
      <c r="H3355" s="1181" t="s">
        <v>1164</v>
      </c>
    </row>
    <row r="3356" spans="1:8" hidden="1" x14ac:dyDescent="0.25">
      <c r="A3356" s="116">
        <v>45026</v>
      </c>
      <c r="B3356" s="21" t="s">
        <v>8426</v>
      </c>
      <c r="C3356" s="13" t="s">
        <v>5234</v>
      </c>
      <c r="D3356" s="782"/>
      <c r="E3356" s="22"/>
      <c r="F3356" s="19">
        <v>20624</v>
      </c>
      <c r="G3356" s="14">
        <f t="shared" si="57"/>
        <v>-20624</v>
      </c>
      <c r="H3356" s="1182"/>
    </row>
    <row r="3357" spans="1:8" hidden="1" x14ac:dyDescent="0.25">
      <c r="A3357" s="116">
        <v>45026</v>
      </c>
      <c r="B3357" s="21" t="s">
        <v>8982</v>
      </c>
      <c r="C3357" s="13" t="s">
        <v>5234</v>
      </c>
      <c r="D3357" s="782"/>
      <c r="E3357" s="22"/>
      <c r="F3357" s="19">
        <v>34826</v>
      </c>
      <c r="G3357" s="14">
        <f t="shared" si="57"/>
        <v>-34826</v>
      </c>
      <c r="H3357" s="1183"/>
    </row>
    <row r="3358" spans="1:8" ht="21" hidden="1" x14ac:dyDescent="0.25">
      <c r="A3358" s="116">
        <v>45027</v>
      </c>
      <c r="B3358" s="21" t="s">
        <v>9463</v>
      </c>
      <c r="C3358" s="13" t="s">
        <v>8483</v>
      </c>
      <c r="D3358" s="782" t="s">
        <v>9388</v>
      </c>
      <c r="E3358" s="22">
        <v>93883</v>
      </c>
      <c r="F3358" s="19"/>
      <c r="G3358" s="14">
        <f t="shared" si="57"/>
        <v>93883</v>
      </c>
      <c r="H3358" s="316"/>
    </row>
    <row r="3359" spans="1:8" hidden="1" x14ac:dyDescent="0.25">
      <c r="A3359" s="116">
        <v>45027</v>
      </c>
      <c r="B3359" s="21" t="s">
        <v>8752</v>
      </c>
      <c r="C3359" s="13" t="s">
        <v>8483</v>
      </c>
      <c r="D3359" s="782"/>
      <c r="E3359" s="22"/>
      <c r="F3359" s="19">
        <v>300000</v>
      </c>
      <c r="G3359" s="14">
        <f t="shared" si="57"/>
        <v>-300000</v>
      </c>
      <c r="H3359" s="13" t="s">
        <v>9113</v>
      </c>
    </row>
    <row r="3360" spans="1:8" hidden="1" x14ac:dyDescent="0.25">
      <c r="A3360" s="116">
        <v>45027</v>
      </c>
      <c r="B3360" s="21" t="s">
        <v>8426</v>
      </c>
      <c r="C3360" s="13" t="s">
        <v>7538</v>
      </c>
      <c r="D3360" s="782"/>
      <c r="E3360" s="22"/>
      <c r="F3360" s="19">
        <v>800000</v>
      </c>
      <c r="G3360" s="14">
        <f t="shared" si="57"/>
        <v>-800000</v>
      </c>
      <c r="H3360" s="13" t="s">
        <v>9751</v>
      </c>
    </row>
    <row r="3361" spans="1:8" ht="15.75" hidden="1" customHeight="1" x14ac:dyDescent="0.25">
      <c r="A3361" s="116">
        <v>45029</v>
      </c>
      <c r="B3361" s="21" t="s">
        <v>8752</v>
      </c>
      <c r="C3361" s="13" t="s">
        <v>5731</v>
      </c>
      <c r="D3361" s="782"/>
      <c r="E3361" s="799"/>
      <c r="F3361" s="801">
        <v>208180</v>
      </c>
      <c r="G3361" s="800">
        <f t="shared" si="57"/>
        <v>-208180</v>
      </c>
      <c r="H3361" s="1163" t="s">
        <v>9764</v>
      </c>
    </row>
    <row r="3362" spans="1:8" ht="15.75" hidden="1" customHeight="1" x14ac:dyDescent="0.25">
      <c r="A3362" s="116">
        <v>45029</v>
      </c>
      <c r="B3362" s="21" t="s">
        <v>7733</v>
      </c>
      <c r="C3362" s="13" t="s">
        <v>5731</v>
      </c>
      <c r="D3362" s="782"/>
      <c r="E3362" s="799"/>
      <c r="F3362" s="148">
        <v>40900</v>
      </c>
      <c r="G3362" s="800">
        <f t="shared" si="57"/>
        <v>-40900</v>
      </c>
      <c r="H3362" s="1164"/>
    </row>
    <row r="3363" spans="1:8" ht="15.75" hidden="1" customHeight="1" x14ac:dyDescent="0.25">
      <c r="A3363" s="116">
        <v>45029</v>
      </c>
      <c r="B3363" s="21" t="s">
        <v>7627</v>
      </c>
      <c r="C3363" s="13" t="s">
        <v>5731</v>
      </c>
      <c r="D3363" s="782"/>
      <c r="E3363" s="799"/>
      <c r="F3363" s="148">
        <v>5400</v>
      </c>
      <c r="G3363" s="800">
        <f t="shared" si="57"/>
        <v>-5400</v>
      </c>
      <c r="H3363" s="1164"/>
    </row>
    <row r="3364" spans="1:8" ht="16.5" hidden="1" thickBot="1" x14ac:dyDescent="0.3">
      <c r="A3364" s="116">
        <v>45029</v>
      </c>
      <c r="B3364" s="21" t="s">
        <v>8752</v>
      </c>
      <c r="C3364" s="13" t="s">
        <v>5731</v>
      </c>
      <c r="D3364" s="782"/>
      <c r="E3364" s="799"/>
      <c r="F3364" s="802">
        <v>40520</v>
      </c>
      <c r="G3364" s="800">
        <f t="shared" si="57"/>
        <v>-40520</v>
      </c>
      <c r="H3364" s="1165"/>
    </row>
    <row r="3365" spans="1:8" hidden="1" x14ac:dyDescent="0.25">
      <c r="A3365" s="116">
        <v>45031</v>
      </c>
      <c r="B3365" s="21" t="s">
        <v>11025</v>
      </c>
      <c r="C3365" s="13" t="s">
        <v>164</v>
      </c>
      <c r="D3365" s="782" t="s">
        <v>9920</v>
      </c>
      <c r="E3365" s="799">
        <v>64935</v>
      </c>
      <c r="F3365" s="19"/>
      <c r="G3365" s="800">
        <f t="shared" si="57"/>
        <v>64935</v>
      </c>
      <c r="H3365" s="13" t="s">
        <v>9921</v>
      </c>
    </row>
    <row r="3366" spans="1:8" hidden="1" x14ac:dyDescent="0.25">
      <c r="A3366" s="116">
        <v>45031</v>
      </c>
      <c r="B3366" s="21" t="s">
        <v>9516</v>
      </c>
      <c r="C3366" s="13" t="s">
        <v>4853</v>
      </c>
      <c r="D3366" s="782" t="s">
        <v>10837</v>
      </c>
      <c r="E3366" s="799">
        <v>4250</v>
      </c>
      <c r="F3366" s="994"/>
      <c r="G3366" s="800">
        <f t="shared" si="57"/>
        <v>4250</v>
      </c>
      <c r="H3366" s="56"/>
    </row>
    <row r="3367" spans="1:8" hidden="1" x14ac:dyDescent="0.25">
      <c r="A3367" s="116">
        <v>45031</v>
      </c>
      <c r="B3367" s="21" t="s">
        <v>8122</v>
      </c>
      <c r="C3367" s="13" t="s">
        <v>169</v>
      </c>
      <c r="D3367" s="782"/>
      <c r="E3367" s="799"/>
      <c r="F3367" s="801">
        <v>67000</v>
      </c>
      <c r="G3367" s="800">
        <f t="shared" si="57"/>
        <v>-67000</v>
      </c>
      <c r="H3367" s="1163" t="s">
        <v>9764</v>
      </c>
    </row>
    <row r="3368" spans="1:8" hidden="1" x14ac:dyDescent="0.25">
      <c r="A3368" s="116">
        <v>45031</v>
      </c>
      <c r="B3368" s="21" t="s">
        <v>8982</v>
      </c>
      <c r="C3368" s="13" t="s">
        <v>169</v>
      </c>
      <c r="D3368" s="782"/>
      <c r="E3368" s="799"/>
      <c r="F3368" s="148">
        <v>18365</v>
      </c>
      <c r="G3368" s="800">
        <f t="shared" si="57"/>
        <v>-18365</v>
      </c>
      <c r="H3368" s="1164"/>
    </row>
    <row r="3369" spans="1:8" hidden="1" x14ac:dyDescent="0.25">
      <c r="A3369" s="116">
        <v>45031</v>
      </c>
      <c r="B3369" s="21" t="s">
        <v>9516</v>
      </c>
      <c r="C3369" s="13" t="s">
        <v>169</v>
      </c>
      <c r="D3369" s="782"/>
      <c r="E3369" s="799"/>
      <c r="F3369" s="148">
        <v>20500</v>
      </c>
      <c r="G3369" s="800">
        <f t="shared" si="57"/>
        <v>-20500</v>
      </c>
      <c r="H3369" s="1164"/>
    </row>
    <row r="3370" spans="1:8" ht="16.5" hidden="1" thickBot="1" x14ac:dyDescent="0.3">
      <c r="A3370" s="116">
        <v>45031</v>
      </c>
      <c r="B3370" s="21" t="s">
        <v>9516</v>
      </c>
      <c r="C3370" s="13" t="s">
        <v>169</v>
      </c>
      <c r="D3370" s="782"/>
      <c r="E3370" s="799"/>
      <c r="F3370" s="802">
        <v>4135</v>
      </c>
      <c r="G3370" s="800">
        <f t="shared" si="57"/>
        <v>-4135</v>
      </c>
      <c r="H3370" s="1165"/>
    </row>
    <row r="3371" spans="1:8" hidden="1" x14ac:dyDescent="0.25">
      <c r="A3371" s="116">
        <v>45034</v>
      </c>
      <c r="B3371" s="21" t="s">
        <v>9769</v>
      </c>
      <c r="C3371" s="13" t="s">
        <v>166</v>
      </c>
      <c r="D3371" s="782" t="s">
        <v>9922</v>
      </c>
      <c r="E3371" s="22">
        <v>15800</v>
      </c>
      <c r="F3371" s="115"/>
      <c r="G3371" s="14">
        <f t="shared" si="57"/>
        <v>15800</v>
      </c>
      <c r="H3371" s="13" t="s">
        <v>9926</v>
      </c>
    </row>
    <row r="3372" spans="1:8" hidden="1" x14ac:dyDescent="0.25">
      <c r="A3372" s="116">
        <v>45034</v>
      </c>
      <c r="B3372" s="21" t="s">
        <v>8653</v>
      </c>
      <c r="C3372" s="13" t="s">
        <v>7309</v>
      </c>
      <c r="D3372" s="782"/>
      <c r="E3372" s="22"/>
      <c r="F3372" s="115">
        <v>300000</v>
      </c>
      <c r="G3372" s="14">
        <f t="shared" si="57"/>
        <v>-300000</v>
      </c>
      <c r="H3372" s="13" t="s">
        <v>9804</v>
      </c>
    </row>
    <row r="3373" spans="1:8" hidden="1" x14ac:dyDescent="0.25">
      <c r="A3373" s="116">
        <v>45034</v>
      </c>
      <c r="B3373" s="21" t="s">
        <v>8752</v>
      </c>
      <c r="C3373" s="13" t="s">
        <v>166</v>
      </c>
      <c r="D3373" s="782"/>
      <c r="E3373" s="22"/>
      <c r="F3373" s="19">
        <v>500000</v>
      </c>
      <c r="G3373" s="14">
        <f t="shared" si="57"/>
        <v>-500000</v>
      </c>
      <c r="H3373" s="13" t="s">
        <v>9816</v>
      </c>
    </row>
    <row r="3374" spans="1:8" hidden="1" x14ac:dyDescent="0.25">
      <c r="A3374" s="116">
        <v>45035</v>
      </c>
      <c r="B3374" s="21" t="s">
        <v>3979</v>
      </c>
      <c r="C3374" s="13" t="s">
        <v>8483</v>
      </c>
      <c r="D3374" s="782"/>
      <c r="E3374" s="799"/>
      <c r="F3374" s="801">
        <v>8745</v>
      </c>
      <c r="G3374" s="14">
        <f t="shared" ref="G3374:G3487" si="58">E3374-F3374</f>
        <v>-8745</v>
      </c>
      <c r="H3374" s="1178" t="s">
        <v>9834</v>
      </c>
    </row>
    <row r="3375" spans="1:8" hidden="1" x14ac:dyDescent="0.25">
      <c r="A3375" s="116">
        <v>45035</v>
      </c>
      <c r="B3375" s="21" t="s">
        <v>8752</v>
      </c>
      <c r="C3375" s="13" t="s">
        <v>8483</v>
      </c>
      <c r="D3375" s="782"/>
      <c r="E3375" s="799"/>
      <c r="F3375" s="148">
        <v>51861</v>
      </c>
      <c r="G3375" s="14">
        <f t="shared" si="58"/>
        <v>-51861</v>
      </c>
      <c r="H3375" s="1179"/>
    </row>
    <row r="3376" spans="1:8" hidden="1" x14ac:dyDescent="0.25">
      <c r="A3376" s="116">
        <v>45035</v>
      </c>
      <c r="B3376" s="21" t="s">
        <v>8982</v>
      </c>
      <c r="C3376" s="13" t="s">
        <v>8483</v>
      </c>
      <c r="D3376" s="782"/>
      <c r="E3376" s="799"/>
      <c r="F3376" s="148">
        <v>17015</v>
      </c>
      <c r="G3376" s="14">
        <f t="shared" si="58"/>
        <v>-17015</v>
      </c>
      <c r="H3376" s="1179"/>
    </row>
    <row r="3377" spans="1:8" hidden="1" x14ac:dyDescent="0.25">
      <c r="A3377" s="116">
        <v>45035</v>
      </c>
      <c r="B3377" s="21" t="s">
        <v>9615</v>
      </c>
      <c r="C3377" s="13" t="s">
        <v>8483</v>
      </c>
      <c r="D3377" s="782"/>
      <c r="E3377" s="799"/>
      <c r="F3377" s="148">
        <v>28496</v>
      </c>
      <c r="G3377" s="14">
        <f t="shared" si="58"/>
        <v>-28496</v>
      </c>
      <c r="H3377" s="1179"/>
    </row>
    <row r="3378" spans="1:8" hidden="1" x14ac:dyDescent="0.25">
      <c r="A3378" s="116">
        <v>45035</v>
      </c>
      <c r="B3378" s="21" t="s">
        <v>9463</v>
      </c>
      <c r="C3378" s="13" t="s">
        <v>8483</v>
      </c>
      <c r="D3378" s="782"/>
      <c r="E3378" s="971"/>
      <c r="F3378" s="153">
        <v>93883</v>
      </c>
      <c r="G3378" s="14">
        <f t="shared" si="58"/>
        <v>-93883</v>
      </c>
      <c r="H3378" s="1180"/>
    </row>
    <row r="3379" spans="1:8" ht="18.75" hidden="1" x14ac:dyDescent="0.25">
      <c r="A3379" s="116">
        <v>45042</v>
      </c>
      <c r="B3379" s="21" t="s">
        <v>8982</v>
      </c>
      <c r="C3379" s="13" t="s">
        <v>5234</v>
      </c>
      <c r="D3379" s="782" t="s">
        <v>9968</v>
      </c>
      <c r="E3379" s="22">
        <v>150000</v>
      </c>
      <c r="F3379" s="19"/>
      <c r="G3379" s="14">
        <f t="shared" si="58"/>
        <v>150000</v>
      </c>
      <c r="H3379" s="970" t="s">
        <v>9969</v>
      </c>
    </row>
    <row r="3380" spans="1:8" hidden="1" x14ac:dyDescent="0.25">
      <c r="A3380" s="116">
        <v>45043</v>
      </c>
      <c r="B3380" s="21" t="s">
        <v>8752</v>
      </c>
      <c r="C3380" s="13" t="s">
        <v>8483</v>
      </c>
      <c r="D3380" s="782" t="s">
        <v>9844</v>
      </c>
      <c r="E3380" s="22">
        <v>410656</v>
      </c>
      <c r="F3380" s="19"/>
      <c r="G3380" s="14">
        <f t="shared" si="58"/>
        <v>410656</v>
      </c>
      <c r="H3380" s="13"/>
    </row>
    <row r="3381" spans="1:8" hidden="1" x14ac:dyDescent="0.25">
      <c r="A3381" s="116">
        <v>45043</v>
      </c>
      <c r="B3381" s="21" t="s">
        <v>9769</v>
      </c>
      <c r="C3381" s="13" t="s">
        <v>8483</v>
      </c>
      <c r="D3381" s="782" t="s">
        <v>9845</v>
      </c>
      <c r="E3381" s="22">
        <v>315888</v>
      </c>
      <c r="F3381" s="19"/>
      <c r="G3381" s="14">
        <f t="shared" si="58"/>
        <v>315888</v>
      </c>
      <c r="H3381" s="13"/>
    </row>
    <row r="3382" spans="1:8" hidden="1" x14ac:dyDescent="0.25">
      <c r="A3382" s="116">
        <v>45043</v>
      </c>
      <c r="B3382" s="21" t="s">
        <v>9769</v>
      </c>
      <c r="C3382" s="13" t="s">
        <v>8483</v>
      </c>
      <c r="D3382" s="782"/>
      <c r="E3382" s="22"/>
      <c r="F3382" s="19">
        <v>315888</v>
      </c>
      <c r="G3382" s="14">
        <f t="shared" si="58"/>
        <v>-315888</v>
      </c>
      <c r="H3382" s="1176" t="s">
        <v>9846</v>
      </c>
    </row>
    <row r="3383" spans="1:8" hidden="1" x14ac:dyDescent="0.25">
      <c r="A3383" s="116">
        <v>45043</v>
      </c>
      <c r="B3383" s="21" t="s">
        <v>8752</v>
      </c>
      <c r="C3383" s="13" t="s">
        <v>8483</v>
      </c>
      <c r="D3383" s="782"/>
      <c r="E3383" s="22"/>
      <c r="F3383" s="19">
        <v>447612</v>
      </c>
      <c r="G3383" s="14">
        <f t="shared" si="58"/>
        <v>-447612</v>
      </c>
      <c r="H3383" s="1177"/>
    </row>
    <row r="3384" spans="1:8" hidden="1" x14ac:dyDescent="0.25">
      <c r="A3384" s="116">
        <v>45045</v>
      </c>
      <c r="B3384" s="21" t="s">
        <v>8752</v>
      </c>
      <c r="C3384" s="13" t="s">
        <v>166</v>
      </c>
      <c r="D3384" s="782" t="s">
        <v>9923</v>
      </c>
      <c r="E3384" s="22">
        <v>115500</v>
      </c>
      <c r="F3384" s="19"/>
      <c r="G3384" s="14">
        <f t="shared" si="58"/>
        <v>115500</v>
      </c>
      <c r="H3384" s="969" t="s">
        <v>9924</v>
      </c>
    </row>
    <row r="3385" spans="1:8" hidden="1" x14ac:dyDescent="0.25">
      <c r="A3385" s="116">
        <v>45048</v>
      </c>
      <c r="B3385" s="21" t="s">
        <v>8426</v>
      </c>
      <c r="C3385" s="13" t="s">
        <v>7538</v>
      </c>
      <c r="D3385" s="782"/>
      <c r="E3385" s="22"/>
      <c r="F3385" s="19">
        <v>441500</v>
      </c>
      <c r="G3385" s="14">
        <f t="shared" si="58"/>
        <v>-441500</v>
      </c>
      <c r="H3385" s="13" t="s">
        <v>9857</v>
      </c>
    </row>
    <row r="3386" spans="1:8" hidden="1" x14ac:dyDescent="0.25">
      <c r="A3386" s="116">
        <v>45048</v>
      </c>
      <c r="B3386" s="21" t="s">
        <v>8752</v>
      </c>
      <c r="C3386" s="13" t="s">
        <v>8483</v>
      </c>
      <c r="D3386" s="782" t="s">
        <v>8185</v>
      </c>
      <c r="E3386" s="22">
        <v>116547</v>
      </c>
      <c r="F3386" s="19"/>
      <c r="G3386" s="14">
        <f t="shared" si="58"/>
        <v>116547</v>
      </c>
      <c r="H3386" s="13"/>
    </row>
    <row r="3387" spans="1:8" hidden="1" x14ac:dyDescent="0.25">
      <c r="A3387" s="116">
        <v>45048</v>
      </c>
      <c r="B3387" s="21" t="s">
        <v>9769</v>
      </c>
      <c r="C3387" s="13" t="s">
        <v>8483</v>
      </c>
      <c r="D3387" s="782" t="s">
        <v>9355</v>
      </c>
      <c r="E3387" s="22">
        <v>268519</v>
      </c>
      <c r="F3387" s="19"/>
      <c r="G3387" s="14">
        <f t="shared" si="58"/>
        <v>268519</v>
      </c>
      <c r="H3387" s="13"/>
    </row>
    <row r="3388" spans="1:8" hidden="1" x14ac:dyDescent="0.25">
      <c r="A3388" s="116">
        <v>45048</v>
      </c>
      <c r="B3388" s="21" t="s">
        <v>9769</v>
      </c>
      <c r="C3388" s="13" t="s">
        <v>7538</v>
      </c>
      <c r="D3388" s="782" t="s">
        <v>9928</v>
      </c>
      <c r="E3388" s="22">
        <v>441068</v>
      </c>
      <c r="F3388" s="19"/>
      <c r="G3388" s="14">
        <f t="shared" si="58"/>
        <v>441068</v>
      </c>
      <c r="H3388" s="56" t="s">
        <v>9929</v>
      </c>
    </row>
    <row r="3389" spans="1:8" hidden="1" x14ac:dyDescent="0.25">
      <c r="A3389" s="116">
        <v>45049</v>
      </c>
      <c r="B3389" s="21" t="s">
        <v>8752</v>
      </c>
      <c r="C3389" s="13" t="s">
        <v>8483</v>
      </c>
      <c r="D3389" s="782"/>
      <c r="E3389" s="22"/>
      <c r="F3389" s="19">
        <v>494907</v>
      </c>
      <c r="G3389" s="14">
        <f t="shared" si="58"/>
        <v>-494907</v>
      </c>
      <c r="H3389" s="1146" t="s">
        <v>9908</v>
      </c>
    </row>
    <row r="3390" spans="1:8" hidden="1" x14ac:dyDescent="0.25">
      <c r="A3390" s="116">
        <v>45049</v>
      </c>
      <c r="B3390" s="21" t="s">
        <v>9769</v>
      </c>
      <c r="C3390" s="13" t="s">
        <v>8483</v>
      </c>
      <c r="D3390" s="782"/>
      <c r="E3390" s="22"/>
      <c r="F3390" s="19">
        <f>730000-F3389</f>
        <v>235093</v>
      </c>
      <c r="G3390" s="14">
        <f t="shared" si="58"/>
        <v>-235093</v>
      </c>
      <c r="H3390" s="1147"/>
    </row>
    <row r="3391" spans="1:8" hidden="1" x14ac:dyDescent="0.25">
      <c r="A3391" s="116">
        <v>45049</v>
      </c>
      <c r="B3391" s="21" t="s">
        <v>8752</v>
      </c>
      <c r="C3391" s="13" t="s">
        <v>166</v>
      </c>
      <c r="D3391" s="782" t="s">
        <v>9925</v>
      </c>
      <c r="E3391" s="22">
        <v>95350</v>
      </c>
      <c r="F3391" s="19"/>
      <c r="G3391" s="14">
        <f t="shared" si="58"/>
        <v>95350</v>
      </c>
      <c r="H3391" s="13" t="s">
        <v>9927</v>
      </c>
    </row>
    <row r="3392" spans="1:8" hidden="1" x14ac:dyDescent="0.25">
      <c r="A3392" s="116">
        <v>45052</v>
      </c>
      <c r="B3392" s="21" t="s">
        <v>9463</v>
      </c>
      <c r="C3392" s="13" t="s">
        <v>169</v>
      </c>
      <c r="D3392" s="782" t="s">
        <v>9915</v>
      </c>
      <c r="E3392" s="22">
        <v>125327</v>
      </c>
      <c r="F3392" s="19"/>
      <c r="G3392" s="14">
        <f t="shared" si="58"/>
        <v>125327</v>
      </c>
      <c r="H3392" s="13" t="s">
        <v>9916</v>
      </c>
    </row>
    <row r="3393" spans="1:8" hidden="1" x14ac:dyDescent="0.25">
      <c r="A3393" s="116">
        <v>45055</v>
      </c>
      <c r="B3393" s="21" t="s">
        <v>8752</v>
      </c>
      <c r="C3393" s="13" t="s">
        <v>8483</v>
      </c>
      <c r="D3393" s="782" t="s">
        <v>9601</v>
      </c>
      <c r="E3393" s="22">
        <v>72367</v>
      </c>
      <c r="F3393" s="19"/>
      <c r="G3393" s="14">
        <f t="shared" si="58"/>
        <v>72367</v>
      </c>
      <c r="H3393" s="13"/>
    </row>
    <row r="3394" spans="1:8" hidden="1" x14ac:dyDescent="0.25">
      <c r="A3394" s="116">
        <v>45055</v>
      </c>
      <c r="B3394" s="21" t="s">
        <v>9877</v>
      </c>
      <c r="C3394" s="13" t="s">
        <v>8483</v>
      </c>
      <c r="D3394" s="782" t="s">
        <v>8650</v>
      </c>
      <c r="E3394" s="22">
        <v>1140427</v>
      </c>
      <c r="F3394" s="113"/>
      <c r="G3394" s="14">
        <f t="shared" si="58"/>
        <v>1140427</v>
      </c>
      <c r="H3394" s="13"/>
    </row>
    <row r="3395" spans="1:8" hidden="1" x14ac:dyDescent="0.25">
      <c r="A3395" s="116">
        <v>45055</v>
      </c>
      <c r="B3395" s="21" t="s">
        <v>9769</v>
      </c>
      <c r="C3395" s="13" t="s">
        <v>8483</v>
      </c>
      <c r="D3395" s="782" t="s">
        <v>9966</v>
      </c>
      <c r="E3395" s="22">
        <v>354608</v>
      </c>
      <c r="F3395" s="113"/>
      <c r="G3395" s="14">
        <f t="shared" si="58"/>
        <v>354608</v>
      </c>
      <c r="H3395" s="13"/>
    </row>
    <row r="3396" spans="1:8" hidden="1" x14ac:dyDescent="0.25">
      <c r="A3396" s="116">
        <v>45055</v>
      </c>
      <c r="B3396" s="21" t="s">
        <v>9463</v>
      </c>
      <c r="C3396" s="13" t="s">
        <v>164</v>
      </c>
      <c r="D3396" s="782"/>
      <c r="E3396" s="22">
        <v>5187</v>
      </c>
      <c r="F3396" s="113"/>
      <c r="G3396" s="14">
        <f t="shared" si="58"/>
        <v>5187</v>
      </c>
      <c r="H3396" s="13" t="s">
        <v>9917</v>
      </c>
    </row>
    <row r="3397" spans="1:8" hidden="1" x14ac:dyDescent="0.25">
      <c r="A3397" s="116">
        <v>45055</v>
      </c>
      <c r="B3397" s="21" t="s">
        <v>9877</v>
      </c>
      <c r="C3397" s="13" t="s">
        <v>8483</v>
      </c>
      <c r="D3397" s="782"/>
      <c r="E3397" s="22"/>
      <c r="F3397" s="113">
        <v>400000</v>
      </c>
      <c r="G3397" s="14">
        <f t="shared" si="58"/>
        <v>-400000</v>
      </c>
      <c r="H3397" s="13" t="s">
        <v>9967</v>
      </c>
    </row>
    <row r="3398" spans="1:8" hidden="1" x14ac:dyDescent="0.25">
      <c r="A3398" s="116">
        <v>45056</v>
      </c>
      <c r="B3398" s="21" t="s">
        <v>8122</v>
      </c>
      <c r="C3398" s="13" t="s">
        <v>8545</v>
      </c>
      <c r="D3398" s="782"/>
      <c r="E3398" s="22"/>
      <c r="F3398" s="113">
        <v>89000</v>
      </c>
      <c r="G3398" s="14">
        <f t="shared" si="58"/>
        <v>-89000</v>
      </c>
      <c r="H3398" s="13" t="s">
        <v>9939</v>
      </c>
    </row>
    <row r="3399" spans="1:8" hidden="1" x14ac:dyDescent="0.25">
      <c r="A3399" s="116">
        <v>45056</v>
      </c>
      <c r="B3399" s="21" t="s">
        <v>9516</v>
      </c>
      <c r="C3399" s="13" t="s">
        <v>169</v>
      </c>
      <c r="D3399" s="782"/>
      <c r="E3399" s="799"/>
      <c r="F3399" s="801">
        <v>23301</v>
      </c>
      <c r="G3399" s="800">
        <f t="shared" si="58"/>
        <v>-23301</v>
      </c>
      <c r="H3399" s="1146" t="s">
        <v>9956</v>
      </c>
    </row>
    <row r="3400" spans="1:8" ht="16.5" hidden="1" thickBot="1" x14ac:dyDescent="0.3">
      <c r="A3400" s="116">
        <v>45056</v>
      </c>
      <c r="B3400" s="21" t="s">
        <v>9463</v>
      </c>
      <c r="C3400" s="13" t="s">
        <v>169</v>
      </c>
      <c r="D3400" s="782"/>
      <c r="E3400" s="799"/>
      <c r="F3400" s="802">
        <v>124699</v>
      </c>
      <c r="G3400" s="800">
        <f t="shared" si="58"/>
        <v>-124699</v>
      </c>
      <c r="H3400" s="1148"/>
    </row>
    <row r="3401" spans="1:8" hidden="1" x14ac:dyDescent="0.25">
      <c r="A3401" s="116">
        <v>45056</v>
      </c>
      <c r="B3401" s="21" t="s">
        <v>8982</v>
      </c>
      <c r="C3401" s="13" t="s">
        <v>180</v>
      </c>
      <c r="D3401" s="782"/>
      <c r="E3401" s="799"/>
      <c r="F3401" s="801">
        <v>380920</v>
      </c>
      <c r="G3401" s="800">
        <f t="shared" si="58"/>
        <v>-380920</v>
      </c>
      <c r="H3401" s="1146" t="s">
        <v>9957</v>
      </c>
    </row>
    <row r="3402" spans="1:8" ht="16.5" hidden="1" thickBot="1" x14ac:dyDescent="0.3">
      <c r="A3402" s="116">
        <v>45056</v>
      </c>
      <c r="B3402" s="21" t="s">
        <v>9516</v>
      </c>
      <c r="C3402" s="13" t="s">
        <v>180</v>
      </c>
      <c r="D3402" s="782"/>
      <c r="E3402" s="799"/>
      <c r="F3402" s="802">
        <v>192080</v>
      </c>
      <c r="G3402" s="800">
        <f t="shared" si="58"/>
        <v>-192080</v>
      </c>
      <c r="H3402" s="1148"/>
    </row>
    <row r="3403" spans="1:8" hidden="1" x14ac:dyDescent="0.25">
      <c r="A3403" s="116">
        <v>45056</v>
      </c>
      <c r="B3403" s="21" t="s">
        <v>9516</v>
      </c>
      <c r="C3403" s="13" t="s">
        <v>180</v>
      </c>
      <c r="D3403" s="782"/>
      <c r="E3403" s="22"/>
      <c r="F3403" s="115">
        <v>920</v>
      </c>
      <c r="G3403" s="14">
        <f t="shared" si="58"/>
        <v>-920</v>
      </c>
      <c r="H3403" s="13" t="s">
        <v>9955</v>
      </c>
    </row>
    <row r="3404" spans="1:8" hidden="1" x14ac:dyDescent="0.25">
      <c r="A3404" s="116">
        <v>45056</v>
      </c>
      <c r="B3404" s="21" t="s">
        <v>8752</v>
      </c>
      <c r="C3404" s="13" t="s">
        <v>5234</v>
      </c>
      <c r="D3404" s="782"/>
      <c r="E3404" s="22"/>
      <c r="F3404" s="115">
        <v>25176</v>
      </c>
      <c r="G3404" s="14">
        <f t="shared" si="58"/>
        <v>-25176</v>
      </c>
      <c r="H3404" s="1146" t="s">
        <v>9975</v>
      </c>
    </row>
    <row r="3405" spans="1:8" hidden="1" x14ac:dyDescent="0.25">
      <c r="A3405" s="116">
        <v>45056</v>
      </c>
      <c r="B3405" s="21" t="s">
        <v>8982</v>
      </c>
      <c r="C3405" s="13" t="s">
        <v>5234</v>
      </c>
      <c r="D3405" s="782"/>
      <c r="E3405" s="22"/>
      <c r="F3405" s="115">
        <v>150000</v>
      </c>
      <c r="G3405" s="14">
        <f t="shared" si="58"/>
        <v>-150000</v>
      </c>
      <c r="H3405" s="1147"/>
    </row>
    <row r="3406" spans="1:8" hidden="1" x14ac:dyDescent="0.25">
      <c r="A3406" s="116">
        <v>45056</v>
      </c>
      <c r="B3406" s="21" t="s">
        <v>8982</v>
      </c>
      <c r="C3406" s="13" t="s">
        <v>5234</v>
      </c>
      <c r="D3406" s="782"/>
      <c r="E3406" s="22"/>
      <c r="F3406" s="115">
        <v>35000</v>
      </c>
      <c r="G3406" s="14">
        <f t="shared" si="58"/>
        <v>-35000</v>
      </c>
      <c r="H3406" s="1147"/>
    </row>
    <row r="3407" spans="1:8" hidden="1" x14ac:dyDescent="0.25">
      <c r="A3407" s="116">
        <v>45056</v>
      </c>
      <c r="B3407" s="21" t="s">
        <v>8982</v>
      </c>
      <c r="C3407" s="13" t="s">
        <v>5234</v>
      </c>
      <c r="D3407" s="782"/>
      <c r="E3407" s="22"/>
      <c r="F3407" s="115">
        <v>5000</v>
      </c>
      <c r="G3407" s="14">
        <f t="shared" si="58"/>
        <v>-5000</v>
      </c>
      <c r="H3407" s="1148"/>
    </row>
    <row r="3408" spans="1:8" hidden="1" x14ac:dyDescent="0.25">
      <c r="A3408" s="116">
        <v>45056</v>
      </c>
      <c r="B3408" s="21" t="s">
        <v>9516</v>
      </c>
      <c r="C3408" s="13" t="s">
        <v>7309</v>
      </c>
      <c r="D3408" s="782" t="s">
        <v>9844</v>
      </c>
      <c r="E3408" s="22">
        <v>164970</v>
      </c>
      <c r="F3408" s="115"/>
      <c r="G3408" s="14">
        <f t="shared" si="58"/>
        <v>164970</v>
      </c>
      <c r="H3408" s="972"/>
    </row>
    <row r="3409" spans="1:8" hidden="1" x14ac:dyDescent="0.25">
      <c r="A3409" s="116">
        <v>45056</v>
      </c>
      <c r="B3409" s="21" t="s">
        <v>9463</v>
      </c>
      <c r="C3409" s="13" t="s">
        <v>164</v>
      </c>
      <c r="D3409" s="782" t="s">
        <v>10338</v>
      </c>
      <c r="E3409" s="22">
        <v>5187</v>
      </c>
      <c r="F3409" s="115"/>
      <c r="G3409" s="14">
        <f t="shared" si="58"/>
        <v>5187</v>
      </c>
      <c r="H3409" s="972"/>
    </row>
    <row r="3410" spans="1:8" x14ac:dyDescent="0.25">
      <c r="A3410" s="116">
        <v>45056</v>
      </c>
      <c r="B3410" s="21" t="s">
        <v>11207</v>
      </c>
      <c r="C3410" s="13" t="s">
        <v>12083</v>
      </c>
      <c r="D3410" s="782"/>
      <c r="E3410" s="22"/>
      <c r="F3410" s="115">
        <v>5000000</v>
      </c>
      <c r="G3410" s="14">
        <f t="shared" si="58"/>
        <v>-5000000</v>
      </c>
      <c r="H3410" s="972" t="s">
        <v>9941</v>
      </c>
    </row>
    <row r="3411" spans="1:8" hidden="1" x14ac:dyDescent="0.25">
      <c r="A3411" s="116">
        <v>45057</v>
      </c>
      <c r="B3411" s="21" t="s">
        <v>9463</v>
      </c>
      <c r="C3411" s="13" t="s">
        <v>169</v>
      </c>
      <c r="D3411" s="782" t="s">
        <v>9958</v>
      </c>
      <c r="E3411" s="22">
        <v>38050</v>
      </c>
      <c r="F3411" s="19"/>
      <c r="G3411" s="14">
        <f t="shared" si="58"/>
        <v>38050</v>
      </c>
      <c r="H3411" s="13" t="s">
        <v>9916</v>
      </c>
    </row>
    <row r="3412" spans="1:8" hidden="1" x14ac:dyDescent="0.25">
      <c r="A3412" s="116">
        <v>45059</v>
      </c>
      <c r="B3412" s="21" t="s">
        <v>9769</v>
      </c>
      <c r="C3412" s="13" t="s">
        <v>7538</v>
      </c>
      <c r="D3412" s="782" t="s">
        <v>10088</v>
      </c>
      <c r="E3412" s="22">
        <v>77980</v>
      </c>
      <c r="F3412" s="19"/>
      <c r="G3412" s="14">
        <f t="shared" si="58"/>
        <v>77980</v>
      </c>
      <c r="H3412" s="13" t="s">
        <v>10089</v>
      </c>
    </row>
    <row r="3413" spans="1:8" hidden="1" x14ac:dyDescent="0.25">
      <c r="A3413" s="116">
        <v>45061</v>
      </c>
      <c r="B3413" s="21" t="s">
        <v>9877</v>
      </c>
      <c r="C3413" s="13" t="s">
        <v>8483</v>
      </c>
      <c r="D3413" s="782" t="s">
        <v>9982</v>
      </c>
      <c r="E3413" s="22">
        <v>345118</v>
      </c>
      <c r="F3413" s="19"/>
      <c r="G3413" s="14">
        <f t="shared" si="58"/>
        <v>345118</v>
      </c>
      <c r="H3413" s="13"/>
    </row>
    <row r="3414" spans="1:8" hidden="1" x14ac:dyDescent="0.25">
      <c r="A3414" s="116">
        <v>45061</v>
      </c>
      <c r="B3414" s="21" t="s">
        <v>9769</v>
      </c>
      <c r="C3414" s="13" t="s">
        <v>8483</v>
      </c>
      <c r="D3414" s="782" t="s">
        <v>9983</v>
      </c>
      <c r="E3414" s="22">
        <v>354772</v>
      </c>
      <c r="F3414" s="19"/>
      <c r="G3414" s="14">
        <f t="shared" si="58"/>
        <v>354772</v>
      </c>
      <c r="H3414" s="13"/>
    </row>
    <row r="3415" spans="1:8" hidden="1" x14ac:dyDescent="0.25">
      <c r="A3415" s="116">
        <v>45061</v>
      </c>
      <c r="B3415" s="21" t="s">
        <v>9769</v>
      </c>
      <c r="C3415" s="13" t="s">
        <v>5234</v>
      </c>
      <c r="D3415" s="782" t="s">
        <v>10296</v>
      </c>
      <c r="E3415" s="22">
        <v>37560</v>
      </c>
      <c r="F3415" s="19"/>
      <c r="G3415" s="14">
        <f t="shared" si="58"/>
        <v>37560</v>
      </c>
      <c r="H3415" s="13"/>
    </row>
    <row r="3416" spans="1:8" hidden="1" x14ac:dyDescent="0.25">
      <c r="A3416" s="116">
        <v>45062</v>
      </c>
      <c r="B3416" s="21" t="s">
        <v>10077</v>
      </c>
      <c r="C3416" s="13" t="s">
        <v>166</v>
      </c>
      <c r="D3416" s="782" t="s">
        <v>10078</v>
      </c>
      <c r="E3416" s="22">
        <v>15800</v>
      </c>
      <c r="F3416" s="19"/>
      <c r="G3416" s="14">
        <f t="shared" si="58"/>
        <v>15800</v>
      </c>
      <c r="H3416" s="13" t="s">
        <v>9386</v>
      </c>
    </row>
    <row r="3417" spans="1:8" hidden="1" x14ac:dyDescent="0.25">
      <c r="A3417" s="116">
        <v>45064</v>
      </c>
      <c r="B3417" s="21" t="s">
        <v>9877</v>
      </c>
      <c r="C3417" s="13" t="s">
        <v>8483</v>
      </c>
      <c r="D3417" s="782"/>
      <c r="E3417" s="22"/>
      <c r="F3417" s="19">
        <v>250000</v>
      </c>
      <c r="G3417" s="14">
        <f t="shared" si="58"/>
        <v>-250000</v>
      </c>
      <c r="H3417" s="13" t="s">
        <v>10009</v>
      </c>
    </row>
    <row r="3418" spans="1:8" hidden="1" x14ac:dyDescent="0.25">
      <c r="A3418" s="116">
        <v>45064</v>
      </c>
      <c r="B3418" s="21" t="s">
        <v>9877</v>
      </c>
      <c r="C3418" s="13" t="s">
        <v>8483</v>
      </c>
      <c r="D3418" s="782"/>
      <c r="E3418" s="22"/>
      <c r="F3418" s="19">
        <v>250000</v>
      </c>
      <c r="G3418" s="14">
        <f t="shared" si="58"/>
        <v>-250000</v>
      </c>
      <c r="H3418" s="13" t="s">
        <v>10009</v>
      </c>
    </row>
    <row r="3419" spans="1:8" hidden="1" x14ac:dyDescent="0.25">
      <c r="A3419" s="116">
        <v>45064</v>
      </c>
      <c r="B3419" s="21" t="s">
        <v>9769</v>
      </c>
      <c r="C3419" s="13" t="s">
        <v>8483</v>
      </c>
      <c r="D3419" s="782"/>
      <c r="E3419" s="22"/>
      <c r="F3419" s="19">
        <v>250000</v>
      </c>
      <c r="G3419" s="14">
        <f t="shared" si="58"/>
        <v>-250000</v>
      </c>
      <c r="H3419" s="13" t="s">
        <v>10010</v>
      </c>
    </row>
    <row r="3420" spans="1:8" hidden="1" x14ac:dyDescent="0.25">
      <c r="A3420" s="116">
        <v>45064</v>
      </c>
      <c r="B3420" s="21" t="s">
        <v>9769</v>
      </c>
      <c r="C3420" s="13" t="s">
        <v>8483</v>
      </c>
      <c r="D3420" s="782"/>
      <c r="E3420" s="22"/>
      <c r="F3420" s="19">
        <v>250000</v>
      </c>
      <c r="G3420" s="14">
        <f t="shared" si="58"/>
        <v>-250000</v>
      </c>
      <c r="H3420" s="13" t="s">
        <v>10010</v>
      </c>
    </row>
    <row r="3421" spans="1:8" hidden="1" x14ac:dyDescent="0.25">
      <c r="A3421" s="116">
        <v>45064</v>
      </c>
      <c r="B3421" s="21" t="s">
        <v>9877</v>
      </c>
      <c r="C3421" s="13" t="s">
        <v>8483</v>
      </c>
      <c r="D3421" s="782" t="s">
        <v>10070</v>
      </c>
      <c r="E3421" s="22">
        <v>308829</v>
      </c>
      <c r="F3421" s="19"/>
      <c r="G3421" s="14">
        <f t="shared" ref="G3421:G3431" si="59">E3421-F3421</f>
        <v>308829</v>
      </c>
      <c r="H3421" s="13"/>
    </row>
    <row r="3422" spans="1:8" hidden="1" x14ac:dyDescent="0.25">
      <c r="A3422" s="116">
        <v>45064</v>
      </c>
      <c r="B3422" s="21" t="s">
        <v>9769</v>
      </c>
      <c r="C3422" s="13" t="s">
        <v>8483</v>
      </c>
      <c r="D3422" s="782" t="s">
        <v>8721</v>
      </c>
      <c r="E3422" s="22">
        <v>92285</v>
      </c>
      <c r="F3422" s="19"/>
      <c r="G3422" s="14">
        <f t="shared" si="59"/>
        <v>92285</v>
      </c>
      <c r="H3422" s="13"/>
    </row>
    <row r="3423" spans="1:8" hidden="1" x14ac:dyDescent="0.25">
      <c r="A3423" s="116">
        <v>45064</v>
      </c>
      <c r="B3423" s="21" t="s">
        <v>9769</v>
      </c>
      <c r="C3423" s="13" t="s">
        <v>166</v>
      </c>
      <c r="D3423" s="782" t="s">
        <v>10079</v>
      </c>
      <c r="E3423" s="22">
        <v>6900</v>
      </c>
      <c r="F3423" s="19"/>
      <c r="G3423" s="14">
        <f t="shared" si="59"/>
        <v>6900</v>
      </c>
      <c r="H3423" s="13" t="s">
        <v>10080</v>
      </c>
    </row>
    <row r="3424" spans="1:8" hidden="1" x14ac:dyDescent="0.25">
      <c r="A3424" s="116">
        <v>45065</v>
      </c>
      <c r="B3424" s="21" t="s">
        <v>9769</v>
      </c>
      <c r="C3424" s="13" t="s">
        <v>7538</v>
      </c>
      <c r="D3424" s="782" t="s">
        <v>10090</v>
      </c>
      <c r="E3424" s="22">
        <v>51648</v>
      </c>
      <c r="F3424" s="19"/>
      <c r="G3424" s="14">
        <f t="shared" si="59"/>
        <v>51648</v>
      </c>
      <c r="H3424" s="13" t="s">
        <v>10091</v>
      </c>
    </row>
    <row r="3425" spans="1:8" hidden="1" x14ac:dyDescent="0.25">
      <c r="A3425" s="116">
        <v>45065</v>
      </c>
      <c r="B3425" s="21" t="s">
        <v>10077</v>
      </c>
      <c r="C3425" s="13" t="s">
        <v>1816</v>
      </c>
      <c r="D3425" s="782"/>
      <c r="E3425" s="799">
        <v>12591</v>
      </c>
      <c r="F3425" s="113"/>
      <c r="G3425" s="800">
        <f>E3425-F3425</f>
        <v>12591</v>
      </c>
      <c r="H3425" s="351"/>
    </row>
    <row r="3426" spans="1:8" hidden="1" x14ac:dyDescent="0.25">
      <c r="A3426" s="116">
        <v>45066</v>
      </c>
      <c r="B3426" s="21" t="s">
        <v>9463</v>
      </c>
      <c r="C3426" s="13" t="s">
        <v>169</v>
      </c>
      <c r="D3426" s="782" t="s">
        <v>9968</v>
      </c>
      <c r="E3426" s="22">
        <v>9004</v>
      </c>
      <c r="F3426" s="19"/>
      <c r="G3426" s="14">
        <f t="shared" si="59"/>
        <v>9004</v>
      </c>
      <c r="H3426" s="13"/>
    </row>
    <row r="3427" spans="1:8" hidden="1" x14ac:dyDescent="0.25">
      <c r="A3427" s="116">
        <v>45069</v>
      </c>
      <c r="B3427" s="21" t="s">
        <v>9877</v>
      </c>
      <c r="C3427" s="13" t="s">
        <v>8483</v>
      </c>
      <c r="D3427" s="782" t="s">
        <v>10071</v>
      </c>
      <c r="E3427" s="22">
        <v>329527</v>
      </c>
      <c r="F3427" s="19"/>
      <c r="G3427" s="14">
        <f t="shared" si="59"/>
        <v>329527</v>
      </c>
      <c r="H3427" s="13"/>
    </row>
    <row r="3428" spans="1:8" hidden="1" x14ac:dyDescent="0.25">
      <c r="A3428" s="116">
        <v>45069</v>
      </c>
      <c r="B3428" s="21" t="s">
        <v>9769</v>
      </c>
      <c r="C3428" s="13" t="s">
        <v>8483</v>
      </c>
      <c r="D3428" s="782" t="s">
        <v>10072</v>
      </c>
      <c r="E3428" s="22">
        <v>154261</v>
      </c>
      <c r="F3428" s="19"/>
      <c r="G3428" s="14">
        <f t="shared" si="59"/>
        <v>154261</v>
      </c>
      <c r="H3428" s="13"/>
    </row>
    <row r="3429" spans="1:8" hidden="1" x14ac:dyDescent="0.25">
      <c r="A3429" s="116">
        <v>45069</v>
      </c>
      <c r="B3429" s="21" t="s">
        <v>10077</v>
      </c>
      <c r="C3429" s="13" t="s">
        <v>1816</v>
      </c>
      <c r="D3429" s="782"/>
      <c r="E3429" s="799">
        <v>873</v>
      </c>
      <c r="F3429" s="113"/>
      <c r="G3429" s="800">
        <f>E3429-F3429</f>
        <v>873</v>
      </c>
      <c r="H3429" s="351"/>
    </row>
    <row r="3430" spans="1:8" hidden="1" x14ac:dyDescent="0.25">
      <c r="A3430" s="116">
        <v>45069</v>
      </c>
      <c r="B3430" s="21" t="s">
        <v>9463</v>
      </c>
      <c r="C3430" s="13" t="s">
        <v>169</v>
      </c>
      <c r="D3430" s="782" t="s">
        <v>10300</v>
      </c>
      <c r="E3430" s="22">
        <v>7880</v>
      </c>
      <c r="F3430" s="19"/>
      <c r="G3430" s="14">
        <f t="shared" si="59"/>
        <v>7880</v>
      </c>
      <c r="H3430" s="13"/>
    </row>
    <row r="3431" spans="1:8" hidden="1" x14ac:dyDescent="0.25">
      <c r="A3431" s="116">
        <v>45070</v>
      </c>
      <c r="B3431" s="21" t="s">
        <v>9877</v>
      </c>
      <c r="C3431" s="13" t="s">
        <v>8483</v>
      </c>
      <c r="D3431" s="782" t="s">
        <v>10073</v>
      </c>
      <c r="E3431" s="22">
        <v>334037</v>
      </c>
      <c r="F3431" s="19"/>
      <c r="G3431" s="14">
        <f t="shared" si="59"/>
        <v>334037</v>
      </c>
      <c r="H3431" s="13"/>
    </row>
    <row r="3432" spans="1:8" hidden="1" x14ac:dyDescent="0.25">
      <c r="A3432" s="116">
        <v>45070</v>
      </c>
      <c r="B3432" s="21" t="s">
        <v>8000</v>
      </c>
      <c r="C3432" s="13" t="s">
        <v>8477</v>
      </c>
      <c r="D3432" s="782"/>
      <c r="E3432" s="22"/>
      <c r="F3432" s="19">
        <v>975000</v>
      </c>
      <c r="G3432" s="14">
        <f t="shared" si="58"/>
        <v>-975000</v>
      </c>
      <c r="H3432" s="13" t="s">
        <v>10010</v>
      </c>
    </row>
    <row r="3433" spans="1:8" hidden="1" x14ac:dyDescent="0.25">
      <c r="A3433" s="116">
        <v>45070</v>
      </c>
      <c r="B3433" s="21" t="s">
        <v>9463</v>
      </c>
      <c r="C3433" s="13" t="s">
        <v>164</v>
      </c>
      <c r="D3433" s="782" t="s">
        <v>10339</v>
      </c>
      <c r="E3433" s="22">
        <v>2537</v>
      </c>
      <c r="F3433" s="19"/>
      <c r="G3433" s="14">
        <f t="shared" si="58"/>
        <v>2537</v>
      </c>
      <c r="H3433" s="13"/>
    </row>
    <row r="3434" spans="1:8" hidden="1" x14ac:dyDescent="0.25">
      <c r="A3434" s="116">
        <v>45072</v>
      </c>
      <c r="B3434" s="21" t="s">
        <v>9769</v>
      </c>
      <c r="C3434" s="13" t="s">
        <v>7538</v>
      </c>
      <c r="D3434" s="782" t="s">
        <v>10092</v>
      </c>
      <c r="E3434" s="22">
        <v>10200</v>
      </c>
      <c r="F3434" s="19"/>
      <c r="G3434" s="14">
        <f t="shared" si="58"/>
        <v>10200</v>
      </c>
      <c r="H3434" s="13" t="s">
        <v>10093</v>
      </c>
    </row>
    <row r="3435" spans="1:8" x14ac:dyDescent="0.25">
      <c r="A3435" s="116">
        <v>45072</v>
      </c>
      <c r="B3435" s="21" t="s">
        <v>11207</v>
      </c>
      <c r="C3435" s="13" t="s">
        <v>12083</v>
      </c>
      <c r="D3435" s="782"/>
      <c r="E3435" s="22"/>
      <c r="F3435" s="115">
        <v>3000000</v>
      </c>
      <c r="G3435" s="14">
        <f t="shared" ref="G3435" si="60">E3435-F3435</f>
        <v>-3000000</v>
      </c>
      <c r="H3435" s="351" t="s">
        <v>10067</v>
      </c>
    </row>
    <row r="3436" spans="1:8" hidden="1" x14ac:dyDescent="0.25">
      <c r="A3436" s="116">
        <v>45076</v>
      </c>
      <c r="B3436" s="21" t="s">
        <v>8653</v>
      </c>
      <c r="C3436" s="13" t="s">
        <v>7309</v>
      </c>
      <c r="D3436" s="782"/>
      <c r="E3436" s="22"/>
      <c r="F3436" s="19">
        <v>536250</v>
      </c>
      <c r="G3436" s="14">
        <f t="shared" si="58"/>
        <v>-536250</v>
      </c>
      <c r="H3436" s="13" t="s">
        <v>10064</v>
      </c>
    </row>
    <row r="3437" spans="1:8" ht="15.75" hidden="1" customHeight="1" x14ac:dyDescent="0.25">
      <c r="A3437" s="116">
        <v>45076</v>
      </c>
      <c r="B3437" s="21" t="s">
        <v>1407</v>
      </c>
      <c r="C3437" s="13" t="s">
        <v>7309</v>
      </c>
      <c r="D3437" s="782"/>
      <c r="E3437" s="22"/>
      <c r="F3437" s="19">
        <v>148548</v>
      </c>
      <c r="G3437" s="14">
        <f t="shared" si="58"/>
        <v>-148548</v>
      </c>
      <c r="H3437" s="1137" t="s">
        <v>10428</v>
      </c>
    </row>
    <row r="3438" spans="1:8" hidden="1" x14ac:dyDescent="0.25">
      <c r="A3438" s="116">
        <v>45076</v>
      </c>
      <c r="B3438" s="21" t="s">
        <v>8122</v>
      </c>
      <c r="C3438" s="13" t="s">
        <v>7309</v>
      </c>
      <c r="D3438" s="782"/>
      <c r="E3438" s="22"/>
      <c r="F3438" s="19">
        <v>141655</v>
      </c>
      <c r="G3438" s="14">
        <f t="shared" si="58"/>
        <v>-141655</v>
      </c>
      <c r="H3438" s="1138"/>
    </row>
    <row r="3439" spans="1:8" hidden="1" x14ac:dyDescent="0.25">
      <c r="A3439" s="116">
        <v>45076</v>
      </c>
      <c r="B3439" s="21" t="s">
        <v>8426</v>
      </c>
      <c r="C3439" s="13" t="s">
        <v>7309</v>
      </c>
      <c r="D3439" s="782"/>
      <c r="E3439" s="22"/>
      <c r="F3439" s="19">
        <v>27798</v>
      </c>
      <c r="G3439" s="14">
        <f t="shared" si="58"/>
        <v>-27798</v>
      </c>
      <c r="H3439" s="1138"/>
    </row>
    <row r="3440" spans="1:8" hidden="1" x14ac:dyDescent="0.25">
      <c r="A3440" s="116">
        <v>45076</v>
      </c>
      <c r="B3440" s="21" t="s">
        <v>8653</v>
      </c>
      <c r="C3440" s="13" t="s">
        <v>7309</v>
      </c>
      <c r="D3440" s="782"/>
      <c r="E3440" s="22"/>
      <c r="F3440" s="19">
        <v>65342</v>
      </c>
      <c r="G3440" s="14">
        <f t="shared" si="58"/>
        <v>-65342</v>
      </c>
      <c r="H3440" s="1138"/>
    </row>
    <row r="3441" spans="1:8" hidden="1" x14ac:dyDescent="0.25">
      <c r="A3441" s="116">
        <v>45076</v>
      </c>
      <c r="B3441" s="21" t="s">
        <v>8752</v>
      </c>
      <c r="C3441" s="13" t="s">
        <v>7309</v>
      </c>
      <c r="D3441" s="782"/>
      <c r="E3441" s="22"/>
      <c r="F3441" s="19">
        <v>188071</v>
      </c>
      <c r="G3441" s="14">
        <f t="shared" si="58"/>
        <v>-188071</v>
      </c>
      <c r="H3441" s="1138"/>
    </row>
    <row r="3442" spans="1:8" hidden="1" x14ac:dyDescent="0.25">
      <c r="A3442" s="116">
        <v>45076</v>
      </c>
      <c r="B3442" s="21" t="s">
        <v>8974</v>
      </c>
      <c r="C3442" s="13" t="s">
        <v>7309</v>
      </c>
      <c r="D3442" s="782"/>
      <c r="E3442" s="22"/>
      <c r="F3442" s="19">
        <v>3983</v>
      </c>
      <c r="G3442" s="14">
        <f t="shared" si="58"/>
        <v>-3983</v>
      </c>
      <c r="H3442" s="1138"/>
    </row>
    <row r="3443" spans="1:8" hidden="1" x14ac:dyDescent="0.25">
      <c r="A3443" s="116">
        <v>45076</v>
      </c>
      <c r="B3443" s="21" t="s">
        <v>8982</v>
      </c>
      <c r="C3443" s="13" t="s">
        <v>7309</v>
      </c>
      <c r="D3443" s="782"/>
      <c r="E3443" s="22"/>
      <c r="F3443" s="19">
        <v>48076</v>
      </c>
      <c r="G3443" s="14">
        <f t="shared" si="58"/>
        <v>-48076</v>
      </c>
      <c r="H3443" s="1138"/>
    </row>
    <row r="3444" spans="1:8" hidden="1" x14ac:dyDescent="0.25">
      <c r="A3444" s="116">
        <v>45076</v>
      </c>
      <c r="B3444" s="21" t="s">
        <v>9516</v>
      </c>
      <c r="C3444" s="13" t="s">
        <v>7309</v>
      </c>
      <c r="D3444" s="782"/>
      <c r="E3444" s="22"/>
      <c r="F3444" s="19">
        <v>48076</v>
      </c>
      <c r="G3444" s="14">
        <f t="shared" si="58"/>
        <v>-48076</v>
      </c>
      <c r="H3444" s="1139"/>
    </row>
    <row r="3445" spans="1:8" hidden="1" x14ac:dyDescent="0.25">
      <c r="A3445" s="116">
        <v>45076</v>
      </c>
      <c r="B3445" s="21" t="s">
        <v>8653</v>
      </c>
      <c r="C3445" s="13" t="s">
        <v>7309</v>
      </c>
      <c r="D3445" s="782" t="s">
        <v>9845</v>
      </c>
      <c r="E3445" s="22">
        <v>100000</v>
      </c>
      <c r="F3445" s="19"/>
      <c r="G3445" s="14">
        <f t="shared" si="58"/>
        <v>100000</v>
      </c>
      <c r="H3445" s="13"/>
    </row>
    <row r="3446" spans="1:8" hidden="1" x14ac:dyDescent="0.25">
      <c r="A3446" s="116">
        <v>45076</v>
      </c>
      <c r="B3446" s="21" t="s">
        <v>10077</v>
      </c>
      <c r="C3446" s="13" t="s">
        <v>1816</v>
      </c>
      <c r="D3446" s="782"/>
      <c r="E3446" s="799">
        <v>31540</v>
      </c>
      <c r="F3446" s="113"/>
      <c r="G3446" s="800">
        <f>E3446-F3446</f>
        <v>31540</v>
      </c>
      <c r="H3446" s="351"/>
    </row>
    <row r="3447" spans="1:8" hidden="1" x14ac:dyDescent="0.25">
      <c r="A3447" s="116">
        <v>45070</v>
      </c>
      <c r="B3447" s="21" t="s">
        <v>8426</v>
      </c>
      <c r="C3447" s="13" t="s">
        <v>7309</v>
      </c>
      <c r="D3447" s="782"/>
      <c r="E3447" s="22"/>
      <c r="F3447" s="19">
        <v>200000</v>
      </c>
      <c r="G3447" s="14">
        <f t="shared" si="58"/>
        <v>-200000</v>
      </c>
      <c r="H3447" s="13" t="s">
        <v>10065</v>
      </c>
    </row>
    <row r="3448" spans="1:8" hidden="1" x14ac:dyDescent="0.25">
      <c r="A3448" s="116">
        <v>45070</v>
      </c>
      <c r="B3448" s="21" t="s">
        <v>8653</v>
      </c>
      <c r="C3448" s="13" t="s">
        <v>7309</v>
      </c>
      <c r="D3448" s="782"/>
      <c r="E3448" s="22"/>
      <c r="F3448" s="19">
        <v>50000</v>
      </c>
      <c r="G3448" s="14">
        <f t="shared" si="58"/>
        <v>-50000</v>
      </c>
      <c r="H3448" s="13" t="s">
        <v>10066</v>
      </c>
    </row>
    <row r="3449" spans="1:8" hidden="1" x14ac:dyDescent="0.25">
      <c r="A3449" s="116">
        <v>45071</v>
      </c>
      <c r="B3449" s="21" t="s">
        <v>9877</v>
      </c>
      <c r="C3449" s="13" t="s">
        <v>166</v>
      </c>
      <c r="D3449" s="782" t="s">
        <v>10081</v>
      </c>
      <c r="E3449" s="22">
        <v>44000</v>
      </c>
      <c r="F3449" s="19"/>
      <c r="G3449" s="14">
        <f t="shared" si="58"/>
        <v>44000</v>
      </c>
      <c r="H3449" s="13" t="s">
        <v>10082</v>
      </c>
    </row>
    <row r="3450" spans="1:8" hidden="1" x14ac:dyDescent="0.25">
      <c r="A3450" s="116">
        <v>45072</v>
      </c>
      <c r="B3450" s="21" t="s">
        <v>9769</v>
      </c>
      <c r="C3450" s="13" t="s">
        <v>166</v>
      </c>
      <c r="D3450" s="782" t="s">
        <v>10083</v>
      </c>
      <c r="E3450" s="22">
        <v>9200</v>
      </c>
      <c r="F3450" s="19"/>
      <c r="G3450" s="14">
        <f t="shared" si="58"/>
        <v>9200</v>
      </c>
      <c r="H3450" s="13" t="s">
        <v>10080</v>
      </c>
    </row>
    <row r="3451" spans="1:8" hidden="1" x14ac:dyDescent="0.25">
      <c r="A3451" s="116">
        <v>45073</v>
      </c>
      <c r="B3451" s="21" t="s">
        <v>9877</v>
      </c>
      <c r="C3451" s="13" t="s">
        <v>8483</v>
      </c>
      <c r="D3451" s="782" t="s">
        <v>10257</v>
      </c>
      <c r="E3451" s="22">
        <v>114314</v>
      </c>
      <c r="F3451" s="19"/>
      <c r="G3451" s="14">
        <f t="shared" si="58"/>
        <v>114314</v>
      </c>
      <c r="H3451" s="13"/>
    </row>
    <row r="3452" spans="1:8" hidden="1" x14ac:dyDescent="0.25">
      <c r="A3452" s="116">
        <v>45073</v>
      </c>
      <c r="B3452" s="21" t="s">
        <v>9769</v>
      </c>
      <c r="C3452" s="13" t="s">
        <v>5234</v>
      </c>
      <c r="D3452" s="782" t="s">
        <v>10294</v>
      </c>
      <c r="E3452" s="22">
        <v>68320</v>
      </c>
      <c r="F3452" s="19"/>
      <c r="G3452" s="14">
        <f t="shared" si="58"/>
        <v>68320</v>
      </c>
      <c r="H3452" s="13"/>
    </row>
    <row r="3453" spans="1:8" hidden="1" x14ac:dyDescent="0.25">
      <c r="A3453" s="116">
        <v>45073</v>
      </c>
      <c r="B3453" s="21" t="s">
        <v>9769</v>
      </c>
      <c r="C3453" s="13" t="s">
        <v>5234</v>
      </c>
      <c r="D3453" s="782" t="s">
        <v>10295</v>
      </c>
      <c r="E3453" s="22">
        <v>75000</v>
      </c>
      <c r="F3453" s="19"/>
      <c r="G3453" s="14">
        <f t="shared" si="58"/>
        <v>75000</v>
      </c>
      <c r="H3453" s="13"/>
    </row>
    <row r="3454" spans="1:8" hidden="1" x14ac:dyDescent="0.25">
      <c r="A3454" s="116">
        <v>45073</v>
      </c>
      <c r="B3454" s="21" t="s">
        <v>8752</v>
      </c>
      <c r="C3454" s="13" t="s">
        <v>5234</v>
      </c>
      <c r="D3454" s="782" t="s">
        <v>10297</v>
      </c>
      <c r="E3454" s="22">
        <v>217008</v>
      </c>
      <c r="F3454" s="19"/>
      <c r="G3454" s="14">
        <f t="shared" si="58"/>
        <v>217008</v>
      </c>
      <c r="H3454" s="13"/>
    </row>
    <row r="3455" spans="1:8" hidden="1" x14ac:dyDescent="0.25">
      <c r="A3455" s="116">
        <v>45073</v>
      </c>
      <c r="B3455" s="21" t="s">
        <v>11025</v>
      </c>
      <c r="C3455" s="13" t="s">
        <v>5234</v>
      </c>
      <c r="D3455" s="782" t="s">
        <v>10298</v>
      </c>
      <c r="E3455" s="22">
        <v>15000</v>
      </c>
      <c r="F3455" s="19"/>
      <c r="G3455" s="14">
        <f t="shared" si="58"/>
        <v>15000</v>
      </c>
      <c r="H3455" s="13"/>
    </row>
    <row r="3456" spans="1:8" hidden="1" x14ac:dyDescent="0.25">
      <c r="A3456" s="116">
        <v>45073</v>
      </c>
      <c r="B3456" s="21" t="s">
        <v>8982</v>
      </c>
      <c r="C3456" s="13" t="s">
        <v>5234</v>
      </c>
      <c r="D3456" s="782" t="s">
        <v>10300</v>
      </c>
      <c r="E3456" s="22">
        <v>15600</v>
      </c>
      <c r="F3456" s="19"/>
      <c r="G3456" s="14">
        <f t="shared" si="58"/>
        <v>15600</v>
      </c>
      <c r="H3456" s="13"/>
    </row>
    <row r="3457" spans="1:8" hidden="1" x14ac:dyDescent="0.25">
      <c r="A3457" s="116">
        <v>45073</v>
      </c>
      <c r="B3457" s="21" t="s">
        <v>8982</v>
      </c>
      <c r="C3457" s="13" t="s">
        <v>5234</v>
      </c>
      <c r="D3457" s="782" t="s">
        <v>10299</v>
      </c>
      <c r="E3457" s="22">
        <v>960</v>
      </c>
      <c r="F3457" s="19"/>
      <c r="G3457" s="14">
        <f t="shared" si="58"/>
        <v>960</v>
      </c>
      <c r="H3457" s="13"/>
    </row>
    <row r="3458" spans="1:8" hidden="1" x14ac:dyDescent="0.25">
      <c r="A3458" s="116">
        <v>45073</v>
      </c>
      <c r="B3458" s="21" t="s">
        <v>10096</v>
      </c>
      <c r="C3458" s="13" t="s">
        <v>169</v>
      </c>
      <c r="D3458" s="782" t="s">
        <v>10301</v>
      </c>
      <c r="E3458" s="22">
        <v>7092</v>
      </c>
      <c r="F3458" s="19"/>
      <c r="G3458" s="14">
        <f t="shared" si="58"/>
        <v>7092</v>
      </c>
      <c r="H3458" s="13"/>
    </row>
    <row r="3459" spans="1:8" hidden="1" x14ac:dyDescent="0.25">
      <c r="A3459" s="116">
        <v>45075</v>
      </c>
      <c r="B3459" s="21" t="s">
        <v>8122</v>
      </c>
      <c r="C3459" s="13" t="s">
        <v>8170</v>
      </c>
      <c r="D3459" s="782"/>
      <c r="E3459" s="22"/>
      <c r="F3459" s="19">
        <v>1500000</v>
      </c>
      <c r="G3459" s="14">
        <f t="shared" si="58"/>
        <v>-1500000</v>
      </c>
      <c r="H3459" s="13" t="s">
        <v>10069</v>
      </c>
    </row>
    <row r="3460" spans="1:8" hidden="1" x14ac:dyDescent="0.25">
      <c r="A3460" s="116">
        <v>45075</v>
      </c>
      <c r="B3460" s="21" t="s">
        <v>8752</v>
      </c>
      <c r="C3460" s="13" t="s">
        <v>166</v>
      </c>
      <c r="D3460" s="782"/>
      <c r="E3460" s="22"/>
      <c r="F3460" s="19">
        <v>600000</v>
      </c>
      <c r="G3460" s="14">
        <f t="shared" si="58"/>
        <v>-600000</v>
      </c>
      <c r="H3460" s="13" t="s">
        <v>10069</v>
      </c>
    </row>
    <row r="3461" spans="1:8" hidden="1" x14ac:dyDescent="0.25">
      <c r="A3461" s="116">
        <v>45075</v>
      </c>
      <c r="B3461" s="21" t="s">
        <v>9769</v>
      </c>
      <c r="C3461" s="13" t="s">
        <v>166</v>
      </c>
      <c r="D3461" s="782" t="s">
        <v>10085</v>
      </c>
      <c r="E3461" s="22">
        <v>4600</v>
      </c>
      <c r="F3461" s="19"/>
      <c r="G3461" s="14">
        <f t="shared" si="58"/>
        <v>4600</v>
      </c>
      <c r="H3461" s="13" t="s">
        <v>10080</v>
      </c>
    </row>
    <row r="3462" spans="1:8" hidden="1" x14ac:dyDescent="0.25">
      <c r="A3462" s="116">
        <v>45075</v>
      </c>
      <c r="B3462" s="21" t="s">
        <v>9877</v>
      </c>
      <c r="C3462" s="13" t="s">
        <v>180</v>
      </c>
      <c r="D3462" s="782" t="s">
        <v>10086</v>
      </c>
      <c r="E3462" s="22">
        <v>1849080</v>
      </c>
      <c r="F3462" s="19"/>
      <c r="G3462" s="14">
        <f t="shared" si="58"/>
        <v>1849080</v>
      </c>
      <c r="H3462" s="13" t="s">
        <v>10087</v>
      </c>
    </row>
    <row r="3463" spans="1:8" hidden="1" x14ac:dyDescent="0.25">
      <c r="A3463" s="116">
        <v>45075</v>
      </c>
      <c r="B3463" s="21" t="s">
        <v>9769</v>
      </c>
      <c r="C3463" s="13" t="s">
        <v>7538</v>
      </c>
      <c r="D3463" s="782" t="s">
        <v>10094</v>
      </c>
      <c r="E3463" s="22">
        <v>32000</v>
      </c>
      <c r="F3463" s="19"/>
      <c r="G3463" s="14">
        <f t="shared" si="58"/>
        <v>32000</v>
      </c>
      <c r="H3463" s="13" t="s">
        <v>10095</v>
      </c>
    </row>
    <row r="3464" spans="1:8" hidden="1" x14ac:dyDescent="0.25">
      <c r="A3464" s="116">
        <v>45075</v>
      </c>
      <c r="B3464" s="21" t="s">
        <v>10096</v>
      </c>
      <c r="C3464" s="13" t="s">
        <v>7538</v>
      </c>
      <c r="D3464" s="782" t="s">
        <v>10097</v>
      </c>
      <c r="E3464" s="22">
        <v>25630</v>
      </c>
      <c r="F3464" s="19"/>
      <c r="G3464" s="14">
        <f t="shared" si="58"/>
        <v>25630</v>
      </c>
      <c r="H3464" s="13" t="s">
        <v>10098</v>
      </c>
    </row>
    <row r="3465" spans="1:8" hidden="1" x14ac:dyDescent="0.25">
      <c r="A3465" s="116">
        <v>45075</v>
      </c>
      <c r="B3465" s="21" t="s">
        <v>9769</v>
      </c>
      <c r="C3465" s="13" t="s">
        <v>8483</v>
      </c>
      <c r="D3465" s="782" t="s">
        <v>10258</v>
      </c>
      <c r="E3465" s="22">
        <v>197917</v>
      </c>
      <c r="F3465" s="19"/>
      <c r="G3465" s="14">
        <f t="shared" si="58"/>
        <v>197917</v>
      </c>
      <c r="H3465" s="13"/>
    </row>
    <row r="3466" spans="1:8" hidden="1" x14ac:dyDescent="0.25">
      <c r="A3466" s="116">
        <v>45076</v>
      </c>
      <c r="B3466" s="21" t="s">
        <v>10261</v>
      </c>
      <c r="C3466" s="13" t="s">
        <v>8483</v>
      </c>
      <c r="D3466" s="782" t="s">
        <v>10074</v>
      </c>
      <c r="E3466" s="22">
        <v>69785</v>
      </c>
      <c r="F3466" s="19"/>
      <c r="G3466" s="14">
        <f t="shared" si="58"/>
        <v>69785</v>
      </c>
      <c r="H3466" s="13"/>
    </row>
    <row r="3467" spans="1:8" hidden="1" x14ac:dyDescent="0.25">
      <c r="A3467" s="116">
        <v>45076</v>
      </c>
      <c r="B3467" s="21" t="s">
        <v>8752</v>
      </c>
      <c r="C3467" s="13" t="s">
        <v>8483</v>
      </c>
      <c r="D3467" s="782" t="s">
        <v>10075</v>
      </c>
      <c r="E3467" s="22">
        <v>44259</v>
      </c>
      <c r="F3467" s="19"/>
      <c r="G3467" s="14">
        <f t="shared" si="58"/>
        <v>44259</v>
      </c>
      <c r="H3467" s="13"/>
    </row>
    <row r="3468" spans="1:8" hidden="1" x14ac:dyDescent="0.25">
      <c r="A3468" s="116">
        <v>45076</v>
      </c>
      <c r="B3468" s="21" t="s">
        <v>9769</v>
      </c>
      <c r="C3468" s="13" t="s">
        <v>8483</v>
      </c>
      <c r="D3468" s="782" t="s">
        <v>10076</v>
      </c>
      <c r="E3468" s="22">
        <v>63065</v>
      </c>
      <c r="F3468" s="19"/>
      <c r="G3468" s="14">
        <f t="shared" si="58"/>
        <v>63065</v>
      </c>
      <c r="H3468" s="13"/>
    </row>
    <row r="3469" spans="1:8" hidden="1" x14ac:dyDescent="0.25">
      <c r="A3469" s="116">
        <v>45077</v>
      </c>
      <c r="B3469" s="21" t="s">
        <v>9769</v>
      </c>
      <c r="C3469" s="13" t="s">
        <v>166</v>
      </c>
      <c r="D3469" s="782" t="s">
        <v>10084</v>
      </c>
      <c r="E3469" s="22">
        <v>11500</v>
      </c>
      <c r="F3469" s="19"/>
      <c r="G3469" s="14">
        <f t="shared" si="58"/>
        <v>11500</v>
      </c>
      <c r="H3469" s="13" t="s">
        <v>10080</v>
      </c>
    </row>
    <row r="3470" spans="1:8" hidden="1" x14ac:dyDescent="0.25">
      <c r="A3470" s="116">
        <v>45076</v>
      </c>
      <c r="B3470" s="21" t="s">
        <v>9877</v>
      </c>
      <c r="C3470" s="13" t="s">
        <v>8483</v>
      </c>
      <c r="D3470" s="782"/>
      <c r="E3470" s="22"/>
      <c r="F3470" s="19">
        <v>500000</v>
      </c>
      <c r="G3470" s="14">
        <f t="shared" si="58"/>
        <v>-500000</v>
      </c>
      <c r="H3470" s="13" t="s">
        <v>10099</v>
      </c>
    </row>
    <row r="3471" spans="1:8" hidden="1" x14ac:dyDescent="0.25">
      <c r="A3471" s="116">
        <v>45078</v>
      </c>
      <c r="B3471" s="21" t="s">
        <v>10077</v>
      </c>
      <c r="C3471" s="13" t="s">
        <v>1816</v>
      </c>
      <c r="D3471" s="782"/>
      <c r="E3471" s="799">
        <v>4215</v>
      </c>
      <c r="F3471" s="113"/>
      <c r="G3471" s="800">
        <f>E3471-F3471</f>
        <v>4215</v>
      </c>
      <c r="H3471" s="351"/>
    </row>
    <row r="3472" spans="1:8" hidden="1" x14ac:dyDescent="0.25">
      <c r="A3472" s="116">
        <v>45078</v>
      </c>
      <c r="B3472" s="21" t="s">
        <v>9877</v>
      </c>
      <c r="C3472" s="13" t="s">
        <v>8483</v>
      </c>
      <c r="D3472" s="782" t="s">
        <v>10259</v>
      </c>
      <c r="E3472" s="22">
        <v>272244</v>
      </c>
      <c r="F3472" s="19"/>
      <c r="G3472" s="14">
        <f t="shared" si="58"/>
        <v>272244</v>
      </c>
      <c r="H3472" s="13"/>
    </row>
    <row r="3473" spans="1:8" hidden="1" x14ac:dyDescent="0.25">
      <c r="A3473" s="116">
        <v>45078</v>
      </c>
      <c r="B3473" s="21" t="s">
        <v>9463</v>
      </c>
      <c r="C3473" s="13" t="s">
        <v>8483</v>
      </c>
      <c r="D3473" s="782" t="s">
        <v>10260</v>
      </c>
      <c r="E3473" s="22">
        <v>101572</v>
      </c>
      <c r="F3473" s="19"/>
      <c r="G3473" s="14">
        <f t="shared" si="58"/>
        <v>101572</v>
      </c>
      <c r="H3473" s="13"/>
    </row>
    <row r="3474" spans="1:8" hidden="1" x14ac:dyDescent="0.25">
      <c r="A3474" s="116">
        <v>45079</v>
      </c>
      <c r="B3474" s="21" t="s">
        <v>9769</v>
      </c>
      <c r="C3474" s="13" t="s">
        <v>166</v>
      </c>
      <c r="D3474" s="782" t="s">
        <v>10371</v>
      </c>
      <c r="E3474" s="22">
        <v>16100</v>
      </c>
      <c r="F3474" s="19"/>
      <c r="G3474" s="14">
        <f t="shared" si="58"/>
        <v>16100</v>
      </c>
      <c r="H3474" s="13"/>
    </row>
    <row r="3475" spans="1:8" hidden="1" x14ac:dyDescent="0.25">
      <c r="A3475" s="116">
        <v>45079</v>
      </c>
      <c r="B3475" s="21" t="s">
        <v>10077</v>
      </c>
      <c r="C3475" s="13" t="s">
        <v>1816</v>
      </c>
      <c r="D3475" s="782"/>
      <c r="E3475" s="799">
        <v>14792</v>
      </c>
      <c r="F3475" s="113"/>
      <c r="G3475" s="800">
        <f>E3475-F3475</f>
        <v>14792</v>
      </c>
      <c r="H3475" s="351"/>
    </row>
    <row r="3476" spans="1:8" hidden="1" x14ac:dyDescent="0.25">
      <c r="A3476" s="116">
        <v>45080</v>
      </c>
      <c r="B3476" s="21" t="s">
        <v>10261</v>
      </c>
      <c r="C3476" s="13" t="s">
        <v>8483</v>
      </c>
      <c r="D3476" s="782" t="s">
        <v>10262</v>
      </c>
      <c r="E3476" s="22">
        <v>352684</v>
      </c>
      <c r="F3476" s="19"/>
      <c r="G3476" s="14">
        <f t="shared" si="58"/>
        <v>352684</v>
      </c>
      <c r="H3476" s="13"/>
    </row>
    <row r="3477" spans="1:8" hidden="1" x14ac:dyDescent="0.25">
      <c r="A3477" s="116">
        <v>45080</v>
      </c>
      <c r="B3477" s="21" t="s">
        <v>9769</v>
      </c>
      <c r="C3477" s="13" t="s">
        <v>8483</v>
      </c>
      <c r="D3477" s="782" t="s">
        <v>8472</v>
      </c>
      <c r="E3477" s="22">
        <v>71932</v>
      </c>
      <c r="F3477" s="19"/>
      <c r="G3477" s="14">
        <f t="shared" si="58"/>
        <v>71932</v>
      </c>
      <c r="H3477" s="13"/>
    </row>
    <row r="3478" spans="1:8" hidden="1" x14ac:dyDescent="0.25">
      <c r="A3478" s="116">
        <v>45080</v>
      </c>
      <c r="B3478" s="21" t="s">
        <v>8752</v>
      </c>
      <c r="C3478" s="13" t="s">
        <v>8483</v>
      </c>
      <c r="D3478" s="782" t="s">
        <v>8473</v>
      </c>
      <c r="E3478" s="22">
        <v>19825</v>
      </c>
      <c r="F3478" s="19"/>
      <c r="G3478" s="14">
        <f t="shared" si="58"/>
        <v>19825</v>
      </c>
      <c r="H3478" s="13"/>
    </row>
    <row r="3479" spans="1:8" hidden="1" x14ac:dyDescent="0.25">
      <c r="A3479" s="116">
        <v>45082</v>
      </c>
      <c r="B3479" s="21" t="s">
        <v>9769</v>
      </c>
      <c r="C3479" s="13" t="s">
        <v>8483</v>
      </c>
      <c r="D3479" s="782" t="s">
        <v>10263</v>
      </c>
      <c r="E3479" s="22">
        <v>106851</v>
      </c>
      <c r="F3479" s="19"/>
      <c r="G3479" s="14">
        <f t="shared" si="58"/>
        <v>106851</v>
      </c>
      <c r="H3479" s="13"/>
    </row>
    <row r="3480" spans="1:8" hidden="1" x14ac:dyDescent="0.25">
      <c r="A3480" s="116">
        <v>45083</v>
      </c>
      <c r="B3480" s="21" t="s">
        <v>9463</v>
      </c>
      <c r="C3480" s="13" t="s">
        <v>7538</v>
      </c>
      <c r="D3480" s="782" t="s">
        <v>10375</v>
      </c>
      <c r="E3480" s="22">
        <v>59395</v>
      </c>
      <c r="F3480" s="19"/>
      <c r="G3480" s="14">
        <f t="shared" si="58"/>
        <v>59395</v>
      </c>
      <c r="H3480" s="13"/>
    </row>
    <row r="3481" spans="1:8" hidden="1" x14ac:dyDescent="0.25">
      <c r="A3481" s="116">
        <v>45083</v>
      </c>
      <c r="B3481" s="21" t="s">
        <v>8752</v>
      </c>
      <c r="C3481" s="13" t="s">
        <v>5731</v>
      </c>
      <c r="D3481" s="782"/>
      <c r="E3481" s="22"/>
      <c r="F3481" s="19">
        <v>200000</v>
      </c>
      <c r="G3481" s="14">
        <f t="shared" si="58"/>
        <v>-200000</v>
      </c>
      <c r="H3481" s="13" t="s">
        <v>1164</v>
      </c>
    </row>
    <row r="3482" spans="1:8" hidden="1" x14ac:dyDescent="0.25">
      <c r="A3482" s="116">
        <v>45083</v>
      </c>
      <c r="B3482" s="21" t="s">
        <v>9877</v>
      </c>
      <c r="C3482" s="13" t="s">
        <v>180</v>
      </c>
      <c r="D3482" s="782"/>
      <c r="E3482" s="22"/>
      <c r="F3482" s="19">
        <v>1800000</v>
      </c>
      <c r="G3482" s="14">
        <f t="shared" si="58"/>
        <v>-1800000</v>
      </c>
      <c r="H3482" s="13" t="s">
        <v>1164</v>
      </c>
    </row>
    <row r="3483" spans="1:8" hidden="1" x14ac:dyDescent="0.25">
      <c r="A3483" s="116">
        <v>45084</v>
      </c>
      <c r="B3483" s="21" t="s">
        <v>10261</v>
      </c>
      <c r="C3483" s="13" t="s">
        <v>8483</v>
      </c>
      <c r="D3483" s="782" t="s">
        <v>10264</v>
      </c>
      <c r="E3483" s="22">
        <v>131823</v>
      </c>
      <c r="F3483" s="19"/>
      <c r="G3483" s="14">
        <f t="shared" si="58"/>
        <v>131823</v>
      </c>
      <c r="H3483" s="56"/>
    </row>
    <row r="3484" spans="1:8" hidden="1" x14ac:dyDescent="0.25">
      <c r="A3484" s="116">
        <v>45084</v>
      </c>
      <c r="B3484" s="21" t="s">
        <v>10077</v>
      </c>
      <c r="C3484" s="13" t="s">
        <v>1816</v>
      </c>
      <c r="D3484" s="782"/>
      <c r="E3484" s="799">
        <v>10679</v>
      </c>
      <c r="F3484" s="113"/>
      <c r="G3484" s="800">
        <f>E3484-F3484</f>
        <v>10679</v>
      </c>
      <c r="H3484" s="351"/>
    </row>
    <row r="3485" spans="1:8" hidden="1" x14ac:dyDescent="0.25">
      <c r="A3485" s="116">
        <v>45085</v>
      </c>
      <c r="B3485" s="21" t="s">
        <v>9769</v>
      </c>
      <c r="C3485" s="13" t="s">
        <v>8483</v>
      </c>
      <c r="D3485" s="782" t="s">
        <v>8474</v>
      </c>
      <c r="E3485" s="22">
        <v>146079</v>
      </c>
      <c r="F3485" s="113"/>
      <c r="G3485" s="14">
        <f t="shared" si="58"/>
        <v>146079</v>
      </c>
      <c r="H3485" s="56"/>
    </row>
    <row r="3486" spans="1:8" hidden="1" x14ac:dyDescent="0.25">
      <c r="A3486" s="116">
        <v>45085</v>
      </c>
      <c r="B3486" s="974" t="s">
        <v>8752</v>
      </c>
      <c r="C3486" s="13" t="s">
        <v>8483</v>
      </c>
      <c r="D3486" s="975" t="s">
        <v>10265</v>
      </c>
      <c r="E3486" s="976">
        <v>201282</v>
      </c>
      <c r="F3486" s="220"/>
      <c r="G3486" s="977">
        <f t="shared" si="58"/>
        <v>201282</v>
      </c>
      <c r="H3486" s="56"/>
    </row>
    <row r="3487" spans="1:8" hidden="1" x14ac:dyDescent="0.25">
      <c r="A3487" s="973">
        <v>45086</v>
      </c>
      <c r="B3487" s="974" t="s">
        <v>8032</v>
      </c>
      <c r="C3487" s="57" t="s">
        <v>7538</v>
      </c>
      <c r="D3487" s="975"/>
      <c r="E3487" s="976"/>
      <c r="F3487" s="801">
        <v>111043</v>
      </c>
      <c r="G3487" s="977">
        <f t="shared" si="58"/>
        <v>-111043</v>
      </c>
      <c r="H3487" s="1169" t="s">
        <v>10237</v>
      </c>
    </row>
    <row r="3488" spans="1:8" hidden="1" x14ac:dyDescent="0.25">
      <c r="A3488" s="116">
        <v>45086</v>
      </c>
      <c r="B3488" s="21" t="s">
        <v>8122</v>
      </c>
      <c r="C3488" s="13" t="s">
        <v>7538</v>
      </c>
      <c r="D3488" s="782"/>
      <c r="E3488" s="799"/>
      <c r="F3488" s="148">
        <v>176124</v>
      </c>
      <c r="G3488" s="800">
        <f t="shared" ref="G3488:G3558" si="61">E3488-F3488</f>
        <v>-176124</v>
      </c>
      <c r="H3488" s="1170"/>
    </row>
    <row r="3489" spans="1:8" hidden="1" x14ac:dyDescent="0.25">
      <c r="A3489" s="116">
        <v>45086</v>
      </c>
      <c r="B3489" s="21" t="s">
        <v>8426</v>
      </c>
      <c r="C3489" s="13" t="s">
        <v>7538</v>
      </c>
      <c r="D3489" s="782"/>
      <c r="E3489" s="799"/>
      <c r="F3489" s="148">
        <v>265939</v>
      </c>
      <c r="G3489" s="800">
        <f t="shared" si="61"/>
        <v>-265939</v>
      </c>
      <c r="H3489" s="1170"/>
    </row>
    <row r="3490" spans="1:8" hidden="1" x14ac:dyDescent="0.25">
      <c r="A3490" s="116">
        <v>45086</v>
      </c>
      <c r="B3490" s="21" t="s">
        <v>8653</v>
      </c>
      <c r="C3490" s="13" t="s">
        <v>7538</v>
      </c>
      <c r="D3490" s="782"/>
      <c r="E3490" s="799"/>
      <c r="F3490" s="148">
        <v>245863</v>
      </c>
      <c r="G3490" s="800">
        <f t="shared" si="61"/>
        <v>-245863</v>
      </c>
      <c r="H3490" s="1170"/>
    </row>
    <row r="3491" spans="1:8" ht="16.5" hidden="1" thickBot="1" x14ac:dyDescent="0.3">
      <c r="A3491" s="116">
        <v>45086</v>
      </c>
      <c r="B3491" s="21" t="s">
        <v>8982</v>
      </c>
      <c r="C3491" s="13" t="s">
        <v>7538</v>
      </c>
      <c r="D3491" s="782"/>
      <c r="E3491" s="799"/>
      <c r="F3491" s="802">
        <v>201031</v>
      </c>
      <c r="G3491" s="800">
        <f t="shared" si="61"/>
        <v>-201031</v>
      </c>
      <c r="H3491" s="1171"/>
    </row>
    <row r="3492" spans="1:8" hidden="1" x14ac:dyDescent="0.25">
      <c r="A3492" s="116">
        <v>45089</v>
      </c>
      <c r="B3492" s="21" t="s">
        <v>8752</v>
      </c>
      <c r="C3492" s="13" t="s">
        <v>8483</v>
      </c>
      <c r="D3492" s="782" t="s">
        <v>10266</v>
      </c>
      <c r="E3492" s="22">
        <v>100747</v>
      </c>
      <c r="F3492" s="115"/>
      <c r="G3492" s="800">
        <f t="shared" si="61"/>
        <v>100747</v>
      </c>
      <c r="H3492" s="13"/>
    </row>
    <row r="3493" spans="1:8" hidden="1" x14ac:dyDescent="0.25">
      <c r="A3493" s="116">
        <v>45089</v>
      </c>
      <c r="B3493" s="21" t="s">
        <v>9877</v>
      </c>
      <c r="C3493" s="13" t="s">
        <v>8483</v>
      </c>
      <c r="D3493" s="782"/>
      <c r="E3493" s="22"/>
      <c r="F3493" s="19">
        <v>1050000</v>
      </c>
      <c r="G3493" s="800">
        <f t="shared" si="61"/>
        <v>-1050000</v>
      </c>
      <c r="H3493" s="1160" t="s">
        <v>10237</v>
      </c>
    </row>
    <row r="3494" spans="1:8" hidden="1" x14ac:dyDescent="0.25">
      <c r="A3494" s="116">
        <v>45089</v>
      </c>
      <c r="B3494" s="21" t="s">
        <v>9769</v>
      </c>
      <c r="C3494" s="13" t="s">
        <v>8483</v>
      </c>
      <c r="D3494" s="782"/>
      <c r="E3494" s="22"/>
      <c r="F3494" s="19">
        <v>100000</v>
      </c>
      <c r="G3494" s="14">
        <f t="shared" si="61"/>
        <v>-100000</v>
      </c>
      <c r="H3494" s="1161"/>
    </row>
    <row r="3495" spans="1:8" hidden="1" x14ac:dyDescent="0.25">
      <c r="A3495" s="116">
        <v>45089</v>
      </c>
      <c r="B3495" s="21" t="s">
        <v>8752</v>
      </c>
      <c r="C3495" s="13" t="s">
        <v>8483</v>
      </c>
      <c r="D3495" s="782"/>
      <c r="E3495" s="22"/>
      <c r="F3495" s="19">
        <v>350000</v>
      </c>
      <c r="G3495" s="14">
        <f t="shared" si="61"/>
        <v>-350000</v>
      </c>
      <c r="H3495" s="1162"/>
    </row>
    <row r="3496" spans="1:8" hidden="1" x14ac:dyDescent="0.25">
      <c r="A3496" s="116">
        <v>45090</v>
      </c>
      <c r="B3496" s="21" t="s">
        <v>10077</v>
      </c>
      <c r="C3496" s="13" t="s">
        <v>169</v>
      </c>
      <c r="D3496" s="782" t="s">
        <v>10302</v>
      </c>
      <c r="E3496" s="22">
        <v>23382</v>
      </c>
      <c r="F3496" s="19"/>
      <c r="G3496" s="14">
        <f t="shared" si="61"/>
        <v>23382</v>
      </c>
      <c r="H3496" s="13"/>
    </row>
    <row r="3497" spans="1:8" hidden="1" x14ac:dyDescent="0.25">
      <c r="A3497" s="116">
        <v>45091</v>
      </c>
      <c r="B3497" s="21" t="s">
        <v>8752</v>
      </c>
      <c r="C3497" s="13" t="s">
        <v>5731</v>
      </c>
      <c r="D3497" s="782"/>
      <c r="E3497" s="22"/>
      <c r="F3497" s="19">
        <v>342000</v>
      </c>
      <c r="G3497" s="14">
        <f t="shared" si="61"/>
        <v>-342000</v>
      </c>
      <c r="H3497" s="13" t="s">
        <v>10287</v>
      </c>
    </row>
    <row r="3498" spans="1:8" hidden="1" x14ac:dyDescent="0.25">
      <c r="A3498" s="116">
        <v>45091</v>
      </c>
      <c r="B3498" s="21" t="s">
        <v>9463</v>
      </c>
      <c r="C3498" s="13" t="s">
        <v>7538</v>
      </c>
      <c r="D3498" s="782" t="s">
        <v>10376</v>
      </c>
      <c r="E3498" s="22">
        <v>94595</v>
      </c>
      <c r="F3498" s="113"/>
      <c r="G3498" s="14">
        <f t="shared" si="61"/>
        <v>94595</v>
      </c>
      <c r="H3498" s="13"/>
    </row>
    <row r="3499" spans="1:8" hidden="1" x14ac:dyDescent="0.25">
      <c r="A3499" s="116">
        <v>45091</v>
      </c>
      <c r="B3499" s="21" t="s">
        <v>10077</v>
      </c>
      <c r="C3499" s="13" t="s">
        <v>1816</v>
      </c>
      <c r="D3499" s="782"/>
      <c r="E3499" s="799">
        <v>1177</v>
      </c>
      <c r="F3499" s="113"/>
      <c r="G3499" s="800">
        <f>E3499-F3499</f>
        <v>1177</v>
      </c>
      <c r="H3499" s="351"/>
    </row>
    <row r="3500" spans="1:8" hidden="1" x14ac:dyDescent="0.25">
      <c r="A3500" s="116">
        <v>45092</v>
      </c>
      <c r="B3500" s="21" t="s">
        <v>8752</v>
      </c>
      <c r="C3500" s="13" t="s">
        <v>8483</v>
      </c>
      <c r="D3500" s="782" t="s">
        <v>10367</v>
      </c>
      <c r="E3500" s="22">
        <v>72442</v>
      </c>
      <c r="F3500" s="113"/>
      <c r="G3500" s="14">
        <f t="shared" si="61"/>
        <v>72442</v>
      </c>
      <c r="H3500" s="13"/>
    </row>
    <row r="3501" spans="1:8" hidden="1" x14ac:dyDescent="0.25">
      <c r="A3501" s="116">
        <v>45092</v>
      </c>
      <c r="B3501" s="21" t="s">
        <v>10261</v>
      </c>
      <c r="C3501" s="13" t="s">
        <v>8483</v>
      </c>
      <c r="D3501" s="782" t="s">
        <v>10368</v>
      </c>
      <c r="E3501" s="22">
        <v>10332</v>
      </c>
      <c r="F3501" s="113"/>
      <c r="G3501" s="14">
        <f t="shared" si="61"/>
        <v>10332</v>
      </c>
      <c r="H3501" s="13"/>
    </row>
    <row r="3502" spans="1:8" x14ac:dyDescent="0.25">
      <c r="A3502" s="116">
        <v>45092</v>
      </c>
      <c r="B3502" s="21" t="s">
        <v>10077</v>
      </c>
      <c r="C3502" s="13" t="s">
        <v>168</v>
      </c>
      <c r="D3502" s="782" t="s">
        <v>10372</v>
      </c>
      <c r="E3502" s="22">
        <v>82924</v>
      </c>
      <c r="F3502" s="113"/>
      <c r="G3502" s="14">
        <f t="shared" si="61"/>
        <v>82924</v>
      </c>
      <c r="H3502" s="13"/>
    </row>
    <row r="3503" spans="1:8" hidden="1" x14ac:dyDescent="0.25">
      <c r="A3503" s="116">
        <v>45093</v>
      </c>
      <c r="B3503" s="21" t="s">
        <v>9463</v>
      </c>
      <c r="C3503" s="13" t="s">
        <v>7538</v>
      </c>
      <c r="D3503" s="782" t="s">
        <v>10377</v>
      </c>
      <c r="E3503" s="22">
        <v>118790</v>
      </c>
      <c r="F3503" s="113"/>
      <c r="G3503" s="14">
        <f t="shared" si="61"/>
        <v>118790</v>
      </c>
      <c r="H3503" s="13"/>
    </row>
    <row r="3504" spans="1:8" hidden="1" x14ac:dyDescent="0.25">
      <c r="A3504" s="116">
        <v>45094</v>
      </c>
      <c r="B3504" s="21" t="s">
        <v>10077</v>
      </c>
      <c r="C3504" s="13" t="s">
        <v>164</v>
      </c>
      <c r="D3504" s="782" t="s">
        <v>10341</v>
      </c>
      <c r="E3504" s="22">
        <v>3287</v>
      </c>
      <c r="F3504" s="113"/>
      <c r="G3504" s="14">
        <f t="shared" si="61"/>
        <v>3287</v>
      </c>
      <c r="H3504" s="13"/>
    </row>
    <row r="3505" spans="1:8" hidden="1" x14ac:dyDescent="0.25">
      <c r="A3505" s="116">
        <v>45094</v>
      </c>
      <c r="B3505" s="21" t="s">
        <v>9516</v>
      </c>
      <c r="C3505" s="13" t="s">
        <v>180</v>
      </c>
      <c r="D3505" s="782"/>
      <c r="E3505" s="799"/>
      <c r="F3505" s="801">
        <v>670000</v>
      </c>
      <c r="G3505" s="800">
        <f t="shared" si="61"/>
        <v>-670000</v>
      </c>
      <c r="H3505" s="1132" t="s">
        <v>10343</v>
      </c>
    </row>
    <row r="3506" spans="1:8" hidden="1" x14ac:dyDescent="0.25">
      <c r="A3506" s="116">
        <v>45094</v>
      </c>
      <c r="B3506" s="21" t="s">
        <v>9877</v>
      </c>
      <c r="C3506" s="13" t="s">
        <v>180</v>
      </c>
      <c r="D3506" s="782"/>
      <c r="E3506" s="799"/>
      <c r="F3506" s="148">
        <v>49080</v>
      </c>
      <c r="G3506" s="800">
        <f t="shared" si="61"/>
        <v>-49080</v>
      </c>
      <c r="H3506" s="1172"/>
    </row>
    <row r="3507" spans="1:8" hidden="1" x14ac:dyDescent="0.25">
      <c r="A3507" s="116">
        <v>45094</v>
      </c>
      <c r="B3507" s="21" t="s">
        <v>10406</v>
      </c>
      <c r="C3507" s="13" t="s">
        <v>180</v>
      </c>
      <c r="D3507" s="782"/>
      <c r="E3507" s="799"/>
      <c r="F3507" s="153">
        <v>151960</v>
      </c>
      <c r="G3507" s="800">
        <f t="shared" si="61"/>
        <v>-151960</v>
      </c>
      <c r="H3507" s="1172"/>
    </row>
    <row r="3508" spans="1:8" ht="16.5" hidden="1" thickBot="1" x14ac:dyDescent="0.3">
      <c r="A3508" s="116">
        <v>45094</v>
      </c>
      <c r="B3508" s="21" t="s">
        <v>10342</v>
      </c>
      <c r="C3508" s="13" t="s">
        <v>180</v>
      </c>
      <c r="D3508" s="782"/>
      <c r="E3508" s="799"/>
      <c r="F3508" s="802">
        <f>875000-F3507-F3506-F3505</f>
        <v>3960</v>
      </c>
      <c r="G3508" s="800">
        <f t="shared" si="61"/>
        <v>-3960</v>
      </c>
      <c r="H3508" s="1133"/>
    </row>
    <row r="3509" spans="1:8" hidden="1" x14ac:dyDescent="0.25">
      <c r="A3509" s="116">
        <v>45094</v>
      </c>
      <c r="B3509" s="21" t="s">
        <v>10096</v>
      </c>
      <c r="C3509" s="13" t="s">
        <v>169</v>
      </c>
      <c r="D3509" s="782" t="s">
        <v>10359</v>
      </c>
      <c r="E3509" s="799">
        <v>95762</v>
      </c>
      <c r="F3509" s="220"/>
      <c r="G3509" s="800">
        <f t="shared" si="61"/>
        <v>95762</v>
      </c>
      <c r="H3509" s="351"/>
    </row>
    <row r="3510" spans="1:8" hidden="1" x14ac:dyDescent="0.25">
      <c r="A3510" s="116">
        <v>45094</v>
      </c>
      <c r="B3510" s="21" t="s">
        <v>10096</v>
      </c>
      <c r="C3510" s="13" t="s">
        <v>164</v>
      </c>
      <c r="D3510" s="782" t="s">
        <v>10793</v>
      </c>
      <c r="E3510" s="22">
        <v>5855</v>
      </c>
      <c r="F3510" s="19"/>
      <c r="G3510" s="14">
        <f>E3510-F3510</f>
        <v>5855</v>
      </c>
      <c r="H3510" s="13"/>
    </row>
    <row r="3511" spans="1:8" hidden="1" x14ac:dyDescent="0.25">
      <c r="A3511" s="116">
        <v>45094</v>
      </c>
      <c r="B3511" s="21" t="s">
        <v>9463</v>
      </c>
      <c r="C3511" s="13" t="s">
        <v>8483</v>
      </c>
      <c r="D3511" s="782" t="s">
        <v>10369</v>
      </c>
      <c r="E3511" s="799">
        <v>194536</v>
      </c>
      <c r="F3511" s="113"/>
      <c r="G3511" s="800">
        <f t="shared" si="61"/>
        <v>194536</v>
      </c>
      <c r="H3511" s="351"/>
    </row>
    <row r="3512" spans="1:8" hidden="1" x14ac:dyDescent="0.25">
      <c r="A3512" s="116">
        <v>45096</v>
      </c>
      <c r="B3512" s="21" t="s">
        <v>8752</v>
      </c>
      <c r="C3512" s="13" t="s">
        <v>8483</v>
      </c>
      <c r="D3512" s="782" t="s">
        <v>10370</v>
      </c>
      <c r="E3512" s="799">
        <v>23532</v>
      </c>
      <c r="F3512" s="113"/>
      <c r="G3512" s="800">
        <f t="shared" si="61"/>
        <v>23532</v>
      </c>
      <c r="H3512" s="351"/>
    </row>
    <row r="3513" spans="1:8" hidden="1" x14ac:dyDescent="0.25">
      <c r="A3513" s="116">
        <v>45096</v>
      </c>
      <c r="B3513" s="21" t="s">
        <v>10077</v>
      </c>
      <c r="C3513" s="13" t="s">
        <v>164</v>
      </c>
      <c r="D3513" s="782" t="s">
        <v>10340</v>
      </c>
      <c r="E3513" s="22">
        <v>1786</v>
      </c>
      <c r="F3513" s="113"/>
      <c r="G3513" s="14">
        <f t="shared" si="61"/>
        <v>1786</v>
      </c>
      <c r="H3513" s="13"/>
    </row>
    <row r="3514" spans="1:8" x14ac:dyDescent="0.25">
      <c r="A3514" s="116">
        <v>45096</v>
      </c>
      <c r="B3514" s="21" t="s">
        <v>9940</v>
      </c>
      <c r="C3514" s="13" t="s">
        <v>12083</v>
      </c>
      <c r="D3514" s="782" t="s">
        <v>10373</v>
      </c>
      <c r="E3514" s="22"/>
      <c r="F3514" s="113"/>
      <c r="G3514" s="14">
        <f t="shared" si="61"/>
        <v>0</v>
      </c>
      <c r="H3514" s="13"/>
    </row>
    <row r="3515" spans="1:8" x14ac:dyDescent="0.25">
      <c r="A3515" s="116">
        <v>45096</v>
      </c>
      <c r="B3515" s="21" t="s">
        <v>10096</v>
      </c>
      <c r="C3515" s="13" t="s">
        <v>168</v>
      </c>
      <c r="D3515" s="782" t="s">
        <v>10374</v>
      </c>
      <c r="E3515" s="22">
        <v>399840</v>
      </c>
      <c r="F3515" s="113"/>
      <c r="G3515" s="14">
        <f t="shared" si="61"/>
        <v>399840</v>
      </c>
      <c r="H3515" s="13"/>
    </row>
    <row r="3516" spans="1:8" hidden="1" x14ac:dyDescent="0.25">
      <c r="A3516" s="116">
        <v>45096</v>
      </c>
      <c r="B3516" s="21" t="s">
        <v>10096</v>
      </c>
      <c r="C3516" s="13" t="s">
        <v>169</v>
      </c>
      <c r="D3516" s="782" t="s">
        <v>10360</v>
      </c>
      <c r="E3516" s="22">
        <v>5187</v>
      </c>
      <c r="F3516" s="113"/>
      <c r="G3516" s="14">
        <f t="shared" si="61"/>
        <v>5187</v>
      </c>
      <c r="H3516" s="13"/>
    </row>
    <row r="3517" spans="1:8" hidden="1" x14ac:dyDescent="0.25">
      <c r="A3517" s="116">
        <v>45096</v>
      </c>
      <c r="B3517" s="21" t="s">
        <v>10077</v>
      </c>
      <c r="C3517" s="13" t="s">
        <v>169</v>
      </c>
      <c r="D3517" s="782" t="s">
        <v>10361</v>
      </c>
      <c r="E3517" s="22">
        <v>23382</v>
      </c>
      <c r="F3517" s="115"/>
      <c r="G3517" s="14">
        <f t="shared" si="61"/>
        <v>23382</v>
      </c>
      <c r="H3517" s="13"/>
    </row>
    <row r="3518" spans="1:8" hidden="1" x14ac:dyDescent="0.25">
      <c r="A3518" s="116">
        <v>45096</v>
      </c>
      <c r="B3518" s="21" t="s">
        <v>9463</v>
      </c>
      <c r="C3518" s="13" t="s">
        <v>169</v>
      </c>
      <c r="D3518" s="782" t="s">
        <v>10362</v>
      </c>
      <c r="E3518" s="22">
        <v>616374</v>
      </c>
      <c r="F3518" s="114"/>
      <c r="G3518" s="14">
        <f t="shared" si="61"/>
        <v>616374</v>
      </c>
      <c r="H3518" s="13"/>
    </row>
    <row r="3519" spans="1:8" x14ac:dyDescent="0.25">
      <c r="A3519" s="116">
        <v>45096</v>
      </c>
      <c r="B3519" s="21" t="s">
        <v>9940</v>
      </c>
      <c r="C3519" s="13" t="s">
        <v>12083</v>
      </c>
      <c r="D3519" s="782" t="s">
        <v>10373</v>
      </c>
      <c r="E3519" s="799">
        <v>1523704</v>
      </c>
      <c r="F3519" s="220"/>
      <c r="G3519" s="800">
        <f t="shared" si="61"/>
        <v>1523704</v>
      </c>
      <c r="H3519" s="56"/>
    </row>
    <row r="3520" spans="1:8" hidden="1" x14ac:dyDescent="0.25">
      <c r="A3520" s="116">
        <v>45096</v>
      </c>
      <c r="B3520" s="21" t="s">
        <v>9463</v>
      </c>
      <c r="C3520" s="13" t="s">
        <v>169</v>
      </c>
      <c r="D3520" s="782"/>
      <c r="E3520" s="799"/>
      <c r="F3520" s="801">
        <v>55562</v>
      </c>
      <c r="G3520" s="800">
        <f t="shared" si="61"/>
        <v>-55562</v>
      </c>
      <c r="H3520" s="1132" t="s">
        <v>10366</v>
      </c>
    </row>
    <row r="3521" spans="1:8" hidden="1" x14ac:dyDescent="0.25">
      <c r="A3521" s="116">
        <v>45096</v>
      </c>
      <c r="B3521" s="21" t="s">
        <v>10077</v>
      </c>
      <c r="C3521" s="13" t="s">
        <v>169</v>
      </c>
      <c r="D3521" s="782"/>
      <c r="E3521" s="799"/>
      <c r="F3521" s="158">
        <v>23382</v>
      </c>
      <c r="G3521" s="800">
        <f t="shared" si="61"/>
        <v>-23382</v>
      </c>
      <c r="H3521" s="1172"/>
    </row>
    <row r="3522" spans="1:8" ht="16.5" hidden="1" thickBot="1" x14ac:dyDescent="0.3">
      <c r="A3522" s="116">
        <v>45096</v>
      </c>
      <c r="B3522" s="21" t="s">
        <v>10096</v>
      </c>
      <c r="C3522" s="13" t="s">
        <v>169</v>
      </c>
      <c r="D3522" s="782"/>
      <c r="E3522" s="799"/>
      <c r="F3522" s="304">
        <v>102854</v>
      </c>
      <c r="G3522" s="800">
        <f t="shared" si="61"/>
        <v>-102854</v>
      </c>
      <c r="H3522" s="1133"/>
    </row>
    <row r="3523" spans="1:8" ht="16.5" hidden="1" thickBot="1" x14ac:dyDescent="0.3">
      <c r="A3523" s="116">
        <v>45097</v>
      </c>
      <c r="B3523" s="21" t="s">
        <v>9463</v>
      </c>
      <c r="C3523" s="13" t="s">
        <v>169</v>
      </c>
      <c r="D3523" s="782"/>
      <c r="E3523" s="799"/>
      <c r="F3523" s="309">
        <v>250000</v>
      </c>
      <c r="G3523" s="800">
        <f t="shared" si="61"/>
        <v>-250000</v>
      </c>
      <c r="H3523" s="13" t="s">
        <v>10329</v>
      </c>
    </row>
    <row r="3524" spans="1:8" ht="16.5" hidden="1" thickBot="1" x14ac:dyDescent="0.3">
      <c r="A3524" s="116">
        <v>45097</v>
      </c>
      <c r="B3524" s="21" t="s">
        <v>9463</v>
      </c>
      <c r="C3524" s="13" t="s">
        <v>169</v>
      </c>
      <c r="D3524" s="782"/>
      <c r="E3524" s="799"/>
      <c r="F3524" s="309">
        <v>250000</v>
      </c>
      <c r="G3524" s="800">
        <f t="shared" si="61"/>
        <v>-250000</v>
      </c>
      <c r="H3524" s="13" t="s">
        <v>10329</v>
      </c>
    </row>
    <row r="3525" spans="1:8" hidden="1" x14ac:dyDescent="0.25">
      <c r="A3525" s="116">
        <v>45096</v>
      </c>
      <c r="B3525" s="21" t="s">
        <v>1407</v>
      </c>
      <c r="C3525" s="13" t="s">
        <v>164</v>
      </c>
      <c r="D3525" s="782"/>
      <c r="E3525" s="22"/>
      <c r="F3525" s="115">
        <v>7264</v>
      </c>
      <c r="G3525" s="14">
        <f t="shared" si="61"/>
        <v>-7264</v>
      </c>
      <c r="H3525" s="1146" t="s">
        <v>10345</v>
      </c>
    </row>
    <row r="3526" spans="1:8" hidden="1" x14ac:dyDescent="0.25">
      <c r="A3526" s="116">
        <v>45096</v>
      </c>
      <c r="B3526" s="21" t="s">
        <v>6562</v>
      </c>
      <c r="C3526" s="13" t="s">
        <v>164</v>
      </c>
      <c r="D3526" s="782"/>
      <c r="E3526" s="22"/>
      <c r="F3526" s="19">
        <v>1320</v>
      </c>
      <c r="G3526" s="14">
        <f t="shared" si="61"/>
        <v>-1320</v>
      </c>
      <c r="H3526" s="1147"/>
    </row>
    <row r="3527" spans="1:8" hidden="1" x14ac:dyDescent="0.25">
      <c r="A3527" s="116">
        <v>45096</v>
      </c>
      <c r="B3527" s="21" t="s">
        <v>8974</v>
      </c>
      <c r="C3527" s="13" t="s">
        <v>164</v>
      </c>
      <c r="D3527" s="782"/>
      <c r="E3527" s="22"/>
      <c r="F3527" s="19">
        <v>2773</v>
      </c>
      <c r="G3527" s="14">
        <f t="shared" si="61"/>
        <v>-2773</v>
      </c>
      <c r="H3527" s="1147"/>
    </row>
    <row r="3528" spans="1:8" hidden="1" x14ac:dyDescent="0.25">
      <c r="A3528" s="116">
        <v>45096</v>
      </c>
      <c r="B3528" s="21" t="s">
        <v>9463</v>
      </c>
      <c r="C3528" s="13" t="s">
        <v>164</v>
      </c>
      <c r="D3528" s="782"/>
      <c r="E3528" s="22"/>
      <c r="F3528" s="19">
        <v>12911</v>
      </c>
      <c r="G3528" s="14">
        <f t="shared" si="61"/>
        <v>-12911</v>
      </c>
      <c r="H3528" s="1147"/>
    </row>
    <row r="3529" spans="1:8" hidden="1" x14ac:dyDescent="0.25">
      <c r="A3529" s="116">
        <v>45096</v>
      </c>
      <c r="B3529" s="21" t="s">
        <v>9615</v>
      </c>
      <c r="C3529" s="13" t="s">
        <v>164</v>
      </c>
      <c r="D3529" s="782"/>
      <c r="E3529" s="22"/>
      <c r="F3529" s="19">
        <v>3303</v>
      </c>
      <c r="G3529" s="14">
        <f t="shared" si="61"/>
        <v>-3303</v>
      </c>
      <c r="H3529" s="1147"/>
    </row>
    <row r="3530" spans="1:8" hidden="1" x14ac:dyDescent="0.25">
      <c r="A3530" s="116">
        <v>45096</v>
      </c>
      <c r="B3530" s="21" t="s">
        <v>11025</v>
      </c>
      <c r="C3530" s="13" t="s">
        <v>164</v>
      </c>
      <c r="D3530" s="782"/>
      <c r="E3530" s="22"/>
      <c r="F3530" s="19">
        <v>64935</v>
      </c>
      <c r="G3530" s="14">
        <f t="shared" si="61"/>
        <v>-64935</v>
      </c>
      <c r="H3530" s="1147"/>
    </row>
    <row r="3531" spans="1:8" hidden="1" x14ac:dyDescent="0.25">
      <c r="A3531" s="116">
        <v>45096</v>
      </c>
      <c r="B3531" s="21" t="s">
        <v>10077</v>
      </c>
      <c r="C3531" s="13" t="s">
        <v>164</v>
      </c>
      <c r="D3531" s="782"/>
      <c r="E3531" s="22"/>
      <c r="F3531" s="19">
        <v>5073</v>
      </c>
      <c r="G3531" s="14">
        <f t="shared" si="61"/>
        <v>-5073</v>
      </c>
      <c r="H3531" s="1147"/>
    </row>
    <row r="3532" spans="1:8" hidden="1" x14ac:dyDescent="0.25">
      <c r="A3532" s="116">
        <v>45096</v>
      </c>
      <c r="B3532" s="21" t="s">
        <v>10096</v>
      </c>
      <c r="C3532" s="13" t="s">
        <v>164</v>
      </c>
      <c r="D3532" s="782"/>
      <c r="E3532" s="22"/>
      <c r="F3532" s="113">
        <f>100000-F3531-F3530-3485-F3528-F3527-F3526-F3525</f>
        <v>2239</v>
      </c>
      <c r="G3532" s="14">
        <f t="shared" si="61"/>
        <v>-2239</v>
      </c>
      <c r="H3532" s="1148"/>
    </row>
    <row r="3533" spans="1:8" x14ac:dyDescent="0.25">
      <c r="A3533" s="116">
        <v>45097</v>
      </c>
      <c r="B3533" s="21" t="s">
        <v>10077</v>
      </c>
      <c r="C3533" s="13" t="s">
        <v>168</v>
      </c>
      <c r="D3533" s="782" t="s">
        <v>10536</v>
      </c>
      <c r="E3533" s="799">
        <v>48749</v>
      </c>
      <c r="F3533" s="220"/>
      <c r="G3533" s="14">
        <f t="shared" si="61"/>
        <v>48749</v>
      </c>
      <c r="H3533" s="351" t="s">
        <v>10537</v>
      </c>
    </row>
    <row r="3534" spans="1:8" hidden="1" x14ac:dyDescent="0.25">
      <c r="A3534" s="116">
        <v>45097</v>
      </c>
      <c r="B3534" s="21" t="s">
        <v>9877</v>
      </c>
      <c r="C3534" s="13" t="s">
        <v>166</v>
      </c>
      <c r="D3534" s="782" t="s">
        <v>10580</v>
      </c>
      <c r="E3534" s="799">
        <v>22000</v>
      </c>
      <c r="F3534" s="220"/>
      <c r="G3534" s="14">
        <f t="shared" ref="G3534" si="62">E3534-F3534</f>
        <v>22000</v>
      </c>
      <c r="H3534" s="351" t="s">
        <v>10581</v>
      </c>
    </row>
    <row r="3535" spans="1:8" ht="16.5" thickBot="1" x14ac:dyDescent="0.3">
      <c r="A3535" s="116">
        <v>45099</v>
      </c>
      <c r="B3535" s="21" t="s">
        <v>8974</v>
      </c>
      <c r="C3535" s="13" t="s">
        <v>168</v>
      </c>
      <c r="D3535" s="782" t="s">
        <v>10538</v>
      </c>
      <c r="E3535" s="799">
        <v>214220</v>
      </c>
      <c r="F3535" s="220"/>
      <c r="G3535" s="14">
        <f t="shared" si="61"/>
        <v>214220</v>
      </c>
      <c r="H3535" s="351" t="s">
        <v>10539</v>
      </c>
    </row>
    <row r="3536" spans="1:8" x14ac:dyDescent="0.25">
      <c r="A3536" s="116">
        <v>45099</v>
      </c>
      <c r="B3536" s="21" t="s">
        <v>7132</v>
      </c>
      <c r="C3536" s="13" t="s">
        <v>168</v>
      </c>
      <c r="D3536" s="782"/>
      <c r="E3536" s="799"/>
      <c r="F3536" s="801">
        <v>348919</v>
      </c>
      <c r="G3536" s="800">
        <f t="shared" si="61"/>
        <v>-348919</v>
      </c>
      <c r="H3536" s="13" t="s">
        <v>5019</v>
      </c>
    </row>
    <row r="3537" spans="1:8" x14ac:dyDescent="0.25">
      <c r="A3537" s="116">
        <v>45099</v>
      </c>
      <c r="B3537" s="21" t="s">
        <v>8122</v>
      </c>
      <c r="C3537" s="13" t="s">
        <v>168</v>
      </c>
      <c r="D3537" s="782"/>
      <c r="E3537" s="799"/>
      <c r="F3537" s="148">
        <v>122400</v>
      </c>
      <c r="G3537" s="800">
        <f t="shared" si="61"/>
        <v>-122400</v>
      </c>
      <c r="H3537" s="13" t="s">
        <v>5019</v>
      </c>
    </row>
    <row r="3538" spans="1:8" x14ac:dyDescent="0.25">
      <c r="A3538" s="116">
        <v>45099</v>
      </c>
      <c r="B3538" s="21" t="s">
        <v>8156</v>
      </c>
      <c r="C3538" s="13" t="s">
        <v>168</v>
      </c>
      <c r="D3538" s="782"/>
      <c r="E3538" s="799"/>
      <c r="F3538" s="148">
        <v>51550</v>
      </c>
      <c r="G3538" s="800">
        <f t="shared" si="61"/>
        <v>-51550</v>
      </c>
      <c r="H3538" s="13" t="s">
        <v>5019</v>
      </c>
    </row>
    <row r="3539" spans="1:8" ht="16.5" thickBot="1" x14ac:dyDescent="0.3">
      <c r="A3539" s="116">
        <v>45099</v>
      </c>
      <c r="B3539" s="21" t="s">
        <v>8426</v>
      </c>
      <c r="C3539" s="13" t="s">
        <v>168</v>
      </c>
      <c r="D3539" s="782"/>
      <c r="E3539" s="799"/>
      <c r="F3539" s="802">
        <v>57186</v>
      </c>
      <c r="G3539" s="800">
        <f t="shared" si="61"/>
        <v>-57186</v>
      </c>
      <c r="H3539" s="13" t="s">
        <v>5019</v>
      </c>
    </row>
    <row r="3540" spans="1:8" hidden="1" x14ac:dyDescent="0.25">
      <c r="A3540" s="116">
        <v>45099</v>
      </c>
      <c r="B3540" s="21" t="s">
        <v>9769</v>
      </c>
      <c r="C3540" s="13" t="s">
        <v>8483</v>
      </c>
      <c r="D3540" s="782"/>
      <c r="E3540" s="799"/>
      <c r="F3540" s="220">
        <v>500000</v>
      </c>
      <c r="G3540" s="800">
        <f t="shared" si="61"/>
        <v>-500000</v>
      </c>
      <c r="H3540" s="1150" t="s">
        <v>10237</v>
      </c>
    </row>
    <row r="3541" spans="1:8" hidden="1" x14ac:dyDescent="0.25">
      <c r="A3541" s="116">
        <v>45099</v>
      </c>
      <c r="B3541" s="21" t="s">
        <v>9877</v>
      </c>
      <c r="C3541" s="13" t="s">
        <v>8483</v>
      </c>
      <c r="D3541" s="782"/>
      <c r="E3541" s="799"/>
      <c r="F3541" s="220">
        <v>500000</v>
      </c>
      <c r="G3541" s="800">
        <f t="shared" si="61"/>
        <v>-500000</v>
      </c>
      <c r="H3541" s="1151"/>
    </row>
    <row r="3542" spans="1:8" hidden="1" x14ac:dyDescent="0.25">
      <c r="A3542" s="116">
        <v>45101</v>
      </c>
      <c r="B3542" s="21" t="s">
        <v>8752</v>
      </c>
      <c r="C3542" s="13" t="s">
        <v>5731</v>
      </c>
      <c r="D3542" s="782"/>
      <c r="E3542" s="22"/>
      <c r="F3542" s="115">
        <v>200000</v>
      </c>
      <c r="G3542" s="14">
        <f t="shared" si="61"/>
        <v>-200000</v>
      </c>
      <c r="H3542" s="13" t="s">
        <v>10398</v>
      </c>
    </row>
    <row r="3543" spans="1:8" x14ac:dyDescent="0.25">
      <c r="A3543" s="116">
        <v>45101</v>
      </c>
      <c r="B3543" s="21" t="s">
        <v>8974</v>
      </c>
      <c r="C3543" s="13" t="s">
        <v>168</v>
      </c>
      <c r="D3543" s="782" t="s">
        <v>10540</v>
      </c>
      <c r="E3543" s="22">
        <v>13500</v>
      </c>
      <c r="F3543" s="115"/>
      <c r="G3543" s="14">
        <f t="shared" si="61"/>
        <v>13500</v>
      </c>
      <c r="H3543" s="56" t="s">
        <v>10541</v>
      </c>
    </row>
    <row r="3544" spans="1:8" hidden="1" x14ac:dyDescent="0.25">
      <c r="A3544" s="116">
        <v>45103</v>
      </c>
      <c r="B3544" s="21" t="s">
        <v>10406</v>
      </c>
      <c r="C3544" s="13" t="s">
        <v>180</v>
      </c>
      <c r="D3544" s="782" t="s">
        <v>10586</v>
      </c>
      <c r="E3544" s="22">
        <v>151960</v>
      </c>
      <c r="F3544" s="115"/>
      <c r="G3544" s="14">
        <f t="shared" si="61"/>
        <v>151960</v>
      </c>
      <c r="H3544" s="56" t="s">
        <v>10587</v>
      </c>
    </row>
    <row r="3545" spans="1:8" hidden="1" x14ac:dyDescent="0.25">
      <c r="A3545" s="116">
        <v>45103</v>
      </c>
      <c r="B3545" s="21" t="s">
        <v>10077</v>
      </c>
      <c r="C3545" s="13" t="s">
        <v>1816</v>
      </c>
      <c r="D3545" s="782"/>
      <c r="E3545" s="22"/>
      <c r="F3545" s="115">
        <v>65000</v>
      </c>
      <c r="G3545" s="14">
        <f t="shared" si="61"/>
        <v>-65000</v>
      </c>
      <c r="H3545" s="56" t="s">
        <v>10329</v>
      </c>
    </row>
    <row r="3546" spans="1:8" ht="15.75" hidden="1" customHeight="1" x14ac:dyDescent="0.25">
      <c r="A3546" s="116">
        <v>45104</v>
      </c>
      <c r="B3546" s="21" t="s">
        <v>8982</v>
      </c>
      <c r="C3546" s="13" t="s">
        <v>7309</v>
      </c>
      <c r="D3546" s="782"/>
      <c r="E3546" s="22"/>
      <c r="F3546" s="19">
        <v>169188</v>
      </c>
      <c r="G3546" s="14">
        <f t="shared" si="61"/>
        <v>-169188</v>
      </c>
      <c r="H3546" s="1137" t="s">
        <v>10509</v>
      </c>
    </row>
    <row r="3547" spans="1:8" ht="15.75" hidden="1" customHeight="1" x14ac:dyDescent="0.25">
      <c r="A3547" s="116">
        <v>45104</v>
      </c>
      <c r="B3547" s="21" t="s">
        <v>9516</v>
      </c>
      <c r="C3547" s="13" t="s">
        <v>7309</v>
      </c>
      <c r="D3547" s="782"/>
      <c r="E3547" s="22"/>
      <c r="F3547" s="19">
        <v>116894</v>
      </c>
      <c r="G3547" s="14">
        <f t="shared" si="61"/>
        <v>-116894</v>
      </c>
      <c r="H3547" s="1138"/>
    </row>
    <row r="3548" spans="1:8" hidden="1" x14ac:dyDescent="0.25">
      <c r="A3548" s="116">
        <v>45104</v>
      </c>
      <c r="B3548" s="21"/>
      <c r="C3548" s="13" t="s">
        <v>7309</v>
      </c>
      <c r="D3548" s="782"/>
      <c r="E3548" s="22"/>
      <c r="F3548" s="19">
        <v>13918</v>
      </c>
      <c r="G3548" s="14">
        <f t="shared" si="61"/>
        <v>-13918</v>
      </c>
      <c r="H3548" s="1139"/>
    </row>
    <row r="3549" spans="1:8" hidden="1" x14ac:dyDescent="0.25">
      <c r="A3549" s="116">
        <v>45098</v>
      </c>
      <c r="B3549" s="21" t="s">
        <v>10261</v>
      </c>
      <c r="C3549" s="13" t="s">
        <v>8483</v>
      </c>
      <c r="D3549" s="782" t="s">
        <v>10431</v>
      </c>
      <c r="E3549" s="22">
        <v>461789</v>
      </c>
      <c r="F3549" s="19"/>
      <c r="G3549" s="14">
        <f t="shared" si="61"/>
        <v>461789</v>
      </c>
      <c r="H3549" s="13"/>
    </row>
    <row r="3550" spans="1:8" hidden="1" x14ac:dyDescent="0.25">
      <c r="A3550" s="116">
        <v>45099</v>
      </c>
      <c r="B3550" s="21" t="s">
        <v>10261</v>
      </c>
      <c r="C3550" s="13" t="s">
        <v>7538</v>
      </c>
      <c r="D3550" s="782" t="s">
        <v>10553</v>
      </c>
      <c r="E3550" s="22">
        <v>149260</v>
      </c>
      <c r="F3550" s="19"/>
      <c r="G3550" s="14">
        <f t="shared" si="61"/>
        <v>149260</v>
      </c>
      <c r="H3550" s="13" t="s">
        <v>10554</v>
      </c>
    </row>
    <row r="3551" spans="1:8" hidden="1" x14ac:dyDescent="0.25">
      <c r="A3551" s="116">
        <v>45100</v>
      </c>
      <c r="B3551" s="21" t="s">
        <v>8974</v>
      </c>
      <c r="C3551" s="13" t="s">
        <v>8483</v>
      </c>
      <c r="D3551" s="782" t="s">
        <v>10432</v>
      </c>
      <c r="E3551" s="22">
        <v>243048</v>
      </c>
      <c r="F3551" s="19"/>
      <c r="G3551" s="14">
        <f t="shared" si="61"/>
        <v>243048</v>
      </c>
      <c r="H3551" s="13"/>
    </row>
    <row r="3552" spans="1:8" hidden="1" x14ac:dyDescent="0.25">
      <c r="A3552" s="116">
        <v>45100</v>
      </c>
      <c r="B3552" s="21" t="s">
        <v>9877</v>
      </c>
      <c r="C3552" s="13" t="s">
        <v>8483</v>
      </c>
      <c r="D3552" s="782" t="s">
        <v>10433</v>
      </c>
      <c r="E3552" s="22">
        <v>113981</v>
      </c>
      <c r="F3552" s="19"/>
      <c r="G3552" s="14">
        <f t="shared" si="61"/>
        <v>113981</v>
      </c>
      <c r="H3552" s="13"/>
    </row>
    <row r="3553" spans="1:8" hidden="1" x14ac:dyDescent="0.25">
      <c r="A3553" s="116">
        <v>45111</v>
      </c>
      <c r="B3553" s="21" t="s">
        <v>10582</v>
      </c>
      <c r="C3553" s="13" t="s">
        <v>166</v>
      </c>
      <c r="D3553" s="782" t="s">
        <v>10583</v>
      </c>
      <c r="E3553" s="799">
        <v>13260</v>
      </c>
      <c r="F3553" s="220"/>
      <c r="G3553" s="14">
        <f t="shared" si="61"/>
        <v>13260</v>
      </c>
      <c r="H3553" s="351" t="s">
        <v>9386</v>
      </c>
    </row>
    <row r="3554" spans="1:8" hidden="1" x14ac:dyDescent="0.25">
      <c r="A3554" s="116">
        <v>45112</v>
      </c>
      <c r="B3554" s="21" t="s">
        <v>8752</v>
      </c>
      <c r="C3554" s="13" t="s">
        <v>8483</v>
      </c>
      <c r="D3554" s="782"/>
      <c r="E3554" s="22"/>
      <c r="F3554" s="19">
        <v>100000</v>
      </c>
      <c r="G3554" s="14">
        <f t="shared" si="61"/>
        <v>-100000</v>
      </c>
      <c r="H3554" s="1134" t="s">
        <v>10436</v>
      </c>
    </row>
    <row r="3555" spans="1:8" hidden="1" x14ac:dyDescent="0.25">
      <c r="A3555" s="116">
        <v>45112</v>
      </c>
      <c r="B3555" s="21" t="s">
        <v>8974</v>
      </c>
      <c r="C3555" s="13" t="s">
        <v>8483</v>
      </c>
      <c r="D3555" s="782"/>
      <c r="E3555" s="22"/>
      <c r="F3555" s="19">
        <v>200000</v>
      </c>
      <c r="G3555" s="14">
        <f t="shared" si="61"/>
        <v>-200000</v>
      </c>
      <c r="H3555" s="1135"/>
    </row>
    <row r="3556" spans="1:8" hidden="1" x14ac:dyDescent="0.25">
      <c r="A3556" s="116">
        <v>45112</v>
      </c>
      <c r="B3556" s="21" t="s">
        <v>9463</v>
      </c>
      <c r="C3556" s="13" t="s">
        <v>8483</v>
      </c>
      <c r="D3556" s="782"/>
      <c r="E3556" s="22"/>
      <c r="F3556" s="19">
        <v>270000</v>
      </c>
      <c r="G3556" s="14">
        <f t="shared" si="61"/>
        <v>-270000</v>
      </c>
      <c r="H3556" s="1135"/>
    </row>
    <row r="3557" spans="1:8" hidden="1" x14ac:dyDescent="0.25">
      <c r="A3557" s="116">
        <v>45112</v>
      </c>
      <c r="B3557" s="21" t="s">
        <v>9769</v>
      </c>
      <c r="C3557" s="13" t="s">
        <v>8483</v>
      </c>
      <c r="D3557" s="782"/>
      <c r="E3557" s="22"/>
      <c r="F3557" s="19">
        <v>430000</v>
      </c>
      <c r="G3557" s="14">
        <f t="shared" si="61"/>
        <v>-430000</v>
      </c>
      <c r="H3557" s="1135"/>
    </row>
    <row r="3558" spans="1:8" hidden="1" x14ac:dyDescent="0.25">
      <c r="A3558" s="116">
        <v>45112</v>
      </c>
      <c r="B3558" s="21" t="s">
        <v>10261</v>
      </c>
      <c r="C3558" s="13" t="s">
        <v>8483</v>
      </c>
      <c r="D3558" s="782"/>
      <c r="E3558" s="22"/>
      <c r="F3558" s="19">
        <v>50000</v>
      </c>
      <c r="G3558" s="14">
        <f t="shared" si="61"/>
        <v>-50000</v>
      </c>
      <c r="H3558" s="1136"/>
    </row>
    <row r="3559" spans="1:8" hidden="1" x14ac:dyDescent="0.25">
      <c r="A3559" s="116">
        <v>45113</v>
      </c>
      <c r="B3559" s="21" t="s">
        <v>10582</v>
      </c>
      <c r="C3559" s="13" t="s">
        <v>164</v>
      </c>
      <c r="D3559" s="782" t="s">
        <v>10794</v>
      </c>
      <c r="E3559" s="22">
        <v>2840</v>
      </c>
      <c r="F3559" s="19"/>
      <c r="G3559" s="14">
        <f t="shared" ref="G3559:G3561" si="63">E3559-F3559</f>
        <v>2840</v>
      </c>
      <c r="H3559" s="13"/>
    </row>
    <row r="3560" spans="1:8" hidden="1" x14ac:dyDescent="0.25">
      <c r="A3560" s="116">
        <v>45113</v>
      </c>
      <c r="B3560" s="21" t="s">
        <v>11023</v>
      </c>
      <c r="C3560" s="13" t="s">
        <v>7309</v>
      </c>
      <c r="D3560" s="782"/>
      <c r="E3560" s="22"/>
      <c r="F3560" s="19">
        <v>521800</v>
      </c>
      <c r="G3560" s="14">
        <f t="shared" si="63"/>
        <v>-521800</v>
      </c>
      <c r="H3560" s="13" t="s">
        <v>11814</v>
      </c>
    </row>
    <row r="3561" spans="1:8" hidden="1" x14ac:dyDescent="0.25">
      <c r="A3561" s="116">
        <v>45113</v>
      </c>
      <c r="B3561" s="21" t="s">
        <v>11023</v>
      </c>
      <c r="C3561" s="13" t="s">
        <v>7309</v>
      </c>
      <c r="D3561" s="782"/>
      <c r="E3561" s="22"/>
      <c r="F3561" s="19">
        <v>484000</v>
      </c>
      <c r="G3561" s="14">
        <f t="shared" si="63"/>
        <v>-484000</v>
      </c>
      <c r="H3561" s="13" t="s">
        <v>11814</v>
      </c>
    </row>
    <row r="3562" spans="1:8" hidden="1" x14ac:dyDescent="0.25">
      <c r="A3562" s="116">
        <v>45110</v>
      </c>
      <c r="B3562" s="21" t="s">
        <v>10261</v>
      </c>
      <c r="C3562" s="13" t="s">
        <v>8483</v>
      </c>
      <c r="D3562" s="782" t="s">
        <v>10542</v>
      </c>
      <c r="E3562" s="22">
        <v>333836</v>
      </c>
      <c r="F3562" s="19"/>
      <c r="G3562" s="14">
        <f t="shared" ref="G3562:G3652" si="64">E3562-F3562</f>
        <v>333836</v>
      </c>
      <c r="H3562" s="13"/>
    </row>
    <row r="3563" spans="1:8" hidden="1" x14ac:dyDescent="0.25">
      <c r="A3563" s="116">
        <v>45114</v>
      </c>
      <c r="B3563" s="21" t="s">
        <v>8974</v>
      </c>
      <c r="C3563" s="13" t="s">
        <v>8483</v>
      </c>
      <c r="D3563" s="782" t="s">
        <v>10543</v>
      </c>
      <c r="E3563" s="22">
        <v>86737</v>
      </c>
      <c r="F3563" s="19"/>
      <c r="G3563" s="14">
        <f t="shared" si="64"/>
        <v>86737</v>
      </c>
      <c r="H3563" s="13"/>
    </row>
    <row r="3564" spans="1:8" hidden="1" x14ac:dyDescent="0.25">
      <c r="A3564" s="116">
        <v>45114</v>
      </c>
      <c r="B3564" s="21" t="s">
        <v>10406</v>
      </c>
      <c r="C3564" s="13" t="s">
        <v>8483</v>
      </c>
      <c r="D3564" s="782" t="s">
        <v>10544</v>
      </c>
      <c r="E3564" s="22">
        <v>164549</v>
      </c>
      <c r="F3564" s="19"/>
      <c r="G3564" s="14">
        <f t="shared" si="64"/>
        <v>164549</v>
      </c>
      <c r="H3564" s="13"/>
    </row>
    <row r="3565" spans="1:8" hidden="1" x14ac:dyDescent="0.25">
      <c r="A3565" s="116">
        <v>45114</v>
      </c>
      <c r="B3565" s="21" t="s">
        <v>10261</v>
      </c>
      <c r="C3565" s="13" t="s">
        <v>7538</v>
      </c>
      <c r="D3565" s="782" t="s">
        <v>10552</v>
      </c>
      <c r="E3565" s="22">
        <v>35200</v>
      </c>
      <c r="F3565" s="19"/>
      <c r="G3565" s="14">
        <f t="shared" si="64"/>
        <v>35200</v>
      </c>
      <c r="H3565" s="13" t="s">
        <v>10555</v>
      </c>
    </row>
    <row r="3566" spans="1:8" hidden="1" x14ac:dyDescent="0.25">
      <c r="A3566" s="116">
        <v>45114</v>
      </c>
      <c r="B3566" s="21" t="s">
        <v>9463</v>
      </c>
      <c r="C3566" s="13" t="s">
        <v>169</v>
      </c>
      <c r="D3566" s="793" t="s">
        <v>9074</v>
      </c>
      <c r="E3566" s="799">
        <v>7580</v>
      </c>
      <c r="F3566" s="19"/>
      <c r="G3566" s="14">
        <f t="shared" si="64"/>
        <v>7580</v>
      </c>
      <c r="H3566" s="57"/>
    </row>
    <row r="3567" spans="1:8" hidden="1" x14ac:dyDescent="0.25">
      <c r="A3567" s="116">
        <v>45118</v>
      </c>
      <c r="B3567" s="21" t="s">
        <v>10582</v>
      </c>
      <c r="C3567" s="13" t="s">
        <v>166</v>
      </c>
      <c r="D3567" s="1155" t="s">
        <v>10584</v>
      </c>
      <c r="E3567" s="799">
        <v>130000</v>
      </c>
      <c r="F3567" s="19"/>
      <c r="G3567" s="14">
        <f t="shared" si="64"/>
        <v>130000</v>
      </c>
      <c r="H3567" s="351" t="s">
        <v>9386</v>
      </c>
    </row>
    <row r="3568" spans="1:8" hidden="1" x14ac:dyDescent="0.25">
      <c r="A3568" s="116">
        <v>45118</v>
      </c>
      <c r="B3568" s="21" t="s">
        <v>8974</v>
      </c>
      <c r="C3568" s="13" t="s">
        <v>166</v>
      </c>
      <c r="D3568" s="1156"/>
      <c r="E3568" s="799">
        <v>115000</v>
      </c>
      <c r="F3568" s="19"/>
      <c r="G3568" s="14">
        <f t="shared" si="64"/>
        <v>115000</v>
      </c>
      <c r="H3568" s="351" t="s">
        <v>10585</v>
      </c>
    </row>
    <row r="3569" spans="1:10" hidden="1" x14ac:dyDescent="0.25">
      <c r="A3569" s="116">
        <v>45119</v>
      </c>
      <c r="B3569" s="21" t="s">
        <v>9877</v>
      </c>
      <c r="C3569" s="13" t="s">
        <v>8483</v>
      </c>
      <c r="D3569" s="782" t="s">
        <v>10545</v>
      </c>
      <c r="E3569" s="22">
        <v>407933</v>
      </c>
      <c r="F3569" s="19"/>
      <c r="G3569" s="14">
        <f t="shared" si="64"/>
        <v>407933</v>
      </c>
      <c r="H3569" s="13"/>
    </row>
    <row r="3570" spans="1:10" hidden="1" x14ac:dyDescent="0.25">
      <c r="A3570" s="116">
        <v>45119</v>
      </c>
      <c r="B3570" s="21" t="s">
        <v>8974</v>
      </c>
      <c r="C3570" s="13" t="s">
        <v>8483</v>
      </c>
      <c r="D3570" s="782" t="s">
        <v>10546</v>
      </c>
      <c r="E3570" s="22">
        <v>94569</v>
      </c>
      <c r="F3570" s="19"/>
      <c r="G3570" s="14">
        <f t="shared" si="64"/>
        <v>94569</v>
      </c>
      <c r="H3570" s="13"/>
    </row>
    <row r="3571" spans="1:10" hidden="1" x14ac:dyDescent="0.25">
      <c r="A3571" s="116">
        <v>45120</v>
      </c>
      <c r="B3571" s="21" t="s">
        <v>10077</v>
      </c>
      <c r="C3571" s="13" t="s">
        <v>1816</v>
      </c>
      <c r="D3571" s="782" t="s">
        <v>10790</v>
      </c>
      <c r="E3571" s="22">
        <v>7782</v>
      </c>
      <c r="F3571" s="19"/>
      <c r="G3571" s="14">
        <f t="shared" si="64"/>
        <v>7782</v>
      </c>
      <c r="H3571" s="991"/>
    </row>
    <row r="3572" spans="1:10" hidden="1" x14ac:dyDescent="0.25">
      <c r="A3572" s="116">
        <v>45120</v>
      </c>
      <c r="B3572" s="21" t="s">
        <v>10342</v>
      </c>
      <c r="C3572" s="13" t="s">
        <v>11444</v>
      </c>
      <c r="D3572" s="782"/>
      <c r="E3572" s="22">
        <v>4226000</v>
      </c>
      <c r="F3572" s="19"/>
      <c r="G3572" s="14">
        <f t="shared" si="64"/>
        <v>4226000</v>
      </c>
      <c r="H3572" s="991"/>
    </row>
    <row r="3573" spans="1:10" hidden="1" x14ac:dyDescent="0.25">
      <c r="A3573" s="116">
        <v>45120</v>
      </c>
      <c r="B3573" s="21" t="s">
        <v>10342</v>
      </c>
      <c r="C3573" s="13" t="s">
        <v>11444</v>
      </c>
      <c r="D3573" s="782"/>
      <c r="E3573" s="22"/>
      <c r="F3573" s="19">
        <v>975000</v>
      </c>
      <c r="G3573" s="14">
        <f t="shared" si="64"/>
        <v>-975000</v>
      </c>
      <c r="H3573" s="991" t="s">
        <v>10557</v>
      </c>
    </row>
    <row r="3574" spans="1:10" hidden="1" x14ac:dyDescent="0.25">
      <c r="A3574" s="116">
        <v>45120</v>
      </c>
      <c r="B3574" s="21" t="s">
        <v>1407</v>
      </c>
      <c r="C3574" s="13" t="s">
        <v>5731</v>
      </c>
      <c r="D3574" s="782"/>
      <c r="E3574" s="22"/>
      <c r="F3574" s="19">
        <v>200000</v>
      </c>
      <c r="G3574" s="14">
        <f t="shared" si="64"/>
        <v>-200000</v>
      </c>
      <c r="H3574" s="991" t="s">
        <v>10535</v>
      </c>
    </row>
    <row r="3575" spans="1:10" hidden="1" x14ac:dyDescent="0.25">
      <c r="A3575" s="116">
        <v>45124</v>
      </c>
      <c r="B3575" s="21" t="s">
        <v>10261</v>
      </c>
      <c r="C3575" s="13" t="s">
        <v>8483</v>
      </c>
      <c r="D3575" s="782" t="s">
        <v>10651</v>
      </c>
      <c r="E3575" s="22">
        <v>306968</v>
      </c>
      <c r="F3575" s="19"/>
      <c r="G3575" s="14">
        <f t="shared" si="64"/>
        <v>306968</v>
      </c>
      <c r="H3575" s="991"/>
    </row>
    <row r="3576" spans="1:10" hidden="1" x14ac:dyDescent="0.25">
      <c r="A3576" s="116">
        <v>45124</v>
      </c>
      <c r="B3576" s="21" t="s">
        <v>10406</v>
      </c>
      <c r="C3576" s="13" t="s">
        <v>8483</v>
      </c>
      <c r="D3576" s="782" t="s">
        <v>10652</v>
      </c>
      <c r="E3576" s="22">
        <v>100000</v>
      </c>
      <c r="F3576" s="19"/>
      <c r="G3576" s="14">
        <f t="shared" si="64"/>
        <v>100000</v>
      </c>
      <c r="H3576" s="991"/>
    </row>
    <row r="3577" spans="1:10" hidden="1" x14ac:dyDescent="0.25">
      <c r="A3577" s="116">
        <v>45124</v>
      </c>
      <c r="B3577" s="21" t="s">
        <v>9463</v>
      </c>
      <c r="C3577" s="13" t="s">
        <v>8483</v>
      </c>
      <c r="D3577" s="782" t="s">
        <v>9157</v>
      </c>
      <c r="E3577" s="22">
        <v>140886</v>
      </c>
      <c r="F3577" s="19"/>
      <c r="G3577" s="14">
        <f t="shared" si="64"/>
        <v>140886</v>
      </c>
      <c r="H3577" s="991"/>
    </row>
    <row r="3578" spans="1:10" hidden="1" x14ac:dyDescent="0.25">
      <c r="A3578" s="116">
        <v>45124</v>
      </c>
      <c r="B3578" s="21" t="s">
        <v>9769</v>
      </c>
      <c r="C3578" s="13" t="s">
        <v>166</v>
      </c>
      <c r="D3578" s="782"/>
      <c r="E3578" s="22"/>
      <c r="F3578" s="19">
        <v>64100</v>
      </c>
      <c r="G3578" s="14">
        <f t="shared" si="64"/>
        <v>-64100</v>
      </c>
      <c r="H3578" s="1161" t="s">
        <v>10591</v>
      </c>
      <c r="J3578" s="134"/>
    </row>
    <row r="3579" spans="1:10" hidden="1" x14ac:dyDescent="0.25">
      <c r="A3579" s="116">
        <v>45124</v>
      </c>
      <c r="B3579" s="21" t="s">
        <v>9877</v>
      </c>
      <c r="C3579" s="13" t="s">
        <v>166</v>
      </c>
      <c r="D3579" s="782"/>
      <c r="E3579" s="22"/>
      <c r="F3579" s="19">
        <v>66000</v>
      </c>
      <c r="G3579" s="14">
        <f t="shared" si="64"/>
        <v>-66000</v>
      </c>
      <c r="H3579" s="1161"/>
    </row>
    <row r="3580" spans="1:10" hidden="1" x14ac:dyDescent="0.25">
      <c r="A3580" s="116">
        <v>45124</v>
      </c>
      <c r="B3580" s="21" t="s">
        <v>10077</v>
      </c>
      <c r="C3580" s="13" t="s">
        <v>166</v>
      </c>
      <c r="D3580" s="782"/>
      <c r="E3580" s="22"/>
      <c r="F3580" s="19">
        <v>15800</v>
      </c>
      <c r="G3580" s="14">
        <f t="shared" si="64"/>
        <v>-15800</v>
      </c>
      <c r="H3580" s="1161"/>
    </row>
    <row r="3581" spans="1:10" hidden="1" x14ac:dyDescent="0.25">
      <c r="A3581" s="116">
        <v>45124</v>
      </c>
      <c r="B3581" s="21" t="s">
        <v>10582</v>
      </c>
      <c r="C3581" s="13" t="s">
        <v>166</v>
      </c>
      <c r="D3581" s="782"/>
      <c r="E3581" s="22"/>
      <c r="F3581" s="19">
        <v>13260</v>
      </c>
      <c r="G3581" s="14">
        <f t="shared" si="64"/>
        <v>-13260</v>
      </c>
      <c r="H3581" s="1161"/>
    </row>
    <row r="3582" spans="1:10" hidden="1" x14ac:dyDescent="0.25">
      <c r="A3582" s="116">
        <v>45124</v>
      </c>
      <c r="B3582" s="21" t="s">
        <v>8752</v>
      </c>
      <c r="C3582" s="13" t="s">
        <v>166</v>
      </c>
      <c r="D3582" s="782"/>
      <c r="E3582" s="22"/>
      <c r="F3582" s="19">
        <v>290840</v>
      </c>
      <c r="G3582" s="14">
        <f t="shared" si="64"/>
        <v>-290840</v>
      </c>
      <c r="H3582" s="1162"/>
    </row>
    <row r="3583" spans="1:10" x14ac:dyDescent="0.25">
      <c r="A3583" s="116">
        <v>45124</v>
      </c>
      <c r="B3583" s="1002" t="s">
        <v>10490</v>
      </c>
      <c r="C3583" s="13" t="s">
        <v>168</v>
      </c>
      <c r="D3583" s="782" t="s">
        <v>10607</v>
      </c>
      <c r="E3583" s="22">
        <v>100000</v>
      </c>
      <c r="F3583" s="19"/>
      <c r="G3583" s="14">
        <f t="shared" si="64"/>
        <v>100000</v>
      </c>
      <c r="H3583" s="13" t="s">
        <v>10608</v>
      </c>
    </row>
    <row r="3584" spans="1:10" x14ac:dyDescent="0.25">
      <c r="A3584" s="116">
        <v>45124</v>
      </c>
      <c r="B3584" s="21" t="s">
        <v>10582</v>
      </c>
      <c r="C3584" s="13" t="s">
        <v>168</v>
      </c>
      <c r="D3584" s="782" t="s">
        <v>10636</v>
      </c>
      <c r="E3584" s="22">
        <v>1039700</v>
      </c>
      <c r="F3584" s="19"/>
      <c r="G3584" s="14">
        <f t="shared" si="64"/>
        <v>1039700</v>
      </c>
      <c r="H3584" s="13"/>
    </row>
    <row r="3585" spans="1:8" x14ac:dyDescent="0.25">
      <c r="A3585" s="116">
        <v>45124</v>
      </c>
      <c r="B3585" s="21" t="s">
        <v>10582</v>
      </c>
      <c r="C3585" s="13" t="s">
        <v>168</v>
      </c>
      <c r="D3585" s="782"/>
      <c r="E3585" s="22"/>
      <c r="F3585" s="19">
        <v>1039700</v>
      </c>
      <c r="G3585" s="14">
        <f t="shared" si="64"/>
        <v>-1039700</v>
      </c>
      <c r="H3585" s="13" t="s">
        <v>10637</v>
      </c>
    </row>
    <row r="3586" spans="1:8" hidden="1" x14ac:dyDescent="0.25">
      <c r="A3586" s="116">
        <v>45124</v>
      </c>
      <c r="B3586" s="21" t="s">
        <v>10342</v>
      </c>
      <c r="C3586" s="13" t="s">
        <v>180</v>
      </c>
      <c r="D3586" s="782" t="s">
        <v>10681</v>
      </c>
      <c r="E3586" s="22">
        <v>278840</v>
      </c>
      <c r="F3586" s="19"/>
      <c r="G3586" s="14">
        <f t="shared" si="64"/>
        <v>278840</v>
      </c>
      <c r="H3586" s="13"/>
    </row>
    <row r="3587" spans="1:8" hidden="1" x14ac:dyDescent="0.25">
      <c r="A3587" s="116">
        <v>45125</v>
      </c>
      <c r="B3587" s="21" t="s">
        <v>10406</v>
      </c>
      <c r="C3587" s="13" t="s">
        <v>1816</v>
      </c>
      <c r="D3587" s="782" t="s">
        <v>10791</v>
      </c>
      <c r="E3587" s="22">
        <v>286220</v>
      </c>
      <c r="F3587" s="19"/>
      <c r="G3587" s="14">
        <f t="shared" si="64"/>
        <v>286220</v>
      </c>
      <c r="H3587" s="13"/>
    </row>
    <row r="3588" spans="1:8" x14ac:dyDescent="0.25">
      <c r="A3588" s="116">
        <v>45125</v>
      </c>
      <c r="B3588" s="21" t="s">
        <v>9615</v>
      </c>
      <c r="C3588" s="13" t="s">
        <v>168</v>
      </c>
      <c r="D3588" s="782" t="s">
        <v>10638</v>
      </c>
      <c r="E3588" s="22">
        <v>9820</v>
      </c>
      <c r="F3588" s="19"/>
      <c r="G3588" s="14">
        <f t="shared" si="64"/>
        <v>9820</v>
      </c>
      <c r="H3588" s="13" t="s">
        <v>10640</v>
      </c>
    </row>
    <row r="3589" spans="1:8" x14ac:dyDescent="0.25">
      <c r="A3589" s="116">
        <v>45125</v>
      </c>
      <c r="B3589" s="21" t="s">
        <v>10582</v>
      </c>
      <c r="C3589" s="13" t="s">
        <v>168</v>
      </c>
      <c r="D3589" s="782" t="s">
        <v>9703</v>
      </c>
      <c r="E3589" s="22">
        <v>91053</v>
      </c>
      <c r="F3589" s="19"/>
      <c r="G3589" s="14">
        <f t="shared" si="64"/>
        <v>91053</v>
      </c>
      <c r="H3589" s="13" t="s">
        <v>10641</v>
      </c>
    </row>
    <row r="3590" spans="1:8" x14ac:dyDescent="0.25">
      <c r="A3590" s="116">
        <v>45125</v>
      </c>
      <c r="B3590" s="1002" t="s">
        <v>10490</v>
      </c>
      <c r="C3590" s="13" t="s">
        <v>168</v>
      </c>
      <c r="D3590" s="782" t="s">
        <v>10639</v>
      </c>
      <c r="E3590" s="22">
        <v>92000</v>
      </c>
      <c r="F3590" s="113"/>
      <c r="G3590" s="14">
        <f t="shared" si="64"/>
        <v>92000</v>
      </c>
      <c r="H3590" s="13" t="s">
        <v>10642</v>
      </c>
    </row>
    <row r="3591" spans="1:8" hidden="1" x14ac:dyDescent="0.25">
      <c r="A3591" s="116">
        <v>45125</v>
      </c>
      <c r="B3591" s="21" t="s">
        <v>8974</v>
      </c>
      <c r="C3591" s="13" t="s">
        <v>166</v>
      </c>
      <c r="D3591" s="782"/>
      <c r="E3591" s="799"/>
      <c r="F3591" s="801">
        <v>115000</v>
      </c>
      <c r="G3591" s="800">
        <f t="shared" si="64"/>
        <v>-115000</v>
      </c>
      <c r="H3591" s="1146" t="s">
        <v>10622</v>
      </c>
    </row>
    <row r="3592" spans="1:8" ht="16.5" hidden="1" thickBot="1" x14ac:dyDescent="0.3">
      <c r="A3592" s="116">
        <v>45125</v>
      </c>
      <c r="B3592" s="21" t="s">
        <v>10582</v>
      </c>
      <c r="C3592" s="13" t="s">
        <v>166</v>
      </c>
      <c r="D3592" s="782"/>
      <c r="E3592" s="799"/>
      <c r="F3592" s="802">
        <v>130000</v>
      </c>
      <c r="G3592" s="800">
        <f t="shared" si="64"/>
        <v>-130000</v>
      </c>
      <c r="H3592" s="1148"/>
    </row>
    <row r="3593" spans="1:8" hidden="1" x14ac:dyDescent="0.25">
      <c r="A3593" s="116">
        <v>45126</v>
      </c>
      <c r="B3593" s="1002" t="s">
        <v>10490</v>
      </c>
      <c r="C3593" s="13" t="s">
        <v>180</v>
      </c>
      <c r="D3593" s="782" t="s">
        <v>10682</v>
      </c>
      <c r="E3593" s="22">
        <v>18720</v>
      </c>
      <c r="F3593" s="115"/>
      <c r="G3593" s="14">
        <f t="shared" si="64"/>
        <v>18720</v>
      </c>
      <c r="H3593" s="13"/>
    </row>
    <row r="3594" spans="1:8" hidden="1" x14ac:dyDescent="0.25">
      <c r="A3594" s="116">
        <v>45127</v>
      </c>
      <c r="B3594" s="21" t="s">
        <v>8974</v>
      </c>
      <c r="C3594" s="13" t="s">
        <v>8483</v>
      </c>
      <c r="D3594" s="782" t="s">
        <v>10643</v>
      </c>
      <c r="E3594" s="22">
        <v>30441</v>
      </c>
      <c r="F3594" s="19"/>
      <c r="G3594" s="14">
        <f t="shared" si="64"/>
        <v>30441</v>
      </c>
      <c r="H3594" s="13"/>
    </row>
    <row r="3595" spans="1:8" hidden="1" x14ac:dyDescent="0.25">
      <c r="A3595" s="116">
        <v>45127</v>
      </c>
      <c r="B3595" s="21" t="s">
        <v>10261</v>
      </c>
      <c r="C3595" s="13" t="s">
        <v>8483</v>
      </c>
      <c r="D3595" s="782" t="s">
        <v>10644</v>
      </c>
      <c r="E3595" s="22">
        <v>70032</v>
      </c>
      <c r="F3595" s="19"/>
      <c r="G3595" s="14">
        <f t="shared" si="64"/>
        <v>70032</v>
      </c>
      <c r="H3595" s="13"/>
    </row>
    <row r="3596" spans="1:8" hidden="1" x14ac:dyDescent="0.25">
      <c r="A3596" s="116">
        <v>45127</v>
      </c>
      <c r="B3596" s="21" t="s">
        <v>9877</v>
      </c>
      <c r="C3596" s="13" t="s">
        <v>8483</v>
      </c>
      <c r="D3596" s="782" t="s">
        <v>10645</v>
      </c>
      <c r="E3596" s="22">
        <v>145910</v>
      </c>
      <c r="F3596" s="19"/>
      <c r="G3596" s="14">
        <f t="shared" si="64"/>
        <v>145910</v>
      </c>
      <c r="H3596" s="13"/>
    </row>
    <row r="3597" spans="1:8" hidden="1" x14ac:dyDescent="0.25">
      <c r="A3597" s="116">
        <v>45127</v>
      </c>
      <c r="B3597" s="21" t="s">
        <v>9463</v>
      </c>
      <c r="C3597" s="13" t="s">
        <v>8483</v>
      </c>
      <c r="D3597" s="782" t="s">
        <v>10646</v>
      </c>
      <c r="E3597" s="22">
        <v>78349</v>
      </c>
      <c r="F3597" s="113"/>
      <c r="G3597" s="14">
        <f t="shared" si="64"/>
        <v>78349</v>
      </c>
      <c r="H3597" s="13"/>
    </row>
    <row r="3598" spans="1:8" hidden="1" x14ac:dyDescent="0.25">
      <c r="A3598" s="116">
        <v>45127</v>
      </c>
      <c r="B3598" s="21" t="s">
        <v>8752</v>
      </c>
      <c r="C3598" s="13" t="s">
        <v>8483</v>
      </c>
      <c r="D3598" s="782"/>
      <c r="E3598" s="799"/>
      <c r="F3598" s="801">
        <v>12087</v>
      </c>
      <c r="G3598" s="800">
        <f t="shared" si="64"/>
        <v>-12087</v>
      </c>
      <c r="H3598" s="1157" t="s">
        <v>10663</v>
      </c>
    </row>
    <row r="3599" spans="1:8" hidden="1" x14ac:dyDescent="0.25">
      <c r="A3599" s="116">
        <v>45127</v>
      </c>
      <c r="B3599" s="21" t="s">
        <v>8974</v>
      </c>
      <c r="C3599" s="13" t="s">
        <v>8483</v>
      </c>
      <c r="D3599" s="782"/>
      <c r="E3599" s="799"/>
      <c r="F3599" s="148">
        <v>182717</v>
      </c>
      <c r="G3599" s="800">
        <f t="shared" si="64"/>
        <v>-182717</v>
      </c>
      <c r="H3599" s="1158"/>
    </row>
    <row r="3600" spans="1:8" hidden="1" x14ac:dyDescent="0.25">
      <c r="A3600" s="116">
        <v>45127</v>
      </c>
      <c r="B3600" s="21" t="s">
        <v>9463</v>
      </c>
      <c r="C3600" s="13" t="s">
        <v>8483</v>
      </c>
      <c r="D3600" s="782"/>
      <c r="E3600" s="799"/>
      <c r="F3600" s="148">
        <v>190000</v>
      </c>
      <c r="G3600" s="800">
        <f t="shared" si="64"/>
        <v>-190000</v>
      </c>
      <c r="H3600" s="1158"/>
    </row>
    <row r="3601" spans="1:8" hidden="1" x14ac:dyDescent="0.25">
      <c r="A3601" s="116">
        <v>45127</v>
      </c>
      <c r="B3601" s="21" t="s">
        <v>9769</v>
      </c>
      <c r="C3601" s="13" t="s">
        <v>8483</v>
      </c>
      <c r="D3601" s="782"/>
      <c r="E3601" s="799"/>
      <c r="F3601" s="148">
        <v>45196</v>
      </c>
      <c r="G3601" s="800">
        <f t="shared" si="64"/>
        <v>-45196</v>
      </c>
      <c r="H3601" s="1158"/>
    </row>
    <row r="3602" spans="1:8" hidden="1" x14ac:dyDescent="0.25">
      <c r="A3602" s="116">
        <v>45127</v>
      </c>
      <c r="B3602" s="21" t="s">
        <v>9877</v>
      </c>
      <c r="C3602" s="13" t="s">
        <v>8483</v>
      </c>
      <c r="D3602" s="782"/>
      <c r="E3602" s="799"/>
      <c r="F3602" s="148">
        <v>190000</v>
      </c>
      <c r="G3602" s="800">
        <f t="shared" si="64"/>
        <v>-190000</v>
      </c>
      <c r="H3602" s="1158"/>
    </row>
    <row r="3603" spans="1:8" hidden="1" x14ac:dyDescent="0.25">
      <c r="A3603" s="116">
        <v>45127</v>
      </c>
      <c r="B3603" s="21" t="s">
        <v>10261</v>
      </c>
      <c r="C3603" s="13" t="s">
        <v>8483</v>
      </c>
      <c r="D3603" s="782"/>
      <c r="E3603" s="799"/>
      <c r="F3603" s="148">
        <v>190000</v>
      </c>
      <c r="G3603" s="800">
        <f t="shared" si="64"/>
        <v>-190000</v>
      </c>
      <c r="H3603" s="1158"/>
    </row>
    <row r="3604" spans="1:8" ht="16.5" hidden="1" thickBot="1" x14ac:dyDescent="0.3">
      <c r="A3604" s="116">
        <v>45127</v>
      </c>
      <c r="B3604" s="21" t="s">
        <v>10406</v>
      </c>
      <c r="C3604" s="13" t="s">
        <v>8483</v>
      </c>
      <c r="D3604" s="782"/>
      <c r="E3604" s="799"/>
      <c r="F3604" s="802">
        <v>190000</v>
      </c>
      <c r="G3604" s="800">
        <f t="shared" si="64"/>
        <v>-190000</v>
      </c>
      <c r="H3604" s="1159"/>
    </row>
    <row r="3605" spans="1:8" ht="21" hidden="1" x14ac:dyDescent="0.25">
      <c r="A3605" s="116">
        <v>45127</v>
      </c>
      <c r="B3605" s="21" t="s">
        <v>10683</v>
      </c>
      <c r="C3605" s="13" t="s">
        <v>180</v>
      </c>
      <c r="D3605" s="782" t="s">
        <v>10684</v>
      </c>
      <c r="E3605" s="799">
        <v>120960</v>
      </c>
      <c r="F3605" s="220"/>
      <c r="G3605" s="800">
        <f t="shared" si="64"/>
        <v>120960</v>
      </c>
      <c r="H3605" s="992"/>
    </row>
    <row r="3606" spans="1:8" hidden="1" x14ac:dyDescent="0.25">
      <c r="A3606" s="116">
        <v>45128</v>
      </c>
      <c r="B3606" s="21" t="s">
        <v>10582</v>
      </c>
      <c r="C3606" s="13" t="s">
        <v>166</v>
      </c>
      <c r="D3606" s="782" t="s">
        <v>10917</v>
      </c>
      <c r="E3606" s="22">
        <v>27640</v>
      </c>
      <c r="F3606" s="115"/>
      <c r="G3606" s="14">
        <f t="shared" ref="G3606" si="65">E3606-F3606</f>
        <v>27640</v>
      </c>
      <c r="H3606" s="13" t="s">
        <v>10650</v>
      </c>
    </row>
    <row r="3607" spans="1:8" hidden="1" x14ac:dyDescent="0.25">
      <c r="A3607" s="116">
        <v>45128</v>
      </c>
      <c r="B3607" s="21" t="s">
        <v>8974</v>
      </c>
      <c r="C3607" s="13" t="s">
        <v>166</v>
      </c>
      <c r="D3607" s="782" t="s">
        <v>10649</v>
      </c>
      <c r="E3607" s="22">
        <v>22500</v>
      </c>
      <c r="F3607" s="115"/>
      <c r="G3607" s="14">
        <f t="shared" si="64"/>
        <v>22500</v>
      </c>
      <c r="H3607" s="13" t="s">
        <v>10650</v>
      </c>
    </row>
    <row r="3608" spans="1:8" x14ac:dyDescent="0.25">
      <c r="A3608" s="116">
        <v>45129</v>
      </c>
      <c r="B3608" s="21" t="s">
        <v>10406</v>
      </c>
      <c r="C3608" s="13" t="s">
        <v>168</v>
      </c>
      <c r="D3608" s="782" t="s">
        <v>10680</v>
      </c>
      <c r="E3608" s="22">
        <v>188000</v>
      </c>
      <c r="F3608" s="115"/>
      <c r="G3608" s="14">
        <f t="shared" si="64"/>
        <v>188000</v>
      </c>
      <c r="H3608" s="13"/>
    </row>
    <row r="3609" spans="1:8" hidden="1" x14ac:dyDescent="0.25">
      <c r="A3609" s="116">
        <v>45131</v>
      </c>
      <c r="B3609" s="21" t="s">
        <v>9463</v>
      </c>
      <c r="C3609" s="13" t="s">
        <v>169</v>
      </c>
      <c r="D3609" s="782" t="s">
        <v>10685</v>
      </c>
      <c r="E3609" s="22">
        <v>76250</v>
      </c>
      <c r="F3609" s="19"/>
      <c r="G3609" s="14">
        <f t="shared" si="64"/>
        <v>76250</v>
      </c>
      <c r="H3609" s="13"/>
    </row>
    <row r="3610" spans="1:8" hidden="1" x14ac:dyDescent="0.25">
      <c r="A3610" s="116">
        <v>45131</v>
      </c>
      <c r="B3610" s="21" t="s">
        <v>8982</v>
      </c>
      <c r="C3610" s="13" t="s">
        <v>7538</v>
      </c>
      <c r="D3610" s="782"/>
      <c r="E3610" s="22"/>
      <c r="F3610" s="19">
        <v>385000</v>
      </c>
      <c r="G3610" s="14">
        <f t="shared" si="64"/>
        <v>-385000</v>
      </c>
      <c r="H3610" s="13" t="s">
        <v>10698</v>
      </c>
    </row>
    <row r="3611" spans="1:8" hidden="1" x14ac:dyDescent="0.25">
      <c r="A3611" s="116">
        <v>45132</v>
      </c>
      <c r="B3611" s="21" t="s">
        <v>10077</v>
      </c>
      <c r="C3611" s="13" t="s">
        <v>1816</v>
      </c>
      <c r="D3611" s="782" t="s">
        <v>10792</v>
      </c>
      <c r="E3611" s="22">
        <v>54431</v>
      </c>
      <c r="F3611" s="19"/>
      <c r="G3611" s="14">
        <f t="shared" si="64"/>
        <v>54431</v>
      </c>
      <c r="H3611" s="13"/>
    </row>
    <row r="3612" spans="1:8" x14ac:dyDescent="0.25">
      <c r="A3612" s="116">
        <v>45132</v>
      </c>
      <c r="B3612" s="21" t="s">
        <v>10582</v>
      </c>
      <c r="C3612" s="13" t="s">
        <v>168</v>
      </c>
      <c r="D3612" s="782" t="s">
        <v>10094</v>
      </c>
      <c r="E3612" s="22">
        <v>24000</v>
      </c>
      <c r="F3612" s="19"/>
      <c r="G3612" s="14">
        <f t="shared" si="64"/>
        <v>24000</v>
      </c>
      <c r="H3612" s="13"/>
    </row>
    <row r="3613" spans="1:8" x14ac:dyDescent="0.25">
      <c r="A3613" s="116">
        <v>45132</v>
      </c>
      <c r="B3613" s="21" t="s">
        <v>10406</v>
      </c>
      <c r="C3613" s="13" t="s">
        <v>168</v>
      </c>
      <c r="D3613" s="782" t="s">
        <v>10732</v>
      </c>
      <c r="E3613" s="22"/>
      <c r="F3613" s="19"/>
      <c r="G3613" s="14">
        <f t="shared" si="64"/>
        <v>0</v>
      </c>
      <c r="H3613" s="13"/>
    </row>
    <row r="3614" spans="1:8" x14ac:dyDescent="0.25">
      <c r="A3614" s="116">
        <v>45132</v>
      </c>
      <c r="B3614" s="21" t="s">
        <v>8653</v>
      </c>
      <c r="C3614" s="13" t="s">
        <v>168</v>
      </c>
      <c r="D3614" s="782" t="s">
        <v>10733</v>
      </c>
      <c r="E3614" s="22">
        <v>83200</v>
      </c>
      <c r="F3614" s="19"/>
      <c r="G3614" s="14">
        <f t="shared" si="64"/>
        <v>83200</v>
      </c>
      <c r="H3614" s="13"/>
    </row>
    <row r="3615" spans="1:8" hidden="1" x14ac:dyDescent="0.25">
      <c r="A3615" s="116">
        <v>45133</v>
      </c>
      <c r="B3615" s="21" t="s">
        <v>9463</v>
      </c>
      <c r="C3615" s="13" t="s">
        <v>7538</v>
      </c>
      <c r="D3615" s="782" t="s">
        <v>10735</v>
      </c>
      <c r="E3615" s="22">
        <v>136390</v>
      </c>
      <c r="F3615" s="19"/>
      <c r="G3615" s="14">
        <f t="shared" si="64"/>
        <v>136390</v>
      </c>
      <c r="H3615" s="13"/>
    </row>
    <row r="3616" spans="1:8" hidden="1" x14ac:dyDescent="0.25">
      <c r="A3616" s="116">
        <v>45133</v>
      </c>
      <c r="B3616" s="21" t="s">
        <v>10096</v>
      </c>
      <c r="C3616" s="13" t="s">
        <v>7538</v>
      </c>
      <c r="D3616" s="782" t="s">
        <v>10736</v>
      </c>
      <c r="E3616" s="22">
        <v>10125</v>
      </c>
      <c r="F3616" s="19"/>
      <c r="G3616" s="14">
        <f t="shared" si="64"/>
        <v>10125</v>
      </c>
      <c r="H3616" s="13"/>
    </row>
    <row r="3617" spans="1:8" hidden="1" x14ac:dyDescent="0.25">
      <c r="A3617" s="116">
        <v>45133</v>
      </c>
      <c r="B3617" s="21" t="s">
        <v>9615</v>
      </c>
      <c r="C3617" s="13" t="s">
        <v>8483</v>
      </c>
      <c r="D3617" s="782" t="s">
        <v>10737</v>
      </c>
      <c r="E3617" s="22">
        <v>28019</v>
      </c>
      <c r="F3617" s="19"/>
      <c r="G3617" s="14">
        <f t="shared" si="64"/>
        <v>28019</v>
      </c>
      <c r="H3617" s="13"/>
    </row>
    <row r="3618" spans="1:8" hidden="1" x14ac:dyDescent="0.25">
      <c r="A3618" s="116">
        <v>45133</v>
      </c>
      <c r="B3618" s="21" t="s">
        <v>9463</v>
      </c>
      <c r="C3618" s="13" t="s">
        <v>8483</v>
      </c>
      <c r="D3618" s="782" t="s">
        <v>10738</v>
      </c>
      <c r="E3618" s="22">
        <v>92172</v>
      </c>
      <c r="F3618" s="19"/>
      <c r="G3618" s="14">
        <f t="shared" si="64"/>
        <v>92172</v>
      </c>
      <c r="H3618" s="13"/>
    </row>
    <row r="3619" spans="1:8" hidden="1" x14ac:dyDescent="0.25">
      <c r="A3619" s="116">
        <v>45136</v>
      </c>
      <c r="B3619" s="21" t="s">
        <v>10342</v>
      </c>
      <c r="C3619" s="13" t="s">
        <v>8483</v>
      </c>
      <c r="D3619" s="782" t="s">
        <v>10739</v>
      </c>
      <c r="E3619" s="22">
        <v>149586</v>
      </c>
      <c r="F3619" s="19"/>
      <c r="G3619" s="14">
        <f t="shared" si="64"/>
        <v>149586</v>
      </c>
      <c r="H3619" s="13"/>
    </row>
    <row r="3620" spans="1:8" hidden="1" x14ac:dyDescent="0.25">
      <c r="A3620" s="116">
        <v>45138</v>
      </c>
      <c r="B3620" s="1002" t="s">
        <v>10490</v>
      </c>
      <c r="C3620" s="13" t="s">
        <v>166</v>
      </c>
      <c r="D3620" s="782" t="s">
        <v>10918</v>
      </c>
      <c r="E3620" s="22">
        <v>13755</v>
      </c>
      <c r="F3620" s="19"/>
      <c r="G3620" s="14">
        <f t="shared" si="64"/>
        <v>13755</v>
      </c>
      <c r="H3620" s="13"/>
    </row>
    <row r="3621" spans="1:8" x14ac:dyDescent="0.25">
      <c r="A3621" s="116">
        <v>45138</v>
      </c>
      <c r="B3621" s="1002" t="s">
        <v>9940</v>
      </c>
      <c r="C3621" s="13" t="s">
        <v>12083</v>
      </c>
      <c r="D3621" s="782" t="s">
        <v>11931</v>
      </c>
      <c r="E3621" s="22">
        <v>1741376</v>
      </c>
      <c r="F3621" s="19"/>
      <c r="G3621" s="14">
        <f t="shared" si="64"/>
        <v>1741376</v>
      </c>
      <c r="H3621" s="13"/>
    </row>
    <row r="3622" spans="1:8" hidden="1" x14ac:dyDescent="0.25">
      <c r="A3622" s="116">
        <v>45139</v>
      </c>
      <c r="B3622" s="21" t="s">
        <v>10683</v>
      </c>
      <c r="C3622" s="13" t="s">
        <v>169</v>
      </c>
      <c r="D3622" s="782" t="s">
        <v>9470</v>
      </c>
      <c r="E3622" s="22">
        <v>7580</v>
      </c>
      <c r="F3622" s="19"/>
      <c r="G3622" s="14">
        <f t="shared" si="64"/>
        <v>7580</v>
      </c>
      <c r="H3622" s="13"/>
    </row>
    <row r="3623" spans="1:8" hidden="1" x14ac:dyDescent="0.25">
      <c r="A3623" s="116">
        <v>45139</v>
      </c>
      <c r="B3623" s="21" t="s">
        <v>10261</v>
      </c>
      <c r="C3623" s="13" t="s">
        <v>8483</v>
      </c>
      <c r="D3623" s="782"/>
      <c r="E3623" s="22"/>
      <c r="F3623" s="19">
        <v>895000</v>
      </c>
      <c r="G3623" s="14">
        <f t="shared" si="64"/>
        <v>-895000</v>
      </c>
      <c r="H3623" s="13" t="s">
        <v>10596</v>
      </c>
    </row>
    <row r="3624" spans="1:8" hidden="1" x14ac:dyDescent="0.25">
      <c r="A3624" s="116">
        <v>45139</v>
      </c>
      <c r="B3624" s="21" t="s">
        <v>10342</v>
      </c>
      <c r="C3624" s="13" t="s">
        <v>180</v>
      </c>
      <c r="D3624" s="782" t="s">
        <v>10839</v>
      </c>
      <c r="E3624" s="22">
        <v>99200</v>
      </c>
      <c r="F3624" s="19"/>
      <c r="G3624" s="14">
        <f t="shared" si="64"/>
        <v>99200</v>
      </c>
      <c r="H3624" s="13"/>
    </row>
    <row r="3625" spans="1:8" hidden="1" x14ac:dyDescent="0.25">
      <c r="A3625" s="116">
        <v>45140</v>
      </c>
      <c r="B3625" s="21" t="s">
        <v>10582</v>
      </c>
      <c r="C3625" s="13" t="s">
        <v>164</v>
      </c>
      <c r="D3625" s="782" t="s">
        <v>10795</v>
      </c>
      <c r="E3625" s="22">
        <v>34252</v>
      </c>
      <c r="F3625" s="19"/>
      <c r="G3625" s="14">
        <f t="shared" si="64"/>
        <v>34252</v>
      </c>
      <c r="H3625" s="13"/>
    </row>
    <row r="3626" spans="1:8" hidden="1" x14ac:dyDescent="0.25">
      <c r="A3626" s="116">
        <v>45141</v>
      </c>
      <c r="B3626" s="21" t="s">
        <v>10683</v>
      </c>
      <c r="C3626" s="13" t="s">
        <v>7538</v>
      </c>
      <c r="D3626" s="782" t="s">
        <v>10797</v>
      </c>
      <c r="E3626" s="22">
        <v>752630</v>
      </c>
      <c r="F3626" s="19"/>
      <c r="G3626" s="14">
        <f t="shared" si="64"/>
        <v>752630</v>
      </c>
      <c r="H3626" s="13"/>
    </row>
    <row r="3627" spans="1:8" hidden="1" x14ac:dyDescent="0.25">
      <c r="A3627" s="116">
        <v>45141</v>
      </c>
      <c r="B3627" s="21" t="s">
        <v>11023</v>
      </c>
      <c r="C3627" s="13" t="s">
        <v>1816</v>
      </c>
      <c r="D3627" s="782" t="s">
        <v>10076</v>
      </c>
      <c r="E3627" s="22">
        <v>75050</v>
      </c>
      <c r="F3627" s="19"/>
      <c r="G3627" s="14">
        <f t="shared" si="64"/>
        <v>75050</v>
      </c>
      <c r="H3627" s="13"/>
    </row>
    <row r="3628" spans="1:8" hidden="1" x14ac:dyDescent="0.25">
      <c r="A3628" s="116">
        <v>45141</v>
      </c>
      <c r="B3628" s="21" t="s">
        <v>10342</v>
      </c>
      <c r="C3628" s="13" t="s">
        <v>8483</v>
      </c>
      <c r="D3628" s="782" t="s">
        <v>10799</v>
      </c>
      <c r="E3628" s="22">
        <v>447395</v>
      </c>
      <c r="F3628" s="19"/>
      <c r="G3628" s="14">
        <f t="shared" si="64"/>
        <v>447395</v>
      </c>
      <c r="H3628" s="13"/>
    </row>
    <row r="3629" spans="1:8" hidden="1" x14ac:dyDescent="0.25">
      <c r="A3629" s="116">
        <v>45141</v>
      </c>
      <c r="B3629" s="21" t="s">
        <v>10261</v>
      </c>
      <c r="C3629" s="13" t="s">
        <v>8483</v>
      </c>
      <c r="D3629" s="782" t="s">
        <v>10800</v>
      </c>
      <c r="E3629" s="22">
        <v>51609</v>
      </c>
      <c r="F3629" s="19"/>
      <c r="G3629" s="14">
        <f t="shared" si="64"/>
        <v>51609</v>
      </c>
      <c r="H3629" s="13"/>
    </row>
    <row r="3630" spans="1:8" hidden="1" x14ac:dyDescent="0.25">
      <c r="A3630" s="116">
        <v>45141</v>
      </c>
      <c r="B3630" s="21" t="s">
        <v>9463</v>
      </c>
      <c r="C3630" s="13" t="s">
        <v>8483</v>
      </c>
      <c r="D3630" s="782" t="s">
        <v>10801</v>
      </c>
      <c r="E3630" s="22">
        <v>24550</v>
      </c>
      <c r="F3630" s="19"/>
      <c r="G3630" s="14">
        <f t="shared" si="64"/>
        <v>24550</v>
      </c>
      <c r="H3630" s="13"/>
    </row>
    <row r="3631" spans="1:8" hidden="1" x14ac:dyDescent="0.25">
      <c r="A3631" s="116">
        <v>45141</v>
      </c>
      <c r="B3631" s="21" t="s">
        <v>10683</v>
      </c>
      <c r="C3631" s="13" t="s">
        <v>8483</v>
      </c>
      <c r="D3631" s="782" t="s">
        <v>10802</v>
      </c>
      <c r="E3631" s="22">
        <v>11574</v>
      </c>
      <c r="F3631" s="19"/>
      <c r="G3631" s="14">
        <f t="shared" si="64"/>
        <v>11574</v>
      </c>
      <c r="H3631" s="13"/>
    </row>
    <row r="3632" spans="1:8" hidden="1" x14ac:dyDescent="0.25">
      <c r="A3632" s="116">
        <v>45141</v>
      </c>
      <c r="B3632" s="1002" t="s">
        <v>10490</v>
      </c>
      <c r="C3632" s="13" t="s">
        <v>8483</v>
      </c>
      <c r="D3632" s="782" t="s">
        <v>10803</v>
      </c>
      <c r="E3632" s="22">
        <v>118168</v>
      </c>
      <c r="F3632" s="19"/>
      <c r="G3632" s="14">
        <f t="shared" si="64"/>
        <v>118168</v>
      </c>
      <c r="H3632" s="13"/>
    </row>
    <row r="3633" spans="1:8" hidden="1" x14ac:dyDescent="0.25">
      <c r="A3633" s="116">
        <v>45142</v>
      </c>
      <c r="B3633" s="21" t="s">
        <v>10582</v>
      </c>
      <c r="C3633" s="13" t="s">
        <v>164</v>
      </c>
      <c r="D3633" s="782" t="s">
        <v>10796</v>
      </c>
      <c r="E3633" s="22">
        <v>14831</v>
      </c>
      <c r="F3633" s="19"/>
      <c r="G3633" s="14">
        <f t="shared" si="64"/>
        <v>14831</v>
      </c>
      <c r="H3633" s="13"/>
    </row>
    <row r="3634" spans="1:8" hidden="1" x14ac:dyDescent="0.25">
      <c r="A3634" s="116">
        <v>45142</v>
      </c>
      <c r="B3634" s="21" t="s">
        <v>10096</v>
      </c>
      <c r="C3634" s="13" t="s">
        <v>169</v>
      </c>
      <c r="D3634" s="782" t="s">
        <v>10922</v>
      </c>
      <c r="E3634" s="22">
        <v>32035</v>
      </c>
      <c r="F3634" s="19"/>
      <c r="G3634" s="14">
        <f t="shared" si="64"/>
        <v>32035</v>
      </c>
      <c r="H3634" s="13"/>
    </row>
    <row r="3635" spans="1:8" hidden="1" x14ac:dyDescent="0.25">
      <c r="A3635" s="116">
        <v>45143</v>
      </c>
      <c r="B3635" s="21" t="s">
        <v>10406</v>
      </c>
      <c r="C3635" s="13" t="s">
        <v>1816</v>
      </c>
      <c r="D3635" s="782"/>
      <c r="E3635" s="22"/>
      <c r="F3635" s="19">
        <v>16490</v>
      </c>
      <c r="G3635" s="14">
        <f t="shared" si="64"/>
        <v>-16490</v>
      </c>
      <c r="H3635" s="13" t="s">
        <v>4505</v>
      </c>
    </row>
    <row r="3636" spans="1:8" hidden="1" x14ac:dyDescent="0.25">
      <c r="A3636" s="116">
        <v>45143</v>
      </c>
      <c r="B3636" s="21" t="s">
        <v>9463</v>
      </c>
      <c r="C3636" s="13" t="s">
        <v>7538</v>
      </c>
      <c r="D3636" s="782" t="s">
        <v>10798</v>
      </c>
      <c r="E3636" s="22">
        <v>153990</v>
      </c>
      <c r="F3636" s="19"/>
      <c r="G3636" s="14">
        <f t="shared" si="64"/>
        <v>153990</v>
      </c>
      <c r="H3636" s="13"/>
    </row>
    <row r="3637" spans="1:8" hidden="1" x14ac:dyDescent="0.25">
      <c r="A3637" s="116">
        <v>45143</v>
      </c>
      <c r="B3637" s="21" t="s">
        <v>10342</v>
      </c>
      <c r="C3637" s="13" t="s">
        <v>8483</v>
      </c>
      <c r="D3637" s="782" t="s">
        <v>10804</v>
      </c>
      <c r="E3637" s="22">
        <v>119072</v>
      </c>
      <c r="F3637" s="19"/>
      <c r="G3637" s="14">
        <f t="shared" si="64"/>
        <v>119072</v>
      </c>
      <c r="H3637" s="13"/>
    </row>
    <row r="3638" spans="1:8" hidden="1" x14ac:dyDescent="0.25">
      <c r="A3638" s="116">
        <v>45143</v>
      </c>
      <c r="B3638" s="21" t="s">
        <v>10406</v>
      </c>
      <c r="C3638" s="13" t="s">
        <v>1816</v>
      </c>
      <c r="D3638" s="782"/>
      <c r="E3638" s="22"/>
      <c r="F3638" s="19">
        <v>231000</v>
      </c>
      <c r="G3638" s="14">
        <f t="shared" si="64"/>
        <v>-231000</v>
      </c>
      <c r="H3638" s="13" t="s">
        <v>10329</v>
      </c>
    </row>
    <row r="3639" spans="1:8" x14ac:dyDescent="0.25">
      <c r="A3639" s="116">
        <v>45147</v>
      </c>
      <c r="B3639" s="21" t="s">
        <v>10582</v>
      </c>
      <c r="C3639" s="13" t="s">
        <v>168</v>
      </c>
      <c r="D3639" s="782" t="s">
        <v>10858</v>
      </c>
      <c r="E3639" s="22">
        <v>88971</v>
      </c>
      <c r="F3639" s="19"/>
      <c r="G3639" s="14">
        <f t="shared" si="64"/>
        <v>88971</v>
      </c>
      <c r="H3639" s="13"/>
    </row>
    <row r="3640" spans="1:8" hidden="1" x14ac:dyDescent="0.25">
      <c r="A3640" s="116">
        <v>45147</v>
      </c>
      <c r="B3640" s="21" t="s">
        <v>10582</v>
      </c>
      <c r="C3640" s="13" t="s">
        <v>4853</v>
      </c>
      <c r="D3640" s="782" t="s">
        <v>10838</v>
      </c>
      <c r="E3640" s="22">
        <v>32880</v>
      </c>
      <c r="F3640" s="19"/>
      <c r="G3640" s="14">
        <f t="shared" si="64"/>
        <v>32880</v>
      </c>
      <c r="H3640" s="13"/>
    </row>
    <row r="3641" spans="1:8" hidden="1" x14ac:dyDescent="0.25">
      <c r="A3641" s="116">
        <v>45148</v>
      </c>
      <c r="B3641" s="21" t="s">
        <v>10261</v>
      </c>
      <c r="C3641" s="13" t="s">
        <v>8483</v>
      </c>
      <c r="D3641" s="782" t="s">
        <v>10946</v>
      </c>
      <c r="E3641" s="22">
        <v>49067</v>
      </c>
      <c r="F3641" s="19"/>
      <c r="G3641" s="14">
        <f t="shared" si="64"/>
        <v>49067</v>
      </c>
      <c r="H3641" s="13"/>
    </row>
    <row r="3642" spans="1:8" hidden="1" x14ac:dyDescent="0.25">
      <c r="A3642" s="116">
        <v>45149</v>
      </c>
      <c r="B3642" s="1002" t="s">
        <v>10490</v>
      </c>
      <c r="C3642" s="13" t="s">
        <v>8483</v>
      </c>
      <c r="D3642" s="782" t="s">
        <v>10947</v>
      </c>
      <c r="E3642" s="22">
        <v>70850</v>
      </c>
      <c r="F3642" s="19"/>
      <c r="G3642" s="14">
        <f t="shared" si="64"/>
        <v>70850</v>
      </c>
      <c r="H3642" s="13"/>
    </row>
    <row r="3643" spans="1:8" hidden="1" x14ac:dyDescent="0.25">
      <c r="A3643" s="116">
        <v>45149</v>
      </c>
      <c r="B3643" s="21" t="s">
        <v>10582</v>
      </c>
      <c r="C3643" s="13" t="s">
        <v>4853</v>
      </c>
      <c r="D3643" s="782"/>
      <c r="E3643" s="22"/>
      <c r="F3643" s="19">
        <v>30000</v>
      </c>
      <c r="G3643" s="14">
        <f t="shared" si="64"/>
        <v>-30000</v>
      </c>
      <c r="H3643" s="13" t="s">
        <v>10840</v>
      </c>
    </row>
    <row r="3644" spans="1:8" hidden="1" x14ac:dyDescent="0.25">
      <c r="A3644" s="116">
        <v>45149</v>
      </c>
      <c r="B3644" s="21" t="s">
        <v>10261</v>
      </c>
      <c r="C3644" s="13" t="s">
        <v>166</v>
      </c>
      <c r="D3644" s="782" t="s">
        <v>10953</v>
      </c>
      <c r="E3644" s="22">
        <v>20300</v>
      </c>
      <c r="F3644" s="19"/>
      <c r="G3644" s="14">
        <f t="shared" si="64"/>
        <v>20300</v>
      </c>
      <c r="H3644" s="56"/>
    </row>
    <row r="3645" spans="1:8" hidden="1" x14ac:dyDescent="0.25">
      <c r="A3645" s="116">
        <v>45149</v>
      </c>
      <c r="B3645" s="21" t="s">
        <v>10342</v>
      </c>
      <c r="C3645" s="13" t="s">
        <v>7538</v>
      </c>
      <c r="D3645" s="782" t="s">
        <v>10958</v>
      </c>
      <c r="E3645" s="22">
        <v>67956</v>
      </c>
      <c r="F3645" s="19"/>
      <c r="G3645" s="14">
        <f t="shared" si="64"/>
        <v>67956</v>
      </c>
      <c r="H3645" s="56"/>
    </row>
    <row r="3646" spans="1:8" hidden="1" x14ac:dyDescent="0.25">
      <c r="A3646" s="116">
        <v>45150</v>
      </c>
      <c r="B3646" s="21" t="s">
        <v>10261</v>
      </c>
      <c r="C3646" s="13" t="s">
        <v>8483</v>
      </c>
      <c r="D3646" s="782" t="s">
        <v>10948</v>
      </c>
      <c r="E3646" s="22">
        <v>30498</v>
      </c>
      <c r="F3646" s="19"/>
      <c r="G3646" s="14">
        <f t="shared" si="64"/>
        <v>30498</v>
      </c>
      <c r="H3646" s="56"/>
    </row>
    <row r="3647" spans="1:8" hidden="1" x14ac:dyDescent="0.25">
      <c r="A3647" s="116">
        <v>45150</v>
      </c>
      <c r="B3647" s="21" t="s">
        <v>10261</v>
      </c>
      <c r="C3647" s="13" t="s">
        <v>164</v>
      </c>
      <c r="D3647" s="782" t="s">
        <v>11160</v>
      </c>
      <c r="E3647" s="22">
        <v>6023</v>
      </c>
      <c r="F3647" s="19"/>
      <c r="G3647" s="14">
        <f t="shared" si="64"/>
        <v>6023</v>
      </c>
      <c r="H3647" s="56"/>
    </row>
    <row r="3648" spans="1:8" hidden="1" x14ac:dyDescent="0.25">
      <c r="A3648" s="116">
        <v>45153</v>
      </c>
      <c r="B3648" s="21" t="s">
        <v>8000</v>
      </c>
      <c r="C3648" s="13" t="s">
        <v>7538</v>
      </c>
      <c r="D3648" s="782"/>
      <c r="E3648" s="22"/>
      <c r="F3648" s="19">
        <v>665882</v>
      </c>
      <c r="G3648" s="14">
        <f t="shared" si="64"/>
        <v>-665882</v>
      </c>
      <c r="H3648" s="1169" t="s">
        <v>10866</v>
      </c>
    </row>
    <row r="3649" spans="1:8" hidden="1" x14ac:dyDescent="0.25">
      <c r="A3649" s="116">
        <v>45153</v>
      </c>
      <c r="B3649" s="21" t="s">
        <v>8982</v>
      </c>
      <c r="C3649" s="13" t="s">
        <v>7538</v>
      </c>
      <c r="D3649" s="782"/>
      <c r="E3649" s="22"/>
      <c r="F3649" s="19">
        <v>201658</v>
      </c>
      <c r="G3649" s="14">
        <f t="shared" si="64"/>
        <v>-201658</v>
      </c>
      <c r="H3649" s="1170"/>
    </row>
    <row r="3650" spans="1:8" hidden="1" x14ac:dyDescent="0.25">
      <c r="A3650" s="116">
        <v>45153</v>
      </c>
      <c r="B3650" s="21" t="s">
        <v>9769</v>
      </c>
      <c r="C3650" s="13" t="s">
        <v>7538</v>
      </c>
      <c r="D3650" s="782"/>
      <c r="E3650" s="22"/>
      <c r="F3650" s="19">
        <v>482460</v>
      </c>
      <c r="G3650" s="14">
        <f t="shared" si="64"/>
        <v>-482460</v>
      </c>
      <c r="H3650" s="1171"/>
    </row>
    <row r="3651" spans="1:8" hidden="1" x14ac:dyDescent="0.25">
      <c r="A3651" s="116">
        <v>45153</v>
      </c>
      <c r="B3651" s="21" t="s">
        <v>8752</v>
      </c>
      <c r="C3651" s="13" t="s">
        <v>5731</v>
      </c>
      <c r="D3651" s="782"/>
      <c r="E3651" s="22"/>
      <c r="F3651" s="113">
        <v>200000</v>
      </c>
      <c r="G3651" s="14">
        <f t="shared" si="64"/>
        <v>-200000</v>
      </c>
      <c r="H3651" s="13" t="s">
        <v>10867</v>
      </c>
    </row>
    <row r="3652" spans="1:8" hidden="1" x14ac:dyDescent="0.25">
      <c r="A3652" s="116">
        <v>45154</v>
      </c>
      <c r="B3652" s="21" t="s">
        <v>8974</v>
      </c>
      <c r="C3652" s="13" t="s">
        <v>8483</v>
      </c>
      <c r="D3652" s="782"/>
      <c r="E3652" s="799"/>
      <c r="F3652" s="801">
        <v>72078</v>
      </c>
      <c r="G3652" s="800">
        <f t="shared" si="64"/>
        <v>-72078</v>
      </c>
      <c r="H3652" s="1152" t="s">
        <v>10962</v>
      </c>
    </row>
    <row r="3653" spans="1:8" hidden="1" x14ac:dyDescent="0.25">
      <c r="A3653" s="116">
        <v>45154</v>
      </c>
      <c r="B3653" s="21" t="s">
        <v>9463</v>
      </c>
      <c r="C3653" s="13" t="s">
        <v>8483</v>
      </c>
      <c r="D3653" s="782"/>
      <c r="E3653" s="799"/>
      <c r="F3653" s="148">
        <v>150000</v>
      </c>
      <c r="G3653" s="800">
        <f t="shared" ref="G3653:G3789" si="66">E3653-F3653</f>
        <v>-150000</v>
      </c>
      <c r="H3653" s="1153"/>
    </row>
    <row r="3654" spans="1:8" hidden="1" x14ac:dyDescent="0.25">
      <c r="A3654" s="116">
        <v>45154</v>
      </c>
      <c r="B3654" s="21" t="s">
        <v>9877</v>
      </c>
      <c r="C3654" s="13" t="s">
        <v>8483</v>
      </c>
      <c r="D3654" s="782"/>
      <c r="E3654" s="799"/>
      <c r="F3654" s="148">
        <v>372320</v>
      </c>
      <c r="G3654" s="800">
        <f t="shared" si="66"/>
        <v>-372320</v>
      </c>
      <c r="H3654" s="1153"/>
    </row>
    <row r="3655" spans="1:8" hidden="1" x14ac:dyDescent="0.25">
      <c r="A3655" s="116">
        <v>45154</v>
      </c>
      <c r="B3655" s="21" t="s">
        <v>10261</v>
      </c>
      <c r="C3655" s="13" t="s">
        <v>8483</v>
      </c>
      <c r="D3655" s="782"/>
      <c r="E3655" s="799"/>
      <c r="F3655" s="148">
        <v>300000</v>
      </c>
      <c r="G3655" s="800">
        <f t="shared" si="66"/>
        <v>-300000</v>
      </c>
      <c r="H3655" s="1153"/>
    </row>
    <row r="3656" spans="1:8" hidden="1" x14ac:dyDescent="0.25">
      <c r="A3656" s="116">
        <v>45154</v>
      </c>
      <c r="B3656" s="1002" t="s">
        <v>10490</v>
      </c>
      <c r="C3656" s="13" t="s">
        <v>8483</v>
      </c>
      <c r="D3656" s="782"/>
      <c r="E3656" s="799"/>
      <c r="F3656" s="148">
        <v>100000</v>
      </c>
      <c r="G3656" s="800">
        <f t="shared" si="66"/>
        <v>-100000</v>
      </c>
      <c r="H3656" s="1153"/>
    </row>
    <row r="3657" spans="1:8" hidden="1" x14ac:dyDescent="0.25">
      <c r="A3657" s="272">
        <v>45154</v>
      </c>
      <c r="B3657" s="997" t="s">
        <v>10342</v>
      </c>
      <c r="C3657" s="56" t="s">
        <v>8483</v>
      </c>
      <c r="D3657" s="793"/>
      <c r="E3657" s="971"/>
      <c r="F3657" s="153">
        <v>5602</v>
      </c>
      <c r="G3657" s="998">
        <f t="shared" si="66"/>
        <v>-5602</v>
      </c>
      <c r="H3657" s="1154"/>
    </row>
    <row r="3658" spans="1:8" ht="23.25" hidden="1" x14ac:dyDescent="0.25">
      <c r="A3658" s="116">
        <v>45154</v>
      </c>
      <c r="B3658" s="21" t="s">
        <v>10406</v>
      </c>
      <c r="C3658" s="13" t="s">
        <v>169</v>
      </c>
      <c r="D3658" s="782" t="s">
        <v>10923</v>
      </c>
      <c r="E3658" s="22">
        <v>117640</v>
      </c>
      <c r="F3658" s="19"/>
      <c r="G3658" s="14">
        <f t="shared" ref="G3658:G3659" si="67">E3658-F3658</f>
        <v>117640</v>
      </c>
      <c r="H3658" s="312"/>
    </row>
    <row r="3659" spans="1:8" ht="23.25" hidden="1" x14ac:dyDescent="0.25">
      <c r="A3659" s="116">
        <v>45154</v>
      </c>
      <c r="B3659" s="21" t="s">
        <v>10406</v>
      </c>
      <c r="C3659" s="13" t="s">
        <v>169</v>
      </c>
      <c r="D3659" s="782" t="s">
        <v>10924</v>
      </c>
      <c r="E3659" s="22">
        <v>12252</v>
      </c>
      <c r="F3659" s="19"/>
      <c r="G3659" s="14">
        <f t="shared" si="67"/>
        <v>12252</v>
      </c>
      <c r="H3659" s="312"/>
    </row>
    <row r="3660" spans="1:8" ht="23.25" hidden="1" x14ac:dyDescent="0.25">
      <c r="A3660" s="116">
        <v>45154</v>
      </c>
      <c r="B3660" s="21" t="s">
        <v>10582</v>
      </c>
      <c r="C3660" s="13" t="s">
        <v>166</v>
      </c>
      <c r="D3660" s="782" t="s">
        <v>10919</v>
      </c>
      <c r="E3660" s="22">
        <v>7000</v>
      </c>
      <c r="F3660" s="19"/>
      <c r="G3660" s="14">
        <f t="shared" si="66"/>
        <v>7000</v>
      </c>
      <c r="H3660" s="312"/>
    </row>
    <row r="3661" spans="1:8" ht="23.25" hidden="1" x14ac:dyDescent="0.25">
      <c r="A3661" s="116">
        <v>45154</v>
      </c>
      <c r="B3661" s="21" t="s">
        <v>10406</v>
      </c>
      <c r="C3661" s="13" t="s">
        <v>164</v>
      </c>
      <c r="D3661" s="782" t="s">
        <v>10954</v>
      </c>
      <c r="E3661" s="22">
        <v>6055</v>
      </c>
      <c r="F3661" s="19"/>
      <c r="G3661" s="14">
        <f t="shared" si="66"/>
        <v>6055</v>
      </c>
      <c r="H3661" s="999"/>
    </row>
    <row r="3662" spans="1:8" ht="23.25" hidden="1" x14ac:dyDescent="0.25">
      <c r="A3662" s="116">
        <v>45154</v>
      </c>
      <c r="B3662" s="21" t="s">
        <v>10077</v>
      </c>
      <c r="C3662" s="13" t="s">
        <v>164</v>
      </c>
      <c r="D3662" s="782" t="s">
        <v>10955</v>
      </c>
      <c r="E3662" s="22">
        <v>1260</v>
      </c>
      <c r="F3662" s="19"/>
      <c r="G3662" s="14">
        <f t="shared" si="66"/>
        <v>1260</v>
      </c>
      <c r="H3662" s="999"/>
    </row>
    <row r="3663" spans="1:8" ht="15.75" hidden="1" customHeight="1" x14ac:dyDescent="0.25">
      <c r="A3663" s="116">
        <v>45156</v>
      </c>
      <c r="B3663" s="21" t="s">
        <v>10261</v>
      </c>
      <c r="C3663" s="13" t="s">
        <v>166</v>
      </c>
      <c r="D3663" s="1149" t="s">
        <v>10920</v>
      </c>
      <c r="E3663" s="22">
        <v>20300</v>
      </c>
      <c r="F3663" s="19"/>
      <c r="G3663" s="14">
        <f t="shared" si="66"/>
        <v>20300</v>
      </c>
      <c r="H3663" s="1150" t="s">
        <v>9433</v>
      </c>
    </row>
    <row r="3664" spans="1:8" ht="15.75" hidden="1" customHeight="1" x14ac:dyDescent="0.25">
      <c r="A3664" s="116">
        <v>45156</v>
      </c>
      <c r="B3664" s="1002" t="s">
        <v>10490</v>
      </c>
      <c r="C3664" s="13" t="s">
        <v>166</v>
      </c>
      <c r="D3664" s="1149"/>
      <c r="E3664" s="22">
        <v>45000</v>
      </c>
      <c r="F3664" s="19"/>
      <c r="G3664" s="14">
        <f t="shared" si="66"/>
        <v>45000</v>
      </c>
      <c r="H3664" s="1151"/>
    </row>
    <row r="3665" spans="1:8" hidden="1" x14ac:dyDescent="0.25">
      <c r="A3665" s="116">
        <v>45156</v>
      </c>
      <c r="B3665" s="21" t="s">
        <v>8752</v>
      </c>
      <c r="C3665" s="13" t="s">
        <v>166</v>
      </c>
      <c r="D3665" s="782"/>
      <c r="E3665" s="22"/>
      <c r="F3665" s="19">
        <v>64845</v>
      </c>
      <c r="G3665" s="14">
        <f t="shared" si="66"/>
        <v>-64845</v>
      </c>
      <c r="H3665" s="1160" t="s">
        <v>10957</v>
      </c>
    </row>
    <row r="3666" spans="1:8" hidden="1" x14ac:dyDescent="0.25">
      <c r="A3666" s="116">
        <v>45156</v>
      </c>
      <c r="B3666" s="21" t="s">
        <v>8974</v>
      </c>
      <c r="C3666" s="13" t="s">
        <v>166</v>
      </c>
      <c r="D3666" s="782"/>
      <c r="E3666" s="22"/>
      <c r="F3666" s="19">
        <v>22500</v>
      </c>
      <c r="G3666" s="14">
        <f t="shared" si="66"/>
        <v>-22500</v>
      </c>
      <c r="H3666" s="1161"/>
    </row>
    <row r="3667" spans="1:8" hidden="1" x14ac:dyDescent="0.25">
      <c r="A3667" s="116">
        <v>45156</v>
      </c>
      <c r="B3667" s="21" t="s">
        <v>10261</v>
      </c>
      <c r="C3667" s="13" t="s">
        <v>166</v>
      </c>
      <c r="D3667" s="782"/>
      <c r="E3667" s="22"/>
      <c r="F3667" s="19">
        <v>19260</v>
      </c>
      <c r="G3667" s="14">
        <f t="shared" si="66"/>
        <v>-19260</v>
      </c>
      <c r="H3667" s="1161"/>
    </row>
    <row r="3668" spans="1:8" hidden="1" x14ac:dyDescent="0.25">
      <c r="A3668" s="116">
        <v>45156</v>
      </c>
      <c r="B3668" s="21" t="s">
        <v>10582</v>
      </c>
      <c r="C3668" s="13" t="s">
        <v>166</v>
      </c>
      <c r="D3668" s="782"/>
      <c r="E3668" s="22"/>
      <c r="F3668" s="19">
        <v>34640</v>
      </c>
      <c r="G3668" s="14">
        <f t="shared" si="66"/>
        <v>-34640</v>
      </c>
      <c r="H3668" s="1161"/>
    </row>
    <row r="3669" spans="1:8" hidden="1" x14ac:dyDescent="0.25">
      <c r="A3669" s="116">
        <v>45156</v>
      </c>
      <c r="B3669" s="1002" t="s">
        <v>10490</v>
      </c>
      <c r="C3669" s="13" t="s">
        <v>166</v>
      </c>
      <c r="D3669" s="782"/>
      <c r="E3669" s="22"/>
      <c r="F3669" s="19">
        <v>58755</v>
      </c>
      <c r="G3669" s="14">
        <f t="shared" si="66"/>
        <v>-58755</v>
      </c>
      <c r="H3669" s="1162"/>
    </row>
    <row r="3670" spans="1:8" x14ac:dyDescent="0.25">
      <c r="A3670" s="116">
        <v>45156</v>
      </c>
      <c r="B3670" s="21" t="s">
        <v>10077</v>
      </c>
      <c r="C3670" s="13" t="s">
        <v>168</v>
      </c>
      <c r="D3670" s="782" t="s">
        <v>10965</v>
      </c>
      <c r="E3670" s="22">
        <v>16864</v>
      </c>
      <c r="F3670" s="19"/>
      <c r="G3670" s="14">
        <f t="shared" si="66"/>
        <v>16864</v>
      </c>
      <c r="H3670" s="1000"/>
    </row>
    <row r="3671" spans="1:8" x14ac:dyDescent="0.25">
      <c r="A3671" s="116">
        <v>45156</v>
      </c>
      <c r="B3671" s="21" t="s">
        <v>7886</v>
      </c>
      <c r="C3671" s="13" t="s">
        <v>168</v>
      </c>
      <c r="D3671" s="782" t="s">
        <v>10964</v>
      </c>
      <c r="E3671" s="22">
        <v>10980</v>
      </c>
      <c r="F3671" s="19"/>
      <c r="G3671" s="14">
        <f t="shared" si="66"/>
        <v>10980</v>
      </c>
      <c r="H3671" s="1000"/>
    </row>
    <row r="3672" spans="1:8" hidden="1" x14ac:dyDescent="0.25">
      <c r="A3672" s="116">
        <v>45157</v>
      </c>
      <c r="B3672" s="21" t="s">
        <v>9516</v>
      </c>
      <c r="C3672" s="13" t="s">
        <v>164</v>
      </c>
      <c r="D3672" s="782" t="s">
        <v>10956</v>
      </c>
      <c r="E3672" s="22">
        <v>4370</v>
      </c>
      <c r="F3672" s="19"/>
      <c r="G3672" s="14">
        <f t="shared" si="66"/>
        <v>4370</v>
      </c>
      <c r="H3672" s="1001"/>
    </row>
    <row r="3673" spans="1:8" hidden="1" x14ac:dyDescent="0.25">
      <c r="A3673" s="116">
        <v>45159</v>
      </c>
      <c r="B3673" s="21" t="s">
        <v>10261</v>
      </c>
      <c r="C3673" s="13" t="s">
        <v>8483</v>
      </c>
      <c r="D3673" s="782" t="s">
        <v>10949</v>
      </c>
      <c r="E3673" s="22">
        <v>25073</v>
      </c>
      <c r="F3673" s="19"/>
      <c r="G3673" s="14">
        <f t="shared" si="66"/>
        <v>25073</v>
      </c>
      <c r="H3673" s="13"/>
    </row>
    <row r="3674" spans="1:8" hidden="1" x14ac:dyDescent="0.25">
      <c r="A3674" s="116">
        <v>45159</v>
      </c>
      <c r="B3674" s="1002" t="s">
        <v>10490</v>
      </c>
      <c r="C3674" s="13" t="s">
        <v>8483</v>
      </c>
      <c r="D3674" s="782" t="s">
        <v>10950</v>
      </c>
      <c r="E3674" s="22">
        <v>246912</v>
      </c>
      <c r="F3674" s="19"/>
      <c r="G3674" s="14">
        <f t="shared" si="66"/>
        <v>246912</v>
      </c>
      <c r="H3674" s="13"/>
    </row>
    <row r="3675" spans="1:8" hidden="1" x14ac:dyDescent="0.25">
      <c r="A3675" s="116">
        <v>45159</v>
      </c>
      <c r="B3675" s="21" t="s">
        <v>10406</v>
      </c>
      <c r="C3675" s="13" t="s">
        <v>8483</v>
      </c>
      <c r="D3675" s="782" t="s">
        <v>10951</v>
      </c>
      <c r="E3675" s="22">
        <v>37586</v>
      </c>
      <c r="F3675" s="19"/>
      <c r="G3675" s="14">
        <f t="shared" si="66"/>
        <v>37586</v>
      </c>
      <c r="H3675" s="13"/>
    </row>
    <row r="3676" spans="1:8" hidden="1" x14ac:dyDescent="0.25">
      <c r="A3676" s="116">
        <v>45159</v>
      </c>
      <c r="B3676" s="21" t="s">
        <v>10342</v>
      </c>
      <c r="C3676" s="56" t="s">
        <v>8483</v>
      </c>
      <c r="D3676" s="782" t="s">
        <v>10952</v>
      </c>
      <c r="E3676" s="22">
        <v>197733</v>
      </c>
      <c r="F3676" s="113"/>
      <c r="G3676" s="14">
        <f t="shared" si="66"/>
        <v>197733</v>
      </c>
      <c r="H3676" s="13"/>
    </row>
    <row r="3677" spans="1:8" hidden="1" x14ac:dyDescent="0.25">
      <c r="A3677" s="116">
        <v>45159</v>
      </c>
      <c r="B3677" s="1002" t="s">
        <v>10490</v>
      </c>
      <c r="C3677" s="13" t="s">
        <v>166</v>
      </c>
      <c r="D3677" s="1003" t="s">
        <v>11051</v>
      </c>
      <c r="E3677" s="799">
        <v>28250</v>
      </c>
      <c r="F3677" s="220"/>
      <c r="G3677" s="800">
        <f t="shared" si="66"/>
        <v>28250</v>
      </c>
      <c r="H3677" s="56"/>
    </row>
    <row r="3678" spans="1:8" hidden="1" x14ac:dyDescent="0.25">
      <c r="A3678" s="116">
        <v>45160</v>
      </c>
      <c r="B3678" s="1002" t="s">
        <v>10490</v>
      </c>
      <c r="C3678" s="7" t="s">
        <v>164</v>
      </c>
      <c r="D3678" s="1003" t="s">
        <v>11161</v>
      </c>
      <c r="E3678" s="799">
        <v>7210</v>
      </c>
      <c r="F3678" s="220"/>
      <c r="G3678" s="800">
        <f t="shared" si="66"/>
        <v>7210</v>
      </c>
      <c r="H3678" s="56"/>
    </row>
    <row r="3679" spans="1:8" hidden="1" x14ac:dyDescent="0.25">
      <c r="A3679" s="116">
        <v>45161</v>
      </c>
      <c r="B3679" s="1002" t="s">
        <v>10688</v>
      </c>
      <c r="C3679" s="7" t="s">
        <v>180</v>
      </c>
      <c r="D3679" s="1003" t="s">
        <v>11041</v>
      </c>
      <c r="E3679" s="799">
        <v>268800</v>
      </c>
      <c r="F3679" s="220"/>
      <c r="G3679" s="800">
        <f t="shared" si="66"/>
        <v>268800</v>
      </c>
      <c r="H3679" s="56"/>
    </row>
    <row r="3680" spans="1:8" hidden="1" x14ac:dyDescent="0.25">
      <c r="A3680" s="116">
        <v>45161</v>
      </c>
      <c r="B3680" s="1002" t="s">
        <v>10688</v>
      </c>
      <c r="C3680" s="7" t="s">
        <v>180</v>
      </c>
      <c r="D3680" s="1003" t="s">
        <v>11042</v>
      </c>
      <c r="E3680" s="799">
        <v>1415820</v>
      </c>
      <c r="F3680" s="220"/>
      <c r="G3680" s="800">
        <f t="shared" si="66"/>
        <v>1415820</v>
      </c>
      <c r="H3680" s="56"/>
    </row>
    <row r="3681" spans="1:8" x14ac:dyDescent="0.25">
      <c r="A3681" s="116">
        <v>45161</v>
      </c>
      <c r="B3681" s="1002" t="s">
        <v>10688</v>
      </c>
      <c r="C3681" s="7" t="s">
        <v>168</v>
      </c>
      <c r="D3681" s="1003" t="s">
        <v>11043</v>
      </c>
      <c r="E3681" s="799">
        <v>104470</v>
      </c>
      <c r="F3681" s="220"/>
      <c r="G3681" s="800">
        <f t="shared" si="66"/>
        <v>104470</v>
      </c>
      <c r="H3681" s="56"/>
    </row>
    <row r="3682" spans="1:8" x14ac:dyDescent="0.25">
      <c r="A3682" s="116">
        <v>45161</v>
      </c>
      <c r="B3682" s="1002" t="s">
        <v>10490</v>
      </c>
      <c r="C3682" s="7" t="s">
        <v>168</v>
      </c>
      <c r="D3682" s="1003" t="s">
        <v>11044</v>
      </c>
      <c r="E3682" s="799">
        <v>14520</v>
      </c>
      <c r="F3682" s="220"/>
      <c r="G3682" s="800">
        <f t="shared" si="66"/>
        <v>14520</v>
      </c>
      <c r="H3682" s="56"/>
    </row>
    <row r="3683" spans="1:8" x14ac:dyDescent="0.25">
      <c r="A3683" s="116">
        <v>45161</v>
      </c>
      <c r="B3683" s="1002" t="s">
        <v>10683</v>
      </c>
      <c r="C3683" s="7" t="s">
        <v>168</v>
      </c>
      <c r="D3683" s="1003" t="s">
        <v>11045</v>
      </c>
      <c r="E3683" s="799">
        <v>22800</v>
      </c>
      <c r="F3683" s="220"/>
      <c r="G3683" s="800">
        <f t="shared" si="66"/>
        <v>22800</v>
      </c>
      <c r="H3683" s="56"/>
    </row>
    <row r="3684" spans="1:8" hidden="1" x14ac:dyDescent="0.25">
      <c r="A3684" s="116">
        <v>45161</v>
      </c>
      <c r="B3684" s="1002" t="s">
        <v>9615</v>
      </c>
      <c r="C3684" s="1004" t="s">
        <v>8483</v>
      </c>
      <c r="D3684" s="1003"/>
      <c r="E3684" s="799"/>
      <c r="F3684" s="801">
        <v>28019</v>
      </c>
      <c r="G3684" s="800">
        <f t="shared" si="66"/>
        <v>-28019</v>
      </c>
      <c r="H3684" s="1152" t="s">
        <v>10962</v>
      </c>
    </row>
    <row r="3685" spans="1:8" hidden="1" x14ac:dyDescent="0.25">
      <c r="A3685" s="116">
        <v>45161</v>
      </c>
      <c r="B3685" s="1002" t="s">
        <v>10406</v>
      </c>
      <c r="C3685" s="146" t="s">
        <v>8483</v>
      </c>
      <c r="D3685" s="1003"/>
      <c r="E3685" s="799"/>
      <c r="F3685" s="148">
        <v>112135</v>
      </c>
      <c r="G3685" s="800">
        <f t="shared" si="66"/>
        <v>-112135</v>
      </c>
      <c r="H3685" s="1153"/>
    </row>
    <row r="3686" spans="1:8" hidden="1" x14ac:dyDescent="0.25">
      <c r="A3686" s="116">
        <v>45161</v>
      </c>
      <c r="B3686" s="21" t="s">
        <v>9463</v>
      </c>
      <c r="C3686" s="146" t="s">
        <v>8483</v>
      </c>
      <c r="D3686" s="1003"/>
      <c r="E3686" s="799"/>
      <c r="F3686" s="148">
        <v>22065</v>
      </c>
      <c r="G3686" s="800">
        <f t="shared" si="66"/>
        <v>-22065</v>
      </c>
      <c r="H3686" s="1153"/>
    </row>
    <row r="3687" spans="1:8" hidden="1" x14ac:dyDescent="0.25">
      <c r="A3687" s="116">
        <v>45161</v>
      </c>
      <c r="B3687" s="1002" t="s">
        <v>10261</v>
      </c>
      <c r="C3687" s="146" t="s">
        <v>8483</v>
      </c>
      <c r="D3687" s="1003"/>
      <c r="E3687" s="799"/>
      <c r="F3687" s="148">
        <v>300000</v>
      </c>
      <c r="G3687" s="800">
        <f t="shared" si="66"/>
        <v>-300000</v>
      </c>
      <c r="H3687" s="1153"/>
    </row>
    <row r="3688" spans="1:8" hidden="1" x14ac:dyDescent="0.25">
      <c r="A3688" s="116">
        <v>45161</v>
      </c>
      <c r="B3688" s="1002" t="s">
        <v>10490</v>
      </c>
      <c r="C3688" s="146" t="s">
        <v>8483</v>
      </c>
      <c r="D3688" s="1003"/>
      <c r="E3688" s="799"/>
      <c r="F3688" s="148">
        <v>200000</v>
      </c>
      <c r="G3688" s="800">
        <f t="shared" si="66"/>
        <v>-200000</v>
      </c>
      <c r="H3688" s="1153"/>
    </row>
    <row r="3689" spans="1:8" ht="16.5" hidden="1" thickBot="1" x14ac:dyDescent="0.3">
      <c r="A3689" s="116">
        <v>45161</v>
      </c>
      <c r="B3689" s="1002" t="s">
        <v>10342</v>
      </c>
      <c r="C3689" s="1005" t="s">
        <v>8483</v>
      </c>
      <c r="D3689" s="1003"/>
      <c r="E3689" s="799"/>
      <c r="F3689" s="802">
        <v>337781</v>
      </c>
      <c r="G3689" s="800">
        <f t="shared" si="66"/>
        <v>-337781</v>
      </c>
      <c r="H3689" s="1154"/>
    </row>
    <row r="3690" spans="1:8" ht="17.25" hidden="1" customHeight="1" x14ac:dyDescent="0.25">
      <c r="A3690" s="116">
        <v>45161</v>
      </c>
      <c r="B3690" s="1002" t="s">
        <v>10683</v>
      </c>
      <c r="C3690" s="7" t="s">
        <v>7538</v>
      </c>
      <c r="D3690" s="1003" t="s">
        <v>11058</v>
      </c>
      <c r="E3690" s="799">
        <v>334758</v>
      </c>
      <c r="F3690" s="220"/>
      <c r="G3690" s="800">
        <f t="shared" si="66"/>
        <v>334758</v>
      </c>
      <c r="H3690" s="312"/>
    </row>
    <row r="3691" spans="1:8" ht="17.25" hidden="1" customHeight="1" x14ac:dyDescent="0.25">
      <c r="A3691" s="116">
        <v>45162</v>
      </c>
      <c r="B3691" s="1002" t="s">
        <v>10406</v>
      </c>
      <c r="C3691" s="7" t="s">
        <v>7538</v>
      </c>
      <c r="D3691" s="1003" t="s">
        <v>11059</v>
      </c>
      <c r="E3691" s="799">
        <v>82636</v>
      </c>
      <c r="F3691" s="220"/>
      <c r="G3691" s="800">
        <f t="shared" si="66"/>
        <v>82636</v>
      </c>
      <c r="H3691" s="312"/>
    </row>
    <row r="3692" spans="1:8" ht="17.25" hidden="1" customHeight="1" x14ac:dyDescent="0.25">
      <c r="A3692" s="116">
        <v>45162</v>
      </c>
      <c r="B3692" s="1002" t="s">
        <v>10490</v>
      </c>
      <c r="C3692" s="13" t="s">
        <v>166</v>
      </c>
      <c r="D3692" s="1003" t="s">
        <v>11318</v>
      </c>
      <c r="E3692" s="799">
        <v>3350</v>
      </c>
      <c r="F3692" s="220"/>
      <c r="G3692" s="800">
        <f t="shared" si="66"/>
        <v>3350</v>
      </c>
      <c r="H3692" s="312"/>
    </row>
    <row r="3693" spans="1:8" ht="17.25" hidden="1" customHeight="1" x14ac:dyDescent="0.25">
      <c r="A3693" s="116">
        <v>45162</v>
      </c>
      <c r="B3693" s="1002" t="s">
        <v>10683</v>
      </c>
      <c r="C3693" s="13" t="s">
        <v>166</v>
      </c>
      <c r="D3693" s="1003" t="s">
        <v>11917</v>
      </c>
      <c r="E3693" s="799">
        <v>45000</v>
      </c>
      <c r="F3693" s="220"/>
      <c r="G3693" s="800">
        <f t="shared" si="66"/>
        <v>45000</v>
      </c>
      <c r="H3693" s="312"/>
    </row>
    <row r="3694" spans="1:8" ht="17.25" hidden="1" customHeight="1" x14ac:dyDescent="0.25">
      <c r="A3694" s="116">
        <v>45163</v>
      </c>
      <c r="B3694" s="1002" t="s">
        <v>10490</v>
      </c>
      <c r="C3694" s="7" t="s">
        <v>164</v>
      </c>
      <c r="D3694" s="1003" t="s">
        <v>11162</v>
      </c>
      <c r="E3694" s="799">
        <v>7714</v>
      </c>
      <c r="F3694" s="220"/>
      <c r="G3694" s="800">
        <f t="shared" si="66"/>
        <v>7714</v>
      </c>
      <c r="H3694" s="312"/>
    </row>
    <row r="3695" spans="1:8" hidden="1" x14ac:dyDescent="0.25">
      <c r="A3695" s="116">
        <v>45163</v>
      </c>
      <c r="B3695" s="21" t="s">
        <v>10582</v>
      </c>
      <c r="C3695" s="13" t="s">
        <v>166</v>
      </c>
      <c r="D3695" s="782" t="s">
        <v>10966</v>
      </c>
      <c r="E3695" s="22">
        <v>12500</v>
      </c>
      <c r="F3695" s="114"/>
      <c r="G3695" s="800">
        <f t="shared" si="66"/>
        <v>12500</v>
      </c>
      <c r="H3695" s="13"/>
    </row>
    <row r="3696" spans="1:8" x14ac:dyDescent="0.25">
      <c r="A3696" s="116">
        <v>45163</v>
      </c>
      <c r="B3696" s="21" t="s">
        <v>10683</v>
      </c>
      <c r="C3696" s="57" t="s">
        <v>168</v>
      </c>
      <c r="D3696" s="782" t="s">
        <v>11046</v>
      </c>
      <c r="E3696" s="799">
        <v>13500</v>
      </c>
      <c r="F3696" s="220"/>
      <c r="G3696" s="800">
        <f t="shared" si="66"/>
        <v>13500</v>
      </c>
      <c r="H3696" s="56"/>
    </row>
    <row r="3697" spans="1:8" hidden="1" x14ac:dyDescent="0.25">
      <c r="A3697" s="116">
        <v>45163</v>
      </c>
      <c r="B3697" s="21" t="s">
        <v>9463</v>
      </c>
      <c r="C3697" s="57" t="s">
        <v>2212</v>
      </c>
      <c r="D3697" s="782" t="s">
        <v>11056</v>
      </c>
      <c r="E3697" s="799">
        <v>105000</v>
      </c>
      <c r="F3697" s="220"/>
      <c r="G3697" s="800">
        <f t="shared" si="66"/>
        <v>105000</v>
      </c>
      <c r="H3697" s="56" t="s">
        <v>11057</v>
      </c>
    </row>
    <row r="3698" spans="1:8" hidden="1" x14ac:dyDescent="0.25">
      <c r="A3698" s="116">
        <v>45164</v>
      </c>
      <c r="B3698" s="21" t="s">
        <v>9463</v>
      </c>
      <c r="C3698" s="13" t="s">
        <v>169</v>
      </c>
      <c r="D3698" s="782"/>
      <c r="E3698" s="799"/>
      <c r="F3698" s="801">
        <v>200204</v>
      </c>
      <c r="G3698" s="800">
        <f t="shared" si="66"/>
        <v>-200204</v>
      </c>
      <c r="H3698" s="1166" t="s">
        <v>10970</v>
      </c>
    </row>
    <row r="3699" spans="1:8" hidden="1" x14ac:dyDescent="0.25">
      <c r="A3699" s="116">
        <v>45164</v>
      </c>
      <c r="B3699" s="21" t="s">
        <v>10077</v>
      </c>
      <c r="C3699" s="13" t="s">
        <v>169</v>
      </c>
      <c r="D3699" s="782"/>
      <c r="E3699" s="799"/>
      <c r="F3699" s="148">
        <v>23382</v>
      </c>
      <c r="G3699" s="800">
        <f t="shared" si="66"/>
        <v>-23382</v>
      </c>
      <c r="H3699" s="1167"/>
    </row>
    <row r="3700" spans="1:8" hidden="1" x14ac:dyDescent="0.25">
      <c r="A3700" s="116">
        <v>45164</v>
      </c>
      <c r="B3700" s="21" t="s">
        <v>10096</v>
      </c>
      <c r="C3700" s="13" t="s">
        <v>169</v>
      </c>
      <c r="D3700" s="782"/>
      <c r="E3700" s="799"/>
      <c r="F3700" s="148">
        <v>37222</v>
      </c>
      <c r="G3700" s="800">
        <f t="shared" si="66"/>
        <v>-37222</v>
      </c>
      <c r="H3700" s="1167"/>
    </row>
    <row r="3701" spans="1:8" hidden="1" x14ac:dyDescent="0.25">
      <c r="A3701" s="116">
        <v>45164</v>
      </c>
      <c r="B3701" s="21" t="s">
        <v>10406</v>
      </c>
      <c r="C3701" s="13" t="s">
        <v>169</v>
      </c>
      <c r="D3701" s="782"/>
      <c r="E3701" s="799"/>
      <c r="F3701" s="148">
        <v>129892</v>
      </c>
      <c r="G3701" s="800">
        <f t="shared" si="66"/>
        <v>-129892</v>
      </c>
      <c r="H3701" s="1167"/>
    </row>
    <row r="3702" spans="1:8" ht="16.5" hidden="1" thickBot="1" x14ac:dyDescent="0.3">
      <c r="A3702" s="116">
        <v>45164</v>
      </c>
      <c r="B3702" s="21" t="s">
        <v>10683</v>
      </c>
      <c r="C3702" s="13" t="s">
        <v>169</v>
      </c>
      <c r="D3702" s="782"/>
      <c r="E3702" s="799"/>
      <c r="F3702" s="802">
        <v>7300</v>
      </c>
      <c r="G3702" s="800">
        <f t="shared" si="66"/>
        <v>-7300</v>
      </c>
      <c r="H3702" s="1168"/>
    </row>
    <row r="3703" spans="1:8" hidden="1" x14ac:dyDescent="0.25">
      <c r="A3703" s="116">
        <v>45164</v>
      </c>
      <c r="B3703" s="21" t="s">
        <v>10683</v>
      </c>
      <c r="C3703" s="13" t="s">
        <v>169</v>
      </c>
      <c r="D3703" s="782"/>
      <c r="E3703" s="22"/>
      <c r="F3703" s="114">
        <v>280</v>
      </c>
      <c r="G3703" s="14">
        <f t="shared" si="66"/>
        <v>-280</v>
      </c>
      <c r="H3703" s="13" t="s">
        <v>5019</v>
      </c>
    </row>
    <row r="3704" spans="1:8" hidden="1" x14ac:dyDescent="0.25">
      <c r="A3704" s="116">
        <v>45164</v>
      </c>
      <c r="B3704" s="21" t="s">
        <v>10077</v>
      </c>
      <c r="C3704" s="13" t="s">
        <v>1816</v>
      </c>
      <c r="D3704" s="782"/>
      <c r="E3704" s="799"/>
      <c r="F3704" s="801">
        <v>73080</v>
      </c>
      <c r="G3704" s="800">
        <f t="shared" si="66"/>
        <v>-73080</v>
      </c>
      <c r="H3704" s="1163" t="s">
        <v>10990</v>
      </c>
    </row>
    <row r="3705" spans="1:8" hidden="1" x14ac:dyDescent="0.25">
      <c r="A3705" s="116">
        <v>45164</v>
      </c>
      <c r="B3705" s="21" t="s">
        <v>10406</v>
      </c>
      <c r="C3705" s="13" t="s">
        <v>1816</v>
      </c>
      <c r="D3705" s="782"/>
      <c r="E3705" s="799"/>
      <c r="F3705" s="148">
        <v>4870</v>
      </c>
      <c r="G3705" s="800">
        <f t="shared" si="66"/>
        <v>-4870</v>
      </c>
      <c r="H3705" s="1164"/>
    </row>
    <row r="3706" spans="1:8" ht="16.5" hidden="1" thickBot="1" x14ac:dyDescent="0.3">
      <c r="A3706" s="116">
        <v>45164</v>
      </c>
      <c r="B3706" s="21" t="s">
        <v>11023</v>
      </c>
      <c r="C3706" s="13" t="s">
        <v>1816</v>
      </c>
      <c r="D3706" s="782"/>
      <c r="E3706" s="971"/>
      <c r="F3706" s="802">
        <v>75050</v>
      </c>
      <c r="G3706" s="998">
        <f t="shared" si="66"/>
        <v>-75050</v>
      </c>
      <c r="H3706" s="1165"/>
    </row>
    <row r="3707" spans="1:8" ht="21" hidden="1" x14ac:dyDescent="0.25">
      <c r="A3707" s="116">
        <v>45164</v>
      </c>
      <c r="B3707" s="21" t="s">
        <v>10683</v>
      </c>
      <c r="C3707" s="13" t="s">
        <v>169</v>
      </c>
      <c r="D3707" s="782" t="s">
        <v>11061</v>
      </c>
      <c r="E3707" s="971">
        <v>178080</v>
      </c>
      <c r="F3707" s="19"/>
      <c r="G3707" s="998">
        <f t="shared" si="66"/>
        <v>178080</v>
      </c>
      <c r="H3707" s="1065"/>
    </row>
    <row r="3708" spans="1:8" ht="21" hidden="1" x14ac:dyDescent="0.25">
      <c r="A3708" s="116">
        <v>45164</v>
      </c>
      <c r="B3708" s="21" t="s">
        <v>9463</v>
      </c>
      <c r="C3708" s="13" t="s">
        <v>169</v>
      </c>
      <c r="D3708" s="782" t="s">
        <v>9439</v>
      </c>
      <c r="E3708" s="971">
        <v>73333</v>
      </c>
      <c r="F3708" s="19"/>
      <c r="G3708" s="998">
        <f t="shared" si="66"/>
        <v>73333</v>
      </c>
      <c r="H3708" s="1065"/>
    </row>
    <row r="3709" spans="1:8" ht="17.25" hidden="1" customHeight="1" x14ac:dyDescent="0.25">
      <c r="A3709" s="116">
        <v>45166</v>
      </c>
      <c r="B3709" s="21" t="s">
        <v>10490</v>
      </c>
      <c r="C3709" s="13" t="s">
        <v>8483</v>
      </c>
      <c r="D3709" s="782" t="s">
        <v>11047</v>
      </c>
      <c r="E3709" s="799">
        <v>37567</v>
      </c>
      <c r="F3709" s="19"/>
      <c r="G3709" s="800">
        <f t="shared" si="66"/>
        <v>37567</v>
      </c>
      <c r="H3709" s="1065"/>
    </row>
    <row r="3710" spans="1:8" ht="17.25" hidden="1" customHeight="1" x14ac:dyDescent="0.25">
      <c r="A3710" s="116">
        <v>45166</v>
      </c>
      <c r="B3710" s="21" t="s">
        <v>9463</v>
      </c>
      <c r="C3710" s="13" t="s">
        <v>8483</v>
      </c>
      <c r="D3710" s="782" t="s">
        <v>11048</v>
      </c>
      <c r="E3710" s="799">
        <v>29368</v>
      </c>
      <c r="F3710" s="19"/>
      <c r="G3710" s="800">
        <f t="shared" si="66"/>
        <v>29368</v>
      </c>
      <c r="H3710" s="1065"/>
    </row>
    <row r="3711" spans="1:8" ht="17.25" hidden="1" customHeight="1" x14ac:dyDescent="0.25">
      <c r="A3711" s="116">
        <v>45166</v>
      </c>
      <c r="B3711" s="21" t="s">
        <v>10342</v>
      </c>
      <c r="C3711" s="13" t="s">
        <v>8483</v>
      </c>
      <c r="D3711" s="782" t="s">
        <v>11049</v>
      </c>
      <c r="E3711" s="22">
        <v>275805</v>
      </c>
      <c r="F3711" s="19"/>
      <c r="G3711" s="14">
        <f t="shared" si="66"/>
        <v>275805</v>
      </c>
      <c r="H3711" s="1065"/>
    </row>
    <row r="3712" spans="1:8" ht="17.25" hidden="1" customHeight="1" x14ac:dyDescent="0.25">
      <c r="A3712" s="116">
        <v>45166</v>
      </c>
      <c r="B3712" s="21" t="s">
        <v>10688</v>
      </c>
      <c r="C3712" s="13" t="s">
        <v>8483</v>
      </c>
      <c r="D3712" s="782" t="s">
        <v>11050</v>
      </c>
      <c r="E3712" s="22">
        <v>1759647</v>
      </c>
      <c r="F3712" s="19"/>
      <c r="G3712" s="14">
        <f t="shared" si="66"/>
        <v>1759647</v>
      </c>
      <c r="H3712" s="1065"/>
    </row>
    <row r="3713" spans="1:8" ht="17.25" hidden="1" customHeight="1" x14ac:dyDescent="0.25">
      <c r="A3713" s="116">
        <v>45166</v>
      </c>
      <c r="B3713" s="21" t="s">
        <v>9516</v>
      </c>
      <c r="C3713" s="13" t="s">
        <v>6556</v>
      </c>
      <c r="D3713" s="782" t="s">
        <v>11055</v>
      </c>
      <c r="E3713" s="290">
        <v>18000</v>
      </c>
      <c r="F3713" s="115"/>
      <c r="G3713" s="977">
        <f t="shared" si="66"/>
        <v>18000</v>
      </c>
      <c r="H3713" s="1065"/>
    </row>
    <row r="3714" spans="1:8" ht="17.25" hidden="1" customHeight="1" x14ac:dyDescent="0.25">
      <c r="A3714" s="116">
        <v>45167</v>
      </c>
      <c r="B3714" s="21" t="s">
        <v>10490</v>
      </c>
      <c r="C3714" s="13" t="s">
        <v>166</v>
      </c>
      <c r="D3714" s="782" t="s">
        <v>11052</v>
      </c>
      <c r="E3714" s="290">
        <v>32000</v>
      </c>
      <c r="F3714" s="115"/>
      <c r="G3714" s="977">
        <f t="shared" si="66"/>
        <v>32000</v>
      </c>
      <c r="H3714" s="1065"/>
    </row>
    <row r="3715" spans="1:8" ht="17.25" hidden="1" customHeight="1" x14ac:dyDescent="0.25">
      <c r="A3715" s="116">
        <v>45167</v>
      </c>
      <c r="B3715" s="21" t="s">
        <v>10582</v>
      </c>
      <c r="C3715" s="13" t="s">
        <v>166</v>
      </c>
      <c r="D3715" s="782" t="s">
        <v>11053</v>
      </c>
      <c r="E3715" s="290">
        <v>76455</v>
      </c>
      <c r="F3715" s="115"/>
      <c r="G3715" s="977">
        <f t="shared" si="66"/>
        <v>76455</v>
      </c>
      <c r="H3715" s="1065"/>
    </row>
    <row r="3716" spans="1:8" ht="17.25" hidden="1" customHeight="1" x14ac:dyDescent="0.25">
      <c r="A3716" s="116">
        <v>45167</v>
      </c>
      <c r="B3716" s="21" t="s">
        <v>10683</v>
      </c>
      <c r="C3716" s="13" t="s">
        <v>169</v>
      </c>
      <c r="D3716" s="782" t="s">
        <v>11062</v>
      </c>
      <c r="E3716" s="290">
        <v>85500</v>
      </c>
      <c r="F3716" s="115"/>
      <c r="G3716" s="977">
        <f t="shared" si="66"/>
        <v>85500</v>
      </c>
      <c r="H3716" s="1065"/>
    </row>
    <row r="3717" spans="1:8" ht="17.25" hidden="1" customHeight="1" x14ac:dyDescent="0.25">
      <c r="A3717" s="116">
        <v>45167</v>
      </c>
      <c r="B3717" s="21" t="s">
        <v>10688</v>
      </c>
      <c r="C3717" s="13" t="s">
        <v>169</v>
      </c>
      <c r="D3717" s="782" t="s">
        <v>11063</v>
      </c>
      <c r="E3717" s="290">
        <v>85500</v>
      </c>
      <c r="F3717" s="115"/>
      <c r="G3717" s="977">
        <f t="shared" si="66"/>
        <v>85500</v>
      </c>
      <c r="H3717" s="1065"/>
    </row>
    <row r="3718" spans="1:8" ht="17.25" customHeight="1" x14ac:dyDescent="0.25">
      <c r="A3718" s="116">
        <v>45168</v>
      </c>
      <c r="B3718" s="21" t="s">
        <v>10342</v>
      </c>
      <c r="C3718" s="13" t="s">
        <v>168</v>
      </c>
      <c r="D3718" s="782" t="s">
        <v>11128</v>
      </c>
      <c r="E3718" s="290">
        <v>529131</v>
      </c>
      <c r="F3718" s="115"/>
      <c r="G3718" s="977">
        <f t="shared" si="66"/>
        <v>529131</v>
      </c>
      <c r="H3718" s="1065"/>
    </row>
    <row r="3719" spans="1:8" hidden="1" x14ac:dyDescent="0.25">
      <c r="A3719" s="116">
        <v>45168</v>
      </c>
      <c r="B3719" s="21" t="s">
        <v>8122</v>
      </c>
      <c r="C3719" s="13" t="s">
        <v>8170</v>
      </c>
      <c r="D3719" s="782"/>
      <c r="E3719" s="290"/>
      <c r="F3719" s="115">
        <v>800000</v>
      </c>
      <c r="G3719" s="977">
        <f t="shared" si="66"/>
        <v>-800000</v>
      </c>
      <c r="H3719" s="13" t="s">
        <v>10833</v>
      </c>
    </row>
    <row r="3720" spans="1:8" hidden="1" x14ac:dyDescent="0.25">
      <c r="A3720" s="116">
        <v>45168</v>
      </c>
      <c r="B3720" s="21" t="s">
        <v>8122</v>
      </c>
      <c r="C3720" s="13" t="s">
        <v>8170</v>
      </c>
      <c r="D3720" s="782"/>
      <c r="E3720" s="22"/>
      <c r="F3720" s="19">
        <v>200000</v>
      </c>
      <c r="G3720" s="14">
        <f t="shared" si="66"/>
        <v>-200000</v>
      </c>
      <c r="H3720" s="13" t="s">
        <v>11031</v>
      </c>
    </row>
    <row r="3721" spans="1:8" hidden="1" x14ac:dyDescent="0.25">
      <c r="A3721" s="116">
        <v>45168</v>
      </c>
      <c r="B3721" s="21" t="s">
        <v>8122</v>
      </c>
      <c r="C3721" s="13" t="s">
        <v>8170</v>
      </c>
      <c r="D3721" s="782"/>
      <c r="E3721" s="22"/>
      <c r="F3721" s="19">
        <v>202000</v>
      </c>
      <c r="G3721" s="14">
        <f t="shared" si="66"/>
        <v>-202000</v>
      </c>
      <c r="H3721" s="13" t="s">
        <v>11032</v>
      </c>
    </row>
    <row r="3722" spans="1:8" hidden="1" x14ac:dyDescent="0.25">
      <c r="A3722" s="116">
        <v>45168</v>
      </c>
      <c r="B3722" s="21" t="s">
        <v>8122</v>
      </c>
      <c r="C3722" s="13" t="s">
        <v>8170</v>
      </c>
      <c r="D3722" s="782"/>
      <c r="E3722" s="22"/>
      <c r="F3722" s="19">
        <v>148000</v>
      </c>
      <c r="G3722" s="14">
        <f t="shared" si="66"/>
        <v>-148000</v>
      </c>
      <c r="H3722" s="13" t="s">
        <v>11033</v>
      </c>
    </row>
    <row r="3723" spans="1:8" hidden="1" x14ac:dyDescent="0.25">
      <c r="A3723" s="116">
        <v>45168</v>
      </c>
      <c r="B3723" s="21" t="s">
        <v>10683</v>
      </c>
      <c r="C3723" s="13" t="s">
        <v>7538</v>
      </c>
      <c r="D3723" s="782" t="s">
        <v>11044</v>
      </c>
      <c r="E3723" s="22">
        <v>32000</v>
      </c>
      <c r="F3723" s="19"/>
      <c r="G3723" s="14">
        <f t="shared" si="66"/>
        <v>32000</v>
      </c>
      <c r="H3723" s="13"/>
    </row>
    <row r="3724" spans="1:8" hidden="1" x14ac:dyDescent="0.25">
      <c r="A3724" s="116">
        <v>45169</v>
      </c>
      <c r="B3724" s="21" t="s">
        <v>9463</v>
      </c>
      <c r="C3724" s="13" t="s">
        <v>7538</v>
      </c>
      <c r="D3724" s="782" t="s">
        <v>11129</v>
      </c>
      <c r="E3724" s="22">
        <v>119294</v>
      </c>
      <c r="F3724" s="19"/>
      <c r="G3724" s="14">
        <f t="shared" si="66"/>
        <v>119294</v>
      </c>
      <c r="H3724" s="13"/>
    </row>
    <row r="3725" spans="1:8" hidden="1" x14ac:dyDescent="0.25">
      <c r="A3725" s="116">
        <v>45169</v>
      </c>
      <c r="B3725" s="21" t="s">
        <v>10688</v>
      </c>
      <c r="C3725" s="13" t="s">
        <v>8483</v>
      </c>
      <c r="D3725" s="782"/>
      <c r="E3725" s="22"/>
      <c r="F3725" s="19">
        <v>657900</v>
      </c>
      <c r="G3725" s="14">
        <f t="shared" si="66"/>
        <v>-657900</v>
      </c>
      <c r="H3725" s="13" t="s">
        <v>10347</v>
      </c>
    </row>
    <row r="3726" spans="1:8" hidden="1" x14ac:dyDescent="0.25">
      <c r="A3726" s="116">
        <v>45169</v>
      </c>
      <c r="B3726" s="21" t="s">
        <v>10582</v>
      </c>
      <c r="C3726" s="13" t="s">
        <v>166</v>
      </c>
      <c r="D3726" s="782" t="s">
        <v>11054</v>
      </c>
      <c r="E3726" s="22">
        <v>25300</v>
      </c>
      <c r="F3726" s="19"/>
      <c r="G3726" s="14">
        <f t="shared" si="66"/>
        <v>25300</v>
      </c>
      <c r="H3726" s="13"/>
    </row>
    <row r="3727" spans="1:8" hidden="1" x14ac:dyDescent="0.25">
      <c r="A3727" s="116">
        <v>45169</v>
      </c>
      <c r="B3727" s="21" t="s">
        <v>10582</v>
      </c>
      <c r="C3727" s="13" t="s">
        <v>164</v>
      </c>
      <c r="D3727" s="782" t="s">
        <v>11060</v>
      </c>
      <c r="E3727" s="22">
        <v>8079</v>
      </c>
      <c r="F3727" s="19"/>
      <c r="G3727" s="14">
        <f t="shared" si="66"/>
        <v>8079</v>
      </c>
      <c r="H3727" s="13"/>
    </row>
    <row r="3728" spans="1:8" hidden="1" x14ac:dyDescent="0.25">
      <c r="A3728" s="116">
        <v>45173</v>
      </c>
      <c r="B3728" s="21" t="s">
        <v>9463</v>
      </c>
      <c r="C3728" s="13" t="s">
        <v>7538</v>
      </c>
      <c r="D3728" s="782" t="s">
        <v>11130</v>
      </c>
      <c r="E3728" s="22">
        <v>119296</v>
      </c>
      <c r="F3728" s="19"/>
      <c r="G3728" s="14">
        <f t="shared" si="66"/>
        <v>119296</v>
      </c>
      <c r="H3728" s="56"/>
    </row>
    <row r="3729" spans="1:8" hidden="1" x14ac:dyDescent="0.25">
      <c r="A3729" s="116">
        <v>45174</v>
      </c>
      <c r="B3729" s="21" t="s">
        <v>10342</v>
      </c>
      <c r="C3729" s="13" t="s">
        <v>164</v>
      </c>
      <c r="D3729" s="782" t="s">
        <v>11163</v>
      </c>
      <c r="E3729" s="22">
        <v>9551</v>
      </c>
      <c r="F3729" s="19"/>
      <c r="G3729" s="14">
        <f t="shared" si="66"/>
        <v>9551</v>
      </c>
      <c r="H3729" s="56"/>
    </row>
    <row r="3730" spans="1:8" hidden="1" x14ac:dyDescent="0.25">
      <c r="A3730" s="116">
        <v>45174</v>
      </c>
      <c r="B3730" s="21" t="s">
        <v>10342</v>
      </c>
      <c r="C3730" s="13" t="s">
        <v>180</v>
      </c>
      <c r="D3730" s="782"/>
      <c r="E3730" s="22"/>
      <c r="F3730" s="19">
        <v>374080</v>
      </c>
      <c r="G3730" s="14">
        <f t="shared" si="66"/>
        <v>-374080</v>
      </c>
      <c r="H3730" s="1146" t="s">
        <v>11121</v>
      </c>
    </row>
    <row r="3731" spans="1:8" hidden="1" x14ac:dyDescent="0.25">
      <c r="A3731" s="116">
        <v>45174</v>
      </c>
      <c r="B3731" s="21" t="s">
        <v>10683</v>
      </c>
      <c r="C3731" s="13" t="s">
        <v>180</v>
      </c>
      <c r="D3731" s="782"/>
      <c r="E3731" s="22"/>
      <c r="F3731" s="19">
        <v>120960</v>
      </c>
      <c r="G3731" s="14">
        <f t="shared" si="66"/>
        <v>-120960</v>
      </c>
      <c r="H3731" s="1147"/>
    </row>
    <row r="3732" spans="1:8" hidden="1" x14ac:dyDescent="0.25">
      <c r="A3732" s="116">
        <v>45174</v>
      </c>
      <c r="B3732" s="21" t="s">
        <v>10490</v>
      </c>
      <c r="C3732" s="13" t="s">
        <v>180</v>
      </c>
      <c r="D3732" s="782"/>
      <c r="E3732" s="22"/>
      <c r="F3732" s="19">
        <v>4960</v>
      </c>
      <c r="G3732" s="14">
        <f t="shared" si="66"/>
        <v>-4960</v>
      </c>
      <c r="H3732" s="1148"/>
    </row>
    <row r="3733" spans="1:8" hidden="1" x14ac:dyDescent="0.25">
      <c r="A3733" s="116">
        <v>45173</v>
      </c>
      <c r="B3733" s="21" t="s">
        <v>11122</v>
      </c>
      <c r="C3733" s="13" t="s">
        <v>166</v>
      </c>
      <c r="D3733" s="782" t="s">
        <v>11152</v>
      </c>
      <c r="E3733" s="22">
        <v>23500</v>
      </c>
      <c r="F3733" s="19"/>
      <c r="G3733" s="14">
        <f t="shared" si="66"/>
        <v>23500</v>
      </c>
      <c r="H3733" s="972" t="s">
        <v>11154</v>
      </c>
    </row>
    <row r="3734" spans="1:8" hidden="1" x14ac:dyDescent="0.25">
      <c r="A3734" s="116">
        <v>45173</v>
      </c>
      <c r="B3734" s="21" t="s">
        <v>9463</v>
      </c>
      <c r="C3734" s="13" t="s">
        <v>169</v>
      </c>
      <c r="D3734" s="782" t="s">
        <v>11155</v>
      </c>
      <c r="E3734" s="22">
        <v>439558</v>
      </c>
      <c r="F3734" s="19"/>
      <c r="G3734" s="14">
        <f t="shared" si="66"/>
        <v>439558</v>
      </c>
      <c r="H3734" s="972"/>
    </row>
    <row r="3735" spans="1:8" x14ac:dyDescent="0.25">
      <c r="A3735" s="116">
        <v>45173</v>
      </c>
      <c r="B3735" s="21" t="s">
        <v>10688</v>
      </c>
      <c r="C3735" s="13" t="s">
        <v>12086</v>
      </c>
      <c r="D3735" s="782"/>
      <c r="E3735" s="22"/>
      <c r="F3735" s="19">
        <v>500000</v>
      </c>
      <c r="G3735" s="14">
        <f t="shared" si="66"/>
        <v>-500000</v>
      </c>
      <c r="H3735" s="972" t="s">
        <v>11111</v>
      </c>
    </row>
    <row r="3736" spans="1:8" x14ac:dyDescent="0.25">
      <c r="A3736" s="116">
        <v>45173</v>
      </c>
      <c r="B3736" s="21" t="s">
        <v>10688</v>
      </c>
      <c r="C3736" s="13" t="s">
        <v>12086</v>
      </c>
      <c r="D3736" s="782"/>
      <c r="E3736" s="22"/>
      <c r="F3736" s="19">
        <v>500000</v>
      </c>
      <c r="G3736" s="14">
        <f t="shared" si="66"/>
        <v>-500000</v>
      </c>
      <c r="H3736" s="972" t="s">
        <v>11112</v>
      </c>
    </row>
    <row r="3737" spans="1:8" hidden="1" x14ac:dyDescent="0.25">
      <c r="A3737" s="116">
        <v>45175</v>
      </c>
      <c r="B3737" s="21" t="s">
        <v>9463</v>
      </c>
      <c r="C3737" s="13" t="s">
        <v>169</v>
      </c>
      <c r="D3737" s="782" t="s">
        <v>11156</v>
      </c>
      <c r="E3737" s="22">
        <v>13278</v>
      </c>
      <c r="F3737" s="19"/>
      <c r="G3737" s="14">
        <f t="shared" si="66"/>
        <v>13278</v>
      </c>
      <c r="H3737" s="972"/>
    </row>
    <row r="3738" spans="1:8" hidden="1" x14ac:dyDescent="0.25">
      <c r="A3738" s="116">
        <v>45175</v>
      </c>
      <c r="B3738" s="21" t="s">
        <v>10096</v>
      </c>
      <c r="C3738" s="13" t="s">
        <v>169</v>
      </c>
      <c r="D3738" s="782" t="s">
        <v>11157</v>
      </c>
      <c r="E3738" s="22">
        <v>189003</v>
      </c>
      <c r="F3738" s="19"/>
      <c r="G3738" s="14">
        <f t="shared" si="66"/>
        <v>189003</v>
      </c>
      <c r="H3738" s="972"/>
    </row>
    <row r="3739" spans="1:8" hidden="1" x14ac:dyDescent="0.25">
      <c r="A3739" s="116">
        <v>45175</v>
      </c>
      <c r="B3739" s="21" t="s">
        <v>10490</v>
      </c>
      <c r="C3739" s="13" t="s">
        <v>166</v>
      </c>
      <c r="D3739" s="782" t="s">
        <v>11153</v>
      </c>
      <c r="E3739" s="22">
        <v>35715</v>
      </c>
      <c r="F3739" s="19"/>
      <c r="G3739" s="14">
        <f t="shared" si="66"/>
        <v>35715</v>
      </c>
      <c r="H3739" s="972"/>
    </row>
    <row r="3740" spans="1:8" hidden="1" x14ac:dyDescent="0.25">
      <c r="A3740" s="116">
        <v>45175</v>
      </c>
      <c r="B3740" s="21" t="s">
        <v>9463</v>
      </c>
      <c r="C3740" s="13" t="s">
        <v>169</v>
      </c>
      <c r="D3740" s="782"/>
      <c r="E3740" s="22"/>
      <c r="F3740" s="19">
        <v>36500</v>
      </c>
      <c r="G3740" s="14">
        <f t="shared" si="66"/>
        <v>-36500</v>
      </c>
      <c r="H3740" s="13" t="s">
        <v>11093</v>
      </c>
    </row>
    <row r="3741" spans="1:8" hidden="1" x14ac:dyDescent="0.25">
      <c r="A3741" s="116">
        <v>45175</v>
      </c>
      <c r="B3741" s="21" t="s">
        <v>10342</v>
      </c>
      <c r="C3741" s="13" t="s">
        <v>8483</v>
      </c>
      <c r="D3741" s="782" t="s">
        <v>11132</v>
      </c>
      <c r="E3741" s="22">
        <v>107536</v>
      </c>
      <c r="F3741" s="19"/>
      <c r="G3741" s="14">
        <f t="shared" si="66"/>
        <v>107536</v>
      </c>
      <c r="H3741" s="13"/>
    </row>
    <row r="3742" spans="1:8" hidden="1" x14ac:dyDescent="0.25">
      <c r="A3742" s="116">
        <v>45175</v>
      </c>
      <c r="B3742" s="21" t="s">
        <v>10490</v>
      </c>
      <c r="C3742" s="13" t="s">
        <v>4853</v>
      </c>
      <c r="D3742" s="782" t="s">
        <v>11159</v>
      </c>
      <c r="E3742" s="22">
        <v>50828</v>
      </c>
      <c r="F3742" s="19"/>
      <c r="G3742" s="14">
        <f t="shared" si="66"/>
        <v>50828</v>
      </c>
      <c r="H3742" s="13"/>
    </row>
    <row r="3743" spans="1:8" x14ac:dyDescent="0.25">
      <c r="A3743" s="116">
        <v>45175</v>
      </c>
      <c r="B3743" s="21" t="s">
        <v>11023</v>
      </c>
      <c r="C3743" s="13" t="s">
        <v>12084</v>
      </c>
      <c r="D3743" s="782"/>
      <c r="E3743" s="22"/>
      <c r="F3743" s="19">
        <v>938219</v>
      </c>
      <c r="G3743" s="14">
        <f t="shared" si="66"/>
        <v>-938219</v>
      </c>
      <c r="H3743" s="13" t="s">
        <v>11349</v>
      </c>
    </row>
    <row r="3744" spans="1:8" x14ac:dyDescent="0.25">
      <c r="A3744" s="116">
        <v>45175</v>
      </c>
      <c r="B3744" s="21" t="s">
        <v>11023</v>
      </c>
      <c r="C3744" s="13" t="s">
        <v>12084</v>
      </c>
      <c r="D3744" s="782" t="s">
        <v>11920</v>
      </c>
      <c r="E3744" s="22">
        <v>808745</v>
      </c>
      <c r="F3744" s="19"/>
      <c r="G3744" s="14">
        <f t="shared" si="66"/>
        <v>808745</v>
      </c>
      <c r="H3744" s="13"/>
    </row>
    <row r="3745" spans="1:10" ht="16.5" hidden="1" customHeight="1" x14ac:dyDescent="0.25">
      <c r="A3745" s="116">
        <v>45178</v>
      </c>
      <c r="B3745" s="21" t="s">
        <v>9463</v>
      </c>
      <c r="C3745" s="13" t="s">
        <v>7538</v>
      </c>
      <c r="D3745" s="782" t="s">
        <v>11131</v>
      </c>
      <c r="E3745" s="22">
        <v>222592</v>
      </c>
      <c r="F3745" s="19"/>
      <c r="G3745" s="14">
        <f t="shared" si="66"/>
        <v>222592</v>
      </c>
      <c r="H3745" s="13"/>
      <c r="J3745" s="134"/>
    </row>
    <row r="3746" spans="1:10" hidden="1" x14ac:dyDescent="0.25">
      <c r="A3746" s="116">
        <v>45178</v>
      </c>
      <c r="B3746" s="21" t="s">
        <v>10688</v>
      </c>
      <c r="C3746" s="13" t="s">
        <v>8483</v>
      </c>
      <c r="D3746" s="782"/>
      <c r="E3746" s="22"/>
      <c r="F3746" s="19">
        <v>1000000</v>
      </c>
      <c r="G3746" s="14">
        <f t="shared" si="66"/>
        <v>-1000000</v>
      </c>
      <c r="H3746" s="13" t="s">
        <v>11134</v>
      </c>
    </row>
    <row r="3747" spans="1:10" hidden="1" x14ac:dyDescent="0.25">
      <c r="A3747" s="116">
        <v>45178</v>
      </c>
      <c r="B3747" s="21" t="s">
        <v>10096</v>
      </c>
      <c r="C3747" s="13" t="s">
        <v>164</v>
      </c>
      <c r="D3747" s="782" t="s">
        <v>11164</v>
      </c>
      <c r="E3747" s="22">
        <v>6010</v>
      </c>
      <c r="F3747" s="19"/>
      <c r="G3747" s="14">
        <f t="shared" si="66"/>
        <v>6010</v>
      </c>
      <c r="H3747" s="13"/>
    </row>
    <row r="3748" spans="1:10" hidden="1" x14ac:dyDescent="0.25">
      <c r="A3748" s="116">
        <v>45178</v>
      </c>
      <c r="B3748" s="21" t="s">
        <v>10688</v>
      </c>
      <c r="C3748" s="13" t="s">
        <v>7538</v>
      </c>
      <c r="D3748" s="782" t="s">
        <v>11191</v>
      </c>
      <c r="E3748" s="22">
        <v>804137</v>
      </c>
      <c r="F3748" s="19"/>
      <c r="G3748" s="14">
        <f t="shared" si="66"/>
        <v>804137</v>
      </c>
      <c r="H3748" s="13"/>
    </row>
    <row r="3749" spans="1:10" hidden="1" x14ac:dyDescent="0.25">
      <c r="A3749" s="116">
        <v>45180</v>
      </c>
      <c r="B3749" s="21" t="s">
        <v>9463</v>
      </c>
      <c r="C3749" s="13" t="s">
        <v>7538</v>
      </c>
      <c r="D3749" s="782" t="s">
        <v>11192</v>
      </c>
      <c r="E3749" s="22">
        <v>119296</v>
      </c>
      <c r="F3749" s="19"/>
      <c r="G3749" s="14">
        <f t="shared" si="66"/>
        <v>119296</v>
      </c>
      <c r="H3749" s="13"/>
    </row>
    <row r="3750" spans="1:10" hidden="1" x14ac:dyDescent="0.25">
      <c r="A3750" s="116">
        <v>45180</v>
      </c>
      <c r="B3750" s="21" t="s">
        <v>10688</v>
      </c>
      <c r="C3750" s="13" t="s">
        <v>7538</v>
      </c>
      <c r="D3750" s="782" t="s">
        <v>11195</v>
      </c>
      <c r="E3750" s="22">
        <v>891939</v>
      </c>
      <c r="F3750" s="19"/>
      <c r="G3750" s="14">
        <f t="shared" si="66"/>
        <v>891939</v>
      </c>
      <c r="H3750" s="13"/>
    </row>
    <row r="3751" spans="1:10" hidden="1" x14ac:dyDescent="0.25">
      <c r="A3751" s="116">
        <v>45180</v>
      </c>
      <c r="B3751" s="21" t="s">
        <v>11193</v>
      </c>
      <c r="C3751" s="13" t="s">
        <v>7538</v>
      </c>
      <c r="D3751" s="782" t="s">
        <v>11194</v>
      </c>
      <c r="E3751" s="22">
        <v>235504</v>
      </c>
      <c r="F3751" s="19"/>
      <c r="G3751" s="14">
        <f t="shared" si="66"/>
        <v>235504</v>
      </c>
      <c r="H3751" s="13"/>
    </row>
    <row r="3752" spans="1:10" hidden="1" x14ac:dyDescent="0.25">
      <c r="A3752" s="116">
        <v>45180</v>
      </c>
      <c r="B3752" s="21" t="s">
        <v>10490</v>
      </c>
      <c r="C3752" s="13" t="s">
        <v>4853</v>
      </c>
      <c r="D3752" s="782" t="s">
        <v>11158</v>
      </c>
      <c r="E3752" s="22">
        <v>18336</v>
      </c>
      <c r="F3752" s="19"/>
      <c r="G3752" s="14">
        <f t="shared" si="66"/>
        <v>18336</v>
      </c>
      <c r="H3752" s="13"/>
    </row>
    <row r="3753" spans="1:10" hidden="1" x14ac:dyDescent="0.25">
      <c r="A3753" s="116">
        <v>45180</v>
      </c>
      <c r="B3753" s="21" t="s">
        <v>10490</v>
      </c>
      <c r="C3753" s="13" t="s">
        <v>166</v>
      </c>
      <c r="D3753" s="782" t="s">
        <v>11241</v>
      </c>
      <c r="E3753" s="22">
        <v>14940</v>
      </c>
      <c r="F3753" s="19"/>
      <c r="G3753" s="14">
        <f t="shared" si="66"/>
        <v>14940</v>
      </c>
      <c r="H3753" s="13"/>
    </row>
    <row r="3754" spans="1:10" x14ac:dyDescent="0.25">
      <c r="A3754" s="116">
        <v>45181</v>
      </c>
      <c r="B3754" s="21" t="s">
        <v>10688</v>
      </c>
      <c r="C3754" s="13" t="s">
        <v>168</v>
      </c>
      <c r="D3754" s="782" t="s">
        <v>11240</v>
      </c>
      <c r="E3754" s="22">
        <v>38500</v>
      </c>
      <c r="F3754" s="19"/>
      <c r="G3754" s="14">
        <f t="shared" si="66"/>
        <v>38500</v>
      </c>
      <c r="H3754" s="13"/>
    </row>
    <row r="3755" spans="1:10" hidden="1" x14ac:dyDescent="0.25">
      <c r="A3755" s="116">
        <v>45182</v>
      </c>
      <c r="B3755" s="21" t="s">
        <v>9516</v>
      </c>
      <c r="C3755" s="13" t="s">
        <v>6556</v>
      </c>
      <c r="D3755" s="782"/>
      <c r="E3755" s="22"/>
      <c r="F3755" s="19">
        <v>17000</v>
      </c>
      <c r="G3755" s="14">
        <f t="shared" si="66"/>
        <v>-17000</v>
      </c>
      <c r="H3755" s="13" t="s">
        <v>8278</v>
      </c>
    </row>
    <row r="3756" spans="1:10" hidden="1" x14ac:dyDescent="0.25">
      <c r="A3756" s="116">
        <v>45182</v>
      </c>
      <c r="B3756" s="21" t="s">
        <v>9516</v>
      </c>
      <c r="C3756" s="13" t="s">
        <v>6556</v>
      </c>
      <c r="D3756" s="782"/>
      <c r="E3756" s="22"/>
      <c r="F3756" s="19">
        <v>1000</v>
      </c>
      <c r="G3756" s="14">
        <f t="shared" si="66"/>
        <v>-1000</v>
      </c>
      <c r="H3756" s="13" t="s">
        <v>11228</v>
      </c>
    </row>
    <row r="3757" spans="1:10" x14ac:dyDescent="0.25">
      <c r="A3757" s="116">
        <v>45182</v>
      </c>
      <c r="B3757" s="21" t="s">
        <v>10688</v>
      </c>
      <c r="C3757" s="13" t="s">
        <v>168</v>
      </c>
      <c r="D3757" s="782" t="s">
        <v>11345</v>
      </c>
      <c r="E3757" s="22">
        <v>1600</v>
      </c>
      <c r="F3757" s="19"/>
      <c r="G3757" s="14">
        <f t="shared" si="66"/>
        <v>1600</v>
      </c>
      <c r="H3757" s="13"/>
    </row>
    <row r="3758" spans="1:10" x14ac:dyDescent="0.25">
      <c r="A3758" s="116">
        <v>45182</v>
      </c>
      <c r="B3758" s="21" t="s">
        <v>10688</v>
      </c>
      <c r="C3758" s="13" t="s">
        <v>168</v>
      </c>
      <c r="D3758" s="782" t="s">
        <v>11346</v>
      </c>
      <c r="E3758" s="22">
        <v>15000</v>
      </c>
      <c r="F3758" s="19"/>
      <c r="G3758" s="14">
        <f t="shared" si="66"/>
        <v>15000</v>
      </c>
      <c r="H3758" s="13"/>
    </row>
    <row r="3759" spans="1:10" hidden="1" x14ac:dyDescent="0.25">
      <c r="A3759" s="116">
        <v>45183</v>
      </c>
      <c r="B3759" s="21" t="s">
        <v>9463</v>
      </c>
      <c r="C3759" s="13" t="s">
        <v>164</v>
      </c>
      <c r="D3759" s="782" t="s">
        <v>11060</v>
      </c>
      <c r="E3759" s="22">
        <v>20807</v>
      </c>
      <c r="F3759" s="19"/>
      <c r="G3759" s="14">
        <f t="shared" si="66"/>
        <v>20807</v>
      </c>
      <c r="H3759" s="13"/>
    </row>
    <row r="3760" spans="1:10" hidden="1" x14ac:dyDescent="0.25">
      <c r="A3760" s="116">
        <v>45184</v>
      </c>
      <c r="B3760" s="21" t="s">
        <v>9463</v>
      </c>
      <c r="C3760" s="13" t="s">
        <v>7538</v>
      </c>
      <c r="D3760" s="782" t="s">
        <v>11324</v>
      </c>
      <c r="E3760" s="22">
        <v>103296</v>
      </c>
      <c r="F3760" s="19"/>
      <c r="G3760" s="14">
        <f t="shared" si="66"/>
        <v>103296</v>
      </c>
      <c r="H3760" s="13"/>
    </row>
    <row r="3761" spans="1:8" hidden="1" x14ac:dyDescent="0.25">
      <c r="A3761" s="116">
        <v>45184</v>
      </c>
      <c r="B3761" s="21" t="s">
        <v>10688</v>
      </c>
      <c r="C3761" s="13" t="s">
        <v>7538</v>
      </c>
      <c r="D3761" s="782" t="s">
        <v>11325</v>
      </c>
      <c r="E3761" s="22">
        <v>804137</v>
      </c>
      <c r="F3761" s="19"/>
      <c r="G3761" s="14">
        <f t="shared" si="66"/>
        <v>804137</v>
      </c>
      <c r="H3761" s="13"/>
    </row>
    <row r="3762" spans="1:8" hidden="1" x14ac:dyDescent="0.25">
      <c r="A3762" s="116">
        <v>45185</v>
      </c>
      <c r="B3762" s="21" t="s">
        <v>10342</v>
      </c>
      <c r="C3762" s="13" t="s">
        <v>8483</v>
      </c>
      <c r="D3762" s="782" t="s">
        <v>11280</v>
      </c>
      <c r="E3762" s="22">
        <v>772607</v>
      </c>
      <c r="F3762" s="19"/>
      <c r="G3762" s="14">
        <f t="shared" si="66"/>
        <v>772607</v>
      </c>
      <c r="H3762" s="13"/>
    </row>
    <row r="3763" spans="1:8" hidden="1" x14ac:dyDescent="0.25">
      <c r="A3763" s="116">
        <v>45185</v>
      </c>
      <c r="B3763" s="21" t="s">
        <v>9463</v>
      </c>
      <c r="C3763" s="13" t="s">
        <v>8483</v>
      </c>
      <c r="D3763" s="782" t="s">
        <v>11281</v>
      </c>
      <c r="E3763" s="22">
        <v>86838</v>
      </c>
      <c r="F3763" s="19"/>
      <c r="G3763" s="14">
        <f t="shared" si="66"/>
        <v>86838</v>
      </c>
      <c r="H3763" s="13"/>
    </row>
    <row r="3764" spans="1:8" hidden="1" x14ac:dyDescent="0.25">
      <c r="A3764" s="116">
        <v>45187</v>
      </c>
      <c r="B3764" s="21" t="s">
        <v>11319</v>
      </c>
      <c r="C3764" s="13" t="s">
        <v>166</v>
      </c>
      <c r="D3764" s="793" t="s">
        <v>11320</v>
      </c>
      <c r="E3764" s="22">
        <v>30250</v>
      </c>
      <c r="F3764" s="19"/>
      <c r="G3764" s="14">
        <f t="shared" si="66"/>
        <v>30250</v>
      </c>
      <c r="H3764" s="13"/>
    </row>
    <row r="3765" spans="1:8" hidden="1" x14ac:dyDescent="0.25">
      <c r="A3765" s="116">
        <v>45187</v>
      </c>
      <c r="B3765" s="21" t="s">
        <v>10688</v>
      </c>
      <c r="C3765" s="13" t="s">
        <v>7538</v>
      </c>
      <c r="D3765" s="793" t="s">
        <v>11326</v>
      </c>
      <c r="E3765" s="22">
        <v>1011740</v>
      </c>
      <c r="F3765" s="19"/>
      <c r="G3765" s="14">
        <f t="shared" si="66"/>
        <v>1011740</v>
      </c>
      <c r="H3765" s="13"/>
    </row>
    <row r="3766" spans="1:8" x14ac:dyDescent="0.25">
      <c r="A3766" s="116">
        <v>45187</v>
      </c>
      <c r="B3766" s="21" t="s">
        <v>11023</v>
      </c>
      <c r="C3766" s="13" t="s">
        <v>168</v>
      </c>
      <c r="D3766" s="793" t="s">
        <v>11347</v>
      </c>
      <c r="E3766" s="22">
        <v>34690</v>
      </c>
      <c r="F3766" s="19"/>
      <c r="G3766" s="14">
        <f t="shared" si="66"/>
        <v>34690</v>
      </c>
      <c r="H3766" s="13"/>
    </row>
    <row r="3767" spans="1:8" x14ac:dyDescent="0.25">
      <c r="A3767" s="116">
        <v>45187</v>
      </c>
      <c r="B3767" s="21" t="s">
        <v>11023</v>
      </c>
      <c r="C3767" s="13" t="s">
        <v>168</v>
      </c>
      <c r="D3767" s="793" t="s">
        <v>11348</v>
      </c>
      <c r="E3767" s="22">
        <v>49170</v>
      </c>
      <c r="F3767" s="19"/>
      <c r="G3767" s="14">
        <f t="shared" si="66"/>
        <v>49170</v>
      </c>
      <c r="H3767" s="13"/>
    </row>
    <row r="3768" spans="1:8" hidden="1" x14ac:dyDescent="0.25">
      <c r="A3768" s="116">
        <v>45190</v>
      </c>
      <c r="B3768" s="21" t="s">
        <v>10490</v>
      </c>
      <c r="C3768" s="13" t="s">
        <v>8483</v>
      </c>
      <c r="D3768" s="1143" t="s">
        <v>11282</v>
      </c>
      <c r="E3768" s="22">
        <v>35941</v>
      </c>
      <c r="F3768" s="19"/>
      <c r="G3768" s="14">
        <f t="shared" si="66"/>
        <v>35941</v>
      </c>
      <c r="H3768" s="13"/>
    </row>
    <row r="3769" spans="1:8" hidden="1" x14ac:dyDescent="0.25">
      <c r="A3769" s="116">
        <v>45190</v>
      </c>
      <c r="B3769" s="21" t="s">
        <v>11193</v>
      </c>
      <c r="C3769" s="13" t="s">
        <v>8483</v>
      </c>
      <c r="D3769" s="1144"/>
      <c r="E3769" s="22">
        <v>158865</v>
      </c>
      <c r="F3769" s="19"/>
      <c r="G3769" s="14">
        <f t="shared" si="66"/>
        <v>158865</v>
      </c>
      <c r="H3769" s="13"/>
    </row>
    <row r="3770" spans="1:8" hidden="1" x14ac:dyDescent="0.25">
      <c r="A3770" s="116">
        <v>45190</v>
      </c>
      <c r="B3770" s="21" t="s">
        <v>10688</v>
      </c>
      <c r="C3770" s="13" t="s">
        <v>8483</v>
      </c>
      <c r="D3770" s="782" t="s">
        <v>11283</v>
      </c>
      <c r="E3770" s="22">
        <v>909670</v>
      </c>
      <c r="F3770" s="19"/>
      <c r="G3770" s="14">
        <f t="shared" si="66"/>
        <v>909670</v>
      </c>
      <c r="H3770" s="13"/>
    </row>
    <row r="3771" spans="1:8" hidden="1" x14ac:dyDescent="0.25">
      <c r="A3771" s="116">
        <v>45190</v>
      </c>
      <c r="B3771" s="21" t="s">
        <v>9463</v>
      </c>
      <c r="C3771" s="13" t="s">
        <v>8483</v>
      </c>
      <c r="D3771" s="1143" t="s">
        <v>11284</v>
      </c>
      <c r="E3771" s="22">
        <v>3870</v>
      </c>
      <c r="F3771" s="19"/>
      <c r="G3771" s="14">
        <f t="shared" si="66"/>
        <v>3870</v>
      </c>
      <c r="H3771" s="13"/>
    </row>
    <row r="3772" spans="1:8" hidden="1" x14ac:dyDescent="0.25">
      <c r="A3772" s="116">
        <v>45190</v>
      </c>
      <c r="B3772" s="21" t="s">
        <v>11193</v>
      </c>
      <c r="C3772" s="13" t="s">
        <v>8483</v>
      </c>
      <c r="D3772" s="1144"/>
      <c r="E3772" s="22">
        <v>44691</v>
      </c>
      <c r="F3772" s="19"/>
      <c r="G3772" s="14">
        <f t="shared" si="66"/>
        <v>44691</v>
      </c>
      <c r="H3772" s="13"/>
    </row>
    <row r="3773" spans="1:8" hidden="1" x14ac:dyDescent="0.25">
      <c r="A3773" s="116">
        <v>45190</v>
      </c>
      <c r="B3773" s="21" t="s">
        <v>11023</v>
      </c>
      <c r="C3773" s="13" t="s">
        <v>8033</v>
      </c>
      <c r="D3773" s="782"/>
      <c r="E3773" s="22">
        <v>1375000</v>
      </c>
      <c r="F3773" s="19"/>
      <c r="G3773" s="14">
        <f t="shared" si="66"/>
        <v>1375000</v>
      </c>
      <c r="H3773" s="13" t="s">
        <v>11260</v>
      </c>
    </row>
    <row r="3774" spans="1:8" hidden="1" x14ac:dyDescent="0.25">
      <c r="A3774" s="116">
        <v>45190</v>
      </c>
      <c r="B3774" s="21" t="s">
        <v>10683</v>
      </c>
      <c r="C3774" s="13" t="s">
        <v>7309</v>
      </c>
      <c r="D3774" s="782"/>
      <c r="E3774" s="22"/>
      <c r="F3774" s="19">
        <v>996000</v>
      </c>
      <c r="G3774" s="14">
        <f t="shared" si="66"/>
        <v>-996000</v>
      </c>
      <c r="H3774" s="13" t="s">
        <v>11264</v>
      </c>
    </row>
    <row r="3775" spans="1:8" hidden="1" x14ac:dyDescent="0.25">
      <c r="A3775" s="116">
        <v>45190</v>
      </c>
      <c r="B3775" s="21" t="s">
        <v>9463</v>
      </c>
      <c r="C3775" s="13" t="s">
        <v>7538</v>
      </c>
      <c r="D3775" s="782" t="s">
        <v>11328</v>
      </c>
      <c r="E3775" s="22">
        <v>113296</v>
      </c>
      <c r="F3775" s="113"/>
      <c r="G3775" s="14">
        <f t="shared" si="66"/>
        <v>113296</v>
      </c>
      <c r="H3775" s="13"/>
    </row>
    <row r="3776" spans="1:8" x14ac:dyDescent="0.25">
      <c r="A3776" s="116">
        <v>45190</v>
      </c>
      <c r="B3776" s="21" t="s">
        <v>9940</v>
      </c>
      <c r="C3776" s="13" t="s">
        <v>12083</v>
      </c>
      <c r="D3776" s="782" t="s">
        <v>11932</v>
      </c>
      <c r="E3776" s="22">
        <v>1554800</v>
      </c>
      <c r="F3776" s="113"/>
      <c r="G3776" s="14">
        <f t="shared" si="66"/>
        <v>1554800</v>
      </c>
      <c r="H3776" s="13"/>
    </row>
    <row r="3777" spans="1:8" hidden="1" x14ac:dyDescent="0.25">
      <c r="A3777" s="116">
        <v>45190</v>
      </c>
      <c r="B3777" s="31"/>
      <c r="C3777" s="13" t="s">
        <v>7309</v>
      </c>
      <c r="D3777" s="782"/>
      <c r="E3777" s="22">
        <v>13918</v>
      </c>
      <c r="F3777" s="113"/>
      <c r="G3777" s="14">
        <f t="shared" si="66"/>
        <v>13918</v>
      </c>
      <c r="H3777" s="13" t="s">
        <v>11265</v>
      </c>
    </row>
    <row r="3778" spans="1:8" hidden="1" x14ac:dyDescent="0.25">
      <c r="A3778" s="116">
        <v>45191</v>
      </c>
      <c r="B3778" s="21" t="s">
        <v>9463</v>
      </c>
      <c r="C3778" s="13" t="s">
        <v>7538</v>
      </c>
      <c r="D3778" s="782" t="s">
        <v>11329</v>
      </c>
      <c r="E3778" s="22">
        <v>16000</v>
      </c>
      <c r="F3778" s="113"/>
      <c r="G3778" s="1070">
        <f t="shared" si="66"/>
        <v>16000</v>
      </c>
      <c r="H3778" s="56"/>
    </row>
    <row r="3779" spans="1:8" hidden="1" x14ac:dyDescent="0.25">
      <c r="A3779" s="116">
        <v>45191</v>
      </c>
      <c r="B3779" s="21" t="s">
        <v>10342</v>
      </c>
      <c r="C3779" s="13" t="s">
        <v>7538</v>
      </c>
      <c r="D3779" s="782" t="s">
        <v>11327</v>
      </c>
      <c r="E3779" s="22">
        <v>684336</v>
      </c>
      <c r="F3779" s="113"/>
      <c r="G3779" s="1070">
        <f t="shared" si="66"/>
        <v>684336</v>
      </c>
      <c r="H3779" s="56"/>
    </row>
    <row r="3780" spans="1:8" hidden="1" x14ac:dyDescent="0.25">
      <c r="A3780" s="116">
        <v>45191</v>
      </c>
      <c r="B3780" s="21" t="s">
        <v>10261</v>
      </c>
      <c r="C3780" s="13" t="s">
        <v>7538</v>
      </c>
      <c r="D3780" s="782" t="s">
        <v>11332</v>
      </c>
      <c r="E3780" s="799">
        <v>43900</v>
      </c>
      <c r="F3780" s="220"/>
      <c r="G3780" s="1070">
        <f t="shared" si="66"/>
        <v>43900</v>
      </c>
      <c r="H3780" s="56"/>
    </row>
    <row r="3781" spans="1:8" hidden="1" x14ac:dyDescent="0.25">
      <c r="A3781" s="116">
        <v>45191</v>
      </c>
      <c r="B3781" s="21" t="s">
        <v>9463</v>
      </c>
      <c r="C3781" s="13" t="s">
        <v>7538</v>
      </c>
      <c r="D3781" s="782" t="s">
        <v>11331</v>
      </c>
      <c r="E3781" s="799">
        <v>67648</v>
      </c>
      <c r="F3781" s="220"/>
      <c r="G3781" s="1070">
        <f>E3781-F3781</f>
        <v>67648</v>
      </c>
      <c r="H3781" s="56"/>
    </row>
    <row r="3782" spans="1:8" hidden="1" x14ac:dyDescent="0.25">
      <c r="A3782" s="116">
        <v>45191</v>
      </c>
      <c r="B3782" s="21" t="s">
        <v>10688</v>
      </c>
      <c r="C3782" s="13" t="s">
        <v>7538</v>
      </c>
      <c r="D3782" s="782" t="s">
        <v>11330</v>
      </c>
      <c r="E3782" s="799">
        <v>804137</v>
      </c>
      <c r="F3782" s="220"/>
      <c r="G3782" s="1070">
        <f t="shared" si="66"/>
        <v>804137</v>
      </c>
      <c r="H3782" s="56"/>
    </row>
    <row r="3783" spans="1:8" hidden="1" x14ac:dyDescent="0.25">
      <c r="A3783" s="116">
        <v>45192</v>
      </c>
      <c r="B3783" s="21" t="s">
        <v>10342</v>
      </c>
      <c r="C3783" s="13" t="s">
        <v>164</v>
      </c>
      <c r="D3783" s="782" t="s">
        <v>11612</v>
      </c>
      <c r="E3783" s="799">
        <v>5649</v>
      </c>
      <c r="F3783" s="220"/>
      <c r="G3783" s="1070">
        <f t="shared" si="66"/>
        <v>5649</v>
      </c>
      <c r="H3783" s="56"/>
    </row>
    <row r="3784" spans="1:8" x14ac:dyDescent="0.25">
      <c r="A3784" s="116">
        <v>45192</v>
      </c>
      <c r="B3784" s="21" t="s">
        <v>9940</v>
      </c>
      <c r="C3784" s="13" t="s">
        <v>12083</v>
      </c>
      <c r="D3784" s="782" t="s">
        <v>11933</v>
      </c>
      <c r="E3784" s="799">
        <v>90200</v>
      </c>
      <c r="F3784" s="220"/>
      <c r="G3784" s="1070">
        <f t="shared" si="66"/>
        <v>90200</v>
      </c>
      <c r="H3784" s="56"/>
    </row>
    <row r="3785" spans="1:8" hidden="1" x14ac:dyDescent="0.25">
      <c r="A3785" s="116">
        <v>45194</v>
      </c>
      <c r="B3785" s="21" t="s">
        <v>11625</v>
      </c>
      <c r="C3785" s="13" t="s">
        <v>7309</v>
      </c>
      <c r="D3785" s="782" t="s">
        <v>9355</v>
      </c>
      <c r="E3785" s="799">
        <v>173680</v>
      </c>
      <c r="F3785" s="220"/>
      <c r="G3785" s="1070">
        <f t="shared" si="66"/>
        <v>173680</v>
      </c>
      <c r="H3785" s="56"/>
    </row>
    <row r="3786" spans="1:8" hidden="1" x14ac:dyDescent="0.25">
      <c r="A3786" s="116">
        <v>45194</v>
      </c>
      <c r="B3786" s="21" t="s">
        <v>10683</v>
      </c>
      <c r="C3786" s="13" t="s">
        <v>7309</v>
      </c>
      <c r="D3786" s="782" t="s">
        <v>9601</v>
      </c>
      <c r="E3786" s="799">
        <v>719270</v>
      </c>
      <c r="F3786" s="220"/>
      <c r="G3786" s="1070">
        <f t="shared" si="66"/>
        <v>719270</v>
      </c>
      <c r="H3786" s="56"/>
    </row>
    <row r="3787" spans="1:8" hidden="1" x14ac:dyDescent="0.25">
      <c r="A3787" s="116">
        <v>45194</v>
      </c>
      <c r="B3787" s="21" t="s">
        <v>11122</v>
      </c>
      <c r="C3787" s="13" t="s">
        <v>166</v>
      </c>
      <c r="D3787" s="782" t="s">
        <v>11918</v>
      </c>
      <c r="E3787" s="799">
        <v>11750</v>
      </c>
      <c r="F3787" s="220"/>
      <c r="G3787" s="1070">
        <f t="shared" si="66"/>
        <v>11750</v>
      </c>
      <c r="H3787" s="56"/>
    </row>
    <row r="3788" spans="1:8" hidden="1" x14ac:dyDescent="0.25">
      <c r="A3788" s="116">
        <v>45196</v>
      </c>
      <c r="B3788" s="21" t="s">
        <v>10342</v>
      </c>
      <c r="C3788" s="13" t="s">
        <v>164</v>
      </c>
      <c r="D3788" s="782" t="s">
        <v>11613</v>
      </c>
      <c r="E3788" s="799">
        <v>12678</v>
      </c>
      <c r="F3788" s="220"/>
      <c r="G3788" s="1070">
        <f t="shared" si="66"/>
        <v>12678</v>
      </c>
      <c r="H3788" s="56"/>
    </row>
    <row r="3789" spans="1:8" hidden="1" x14ac:dyDescent="0.25">
      <c r="A3789" s="116">
        <v>45188</v>
      </c>
      <c r="B3789" s="21" t="s">
        <v>9516</v>
      </c>
      <c r="C3789" s="13" t="s">
        <v>164</v>
      </c>
      <c r="D3789" s="782"/>
      <c r="E3789" s="799"/>
      <c r="F3789" s="801">
        <v>4370</v>
      </c>
      <c r="G3789" s="800">
        <f t="shared" si="66"/>
        <v>-4370</v>
      </c>
      <c r="H3789" s="1140" t="s">
        <v>11292</v>
      </c>
    </row>
    <row r="3790" spans="1:8" hidden="1" x14ac:dyDescent="0.25">
      <c r="A3790" s="116">
        <v>45188</v>
      </c>
      <c r="B3790" s="21" t="s">
        <v>10077</v>
      </c>
      <c r="C3790" s="13" t="s">
        <v>164</v>
      </c>
      <c r="D3790" s="782"/>
      <c r="E3790" s="799"/>
      <c r="F3790" s="148">
        <v>1260</v>
      </c>
      <c r="G3790" s="800">
        <f t="shared" ref="G3790:G3893" si="68">E3790-F3790</f>
        <v>-1260</v>
      </c>
      <c r="H3790" s="1141"/>
    </row>
    <row r="3791" spans="1:8" hidden="1" x14ac:dyDescent="0.25">
      <c r="A3791" s="116">
        <v>45188</v>
      </c>
      <c r="B3791" s="21" t="s">
        <v>10096</v>
      </c>
      <c r="C3791" s="13" t="s">
        <v>164</v>
      </c>
      <c r="D3791" s="782"/>
      <c r="E3791" s="799"/>
      <c r="F3791" s="148">
        <v>9626</v>
      </c>
      <c r="G3791" s="800">
        <f t="shared" si="68"/>
        <v>-9626</v>
      </c>
      <c r="H3791" s="1141"/>
    </row>
    <row r="3792" spans="1:8" hidden="1" x14ac:dyDescent="0.25">
      <c r="A3792" s="116">
        <v>45188</v>
      </c>
      <c r="B3792" s="21" t="s">
        <v>10261</v>
      </c>
      <c r="C3792" s="13" t="s">
        <v>164</v>
      </c>
      <c r="D3792" s="782"/>
      <c r="E3792" s="799"/>
      <c r="F3792" s="148">
        <v>6023</v>
      </c>
      <c r="G3792" s="800">
        <f t="shared" si="68"/>
        <v>-6023</v>
      </c>
      <c r="H3792" s="1141"/>
    </row>
    <row r="3793" spans="1:8" hidden="1" x14ac:dyDescent="0.25">
      <c r="A3793" s="116">
        <v>45188</v>
      </c>
      <c r="B3793" s="21" t="s">
        <v>10406</v>
      </c>
      <c r="C3793" s="13" t="s">
        <v>164</v>
      </c>
      <c r="D3793" s="782"/>
      <c r="E3793" s="799"/>
      <c r="F3793" s="148">
        <v>6055</v>
      </c>
      <c r="G3793" s="800">
        <f t="shared" si="68"/>
        <v>-6055</v>
      </c>
      <c r="H3793" s="1141"/>
    </row>
    <row r="3794" spans="1:8" hidden="1" x14ac:dyDescent="0.25">
      <c r="A3794" s="116">
        <v>45188</v>
      </c>
      <c r="B3794" s="21" t="s">
        <v>10582</v>
      </c>
      <c r="C3794" s="13" t="s">
        <v>164</v>
      </c>
      <c r="D3794" s="782"/>
      <c r="E3794" s="799"/>
      <c r="F3794" s="148">
        <v>60002</v>
      </c>
      <c r="G3794" s="800">
        <f t="shared" si="68"/>
        <v>-60002</v>
      </c>
      <c r="H3794" s="1141"/>
    </row>
    <row r="3795" spans="1:8" hidden="1" x14ac:dyDescent="0.25">
      <c r="A3795" s="116">
        <v>45188</v>
      </c>
      <c r="B3795" s="21" t="s">
        <v>10342</v>
      </c>
      <c r="C3795" s="13" t="s">
        <v>164</v>
      </c>
      <c r="D3795" s="782"/>
      <c r="E3795" s="799"/>
      <c r="F3795" s="148">
        <v>9551</v>
      </c>
      <c r="G3795" s="800">
        <f t="shared" si="68"/>
        <v>-9551</v>
      </c>
      <c r="H3795" s="1141"/>
    </row>
    <row r="3796" spans="1:8" hidden="1" x14ac:dyDescent="0.25">
      <c r="A3796" s="116">
        <v>45188</v>
      </c>
      <c r="B3796" s="21" t="s">
        <v>9463</v>
      </c>
      <c r="C3796" s="13" t="s">
        <v>164</v>
      </c>
      <c r="D3796" s="782"/>
      <c r="E3796" s="799"/>
      <c r="F3796" s="148">
        <v>20807</v>
      </c>
      <c r="G3796" s="800">
        <f t="shared" si="68"/>
        <v>-20807</v>
      </c>
      <c r="H3796" s="1141"/>
    </row>
    <row r="3797" spans="1:8" ht="16.5" hidden="1" thickBot="1" x14ac:dyDescent="0.3">
      <c r="A3797" s="116">
        <v>45188</v>
      </c>
      <c r="B3797" s="21" t="s">
        <v>10490</v>
      </c>
      <c r="C3797" s="13" t="s">
        <v>164</v>
      </c>
      <c r="D3797" s="782"/>
      <c r="E3797" s="799"/>
      <c r="F3797" s="802">
        <v>14924</v>
      </c>
      <c r="G3797" s="800">
        <f t="shared" si="68"/>
        <v>-14924</v>
      </c>
      <c r="H3797" s="1142"/>
    </row>
    <row r="3798" spans="1:8" hidden="1" x14ac:dyDescent="0.25">
      <c r="A3798" s="116">
        <v>45188</v>
      </c>
      <c r="B3798" s="21" t="s">
        <v>6565</v>
      </c>
      <c r="C3798" s="13" t="s">
        <v>4853</v>
      </c>
      <c r="D3798" s="782"/>
      <c r="E3798" s="22"/>
      <c r="F3798" s="115">
        <v>28855</v>
      </c>
      <c r="G3798" s="800">
        <f t="shared" si="68"/>
        <v>-28855</v>
      </c>
      <c r="H3798" s="1146" t="s">
        <v>11269</v>
      </c>
    </row>
    <row r="3799" spans="1:8" hidden="1" x14ac:dyDescent="0.25">
      <c r="A3799" s="116">
        <v>45188</v>
      </c>
      <c r="B3799" s="21" t="s">
        <v>9516</v>
      </c>
      <c r="C3799" s="13" t="s">
        <v>4853</v>
      </c>
      <c r="D3799" s="782"/>
      <c r="E3799" s="22"/>
      <c r="F3799" s="19">
        <v>4250</v>
      </c>
      <c r="G3799" s="800">
        <f t="shared" si="68"/>
        <v>-4250</v>
      </c>
      <c r="H3799" s="1147"/>
    </row>
    <row r="3800" spans="1:8" hidden="1" x14ac:dyDescent="0.25">
      <c r="A3800" s="116">
        <v>45188</v>
      </c>
      <c r="B3800" s="21" t="s">
        <v>10582</v>
      </c>
      <c r="C3800" s="13" t="s">
        <v>4853</v>
      </c>
      <c r="D3800" s="782"/>
      <c r="E3800" s="22"/>
      <c r="F3800" s="19">
        <v>2880</v>
      </c>
      <c r="G3800" s="800">
        <f t="shared" si="68"/>
        <v>-2880</v>
      </c>
      <c r="H3800" s="1147"/>
    </row>
    <row r="3801" spans="1:8" hidden="1" x14ac:dyDescent="0.25">
      <c r="A3801" s="116">
        <v>45188</v>
      </c>
      <c r="B3801" s="21" t="s">
        <v>10490</v>
      </c>
      <c r="C3801" s="13" t="s">
        <v>4853</v>
      </c>
      <c r="D3801" s="782"/>
      <c r="E3801" s="22"/>
      <c r="F3801" s="19">
        <v>69164</v>
      </c>
      <c r="G3801" s="800">
        <f t="shared" si="68"/>
        <v>-69164</v>
      </c>
      <c r="H3801" s="1148"/>
    </row>
    <row r="3802" spans="1:8" hidden="1" x14ac:dyDescent="0.25">
      <c r="A3802" s="116">
        <v>45188</v>
      </c>
      <c r="B3802" s="21" t="s">
        <v>9463</v>
      </c>
      <c r="C3802" s="13" t="s">
        <v>169</v>
      </c>
      <c r="D3802" s="782" t="s">
        <v>11322</v>
      </c>
      <c r="E3802" s="22">
        <v>44544</v>
      </c>
      <c r="F3802" s="113"/>
      <c r="G3802" s="800">
        <f t="shared" si="68"/>
        <v>44544</v>
      </c>
      <c r="H3802" s="972"/>
    </row>
    <row r="3803" spans="1:8" hidden="1" x14ac:dyDescent="0.25">
      <c r="A3803" s="116">
        <v>45191</v>
      </c>
      <c r="B3803" s="21" t="s">
        <v>10688</v>
      </c>
      <c r="C3803" s="13" t="s">
        <v>180</v>
      </c>
      <c r="D3803" s="782"/>
      <c r="E3803" s="22"/>
      <c r="F3803" s="113">
        <v>1000000</v>
      </c>
      <c r="G3803" s="14">
        <f t="shared" si="68"/>
        <v>-1000000</v>
      </c>
      <c r="H3803" s="13" t="s">
        <v>11279</v>
      </c>
    </row>
    <row r="3804" spans="1:8" hidden="1" x14ac:dyDescent="0.25">
      <c r="A3804" s="116">
        <v>45190</v>
      </c>
      <c r="B3804" s="21" t="s">
        <v>10096</v>
      </c>
      <c r="C3804" s="13" t="s">
        <v>169</v>
      </c>
      <c r="D3804" s="782"/>
      <c r="E3804" s="799"/>
      <c r="F3804" s="801">
        <v>100000</v>
      </c>
      <c r="G3804" s="800">
        <f t="shared" si="68"/>
        <v>-100000</v>
      </c>
      <c r="H3804" s="1146" t="s">
        <v>11291</v>
      </c>
    </row>
    <row r="3805" spans="1:8" hidden="1" x14ac:dyDescent="0.25">
      <c r="A3805" s="116">
        <v>45190</v>
      </c>
      <c r="B3805" s="21" t="s">
        <v>10683</v>
      </c>
      <c r="C3805" s="13" t="s">
        <v>169</v>
      </c>
      <c r="D3805" s="782"/>
      <c r="E3805" s="799"/>
      <c r="F3805" s="148">
        <v>100000</v>
      </c>
      <c r="G3805" s="800">
        <f t="shared" si="68"/>
        <v>-100000</v>
      </c>
      <c r="H3805" s="1147"/>
    </row>
    <row r="3806" spans="1:8" ht="16.5" hidden="1" thickBot="1" x14ac:dyDescent="0.3">
      <c r="A3806" s="116">
        <v>45190</v>
      </c>
      <c r="B3806" s="21" t="s">
        <v>9463</v>
      </c>
      <c r="C3806" s="13" t="s">
        <v>169</v>
      </c>
      <c r="D3806" s="782"/>
      <c r="E3806" s="799"/>
      <c r="F3806" s="802">
        <v>300000</v>
      </c>
      <c r="G3806" s="800">
        <f t="shared" si="68"/>
        <v>-300000</v>
      </c>
      <c r="H3806" s="1148"/>
    </row>
    <row r="3807" spans="1:8" hidden="1" x14ac:dyDescent="0.25">
      <c r="A3807" s="116">
        <v>45190</v>
      </c>
      <c r="B3807" s="21" t="s">
        <v>10342</v>
      </c>
      <c r="C3807" s="13" t="s">
        <v>8483</v>
      </c>
      <c r="D3807" s="782"/>
      <c r="E3807" s="22"/>
      <c r="F3807" s="115">
        <v>500000</v>
      </c>
      <c r="G3807" s="800">
        <f t="shared" si="68"/>
        <v>-500000</v>
      </c>
      <c r="H3807" s="13" t="s">
        <v>11287</v>
      </c>
    </row>
    <row r="3808" spans="1:8" hidden="1" x14ac:dyDescent="0.25">
      <c r="A3808" s="116">
        <v>45192</v>
      </c>
      <c r="B3808" s="21" t="s">
        <v>9463</v>
      </c>
      <c r="C3808" s="13" t="s">
        <v>7538</v>
      </c>
      <c r="D3808" s="782" t="s">
        <v>11372</v>
      </c>
      <c r="E3808" s="22">
        <v>16000</v>
      </c>
      <c r="F3808" s="115"/>
      <c r="G3808" s="800">
        <f t="shared" si="68"/>
        <v>16000</v>
      </c>
      <c r="H3808" s="13"/>
    </row>
    <row r="3809" spans="1:8" hidden="1" x14ac:dyDescent="0.25">
      <c r="A3809" s="116">
        <v>45194</v>
      </c>
      <c r="B3809" s="21" t="s">
        <v>10342</v>
      </c>
      <c r="C3809" s="13" t="s">
        <v>180</v>
      </c>
      <c r="D3809" s="782" t="s">
        <v>11321</v>
      </c>
      <c r="E3809" s="22">
        <v>18060</v>
      </c>
      <c r="F3809" s="115"/>
      <c r="G3809" s="800">
        <f t="shared" si="68"/>
        <v>18060</v>
      </c>
      <c r="H3809" s="13"/>
    </row>
    <row r="3810" spans="1:8" hidden="1" x14ac:dyDescent="0.25">
      <c r="A3810" s="116">
        <v>45194</v>
      </c>
      <c r="B3810" s="21" t="s">
        <v>10077</v>
      </c>
      <c r="C3810" s="13" t="s">
        <v>169</v>
      </c>
      <c r="D3810" s="782" t="s">
        <v>11323</v>
      </c>
      <c r="E3810" s="22">
        <v>15350</v>
      </c>
      <c r="F3810" s="115"/>
      <c r="G3810" s="800">
        <f t="shared" si="68"/>
        <v>15350</v>
      </c>
      <c r="H3810" s="13"/>
    </row>
    <row r="3811" spans="1:8" hidden="1" x14ac:dyDescent="0.25">
      <c r="A3811" s="116">
        <v>45194</v>
      </c>
      <c r="B3811" s="21" t="s">
        <v>11023</v>
      </c>
      <c r="C3811" s="13" t="s">
        <v>7309</v>
      </c>
      <c r="D3811" s="782" t="s">
        <v>8185</v>
      </c>
      <c r="E3811" s="22">
        <v>292565</v>
      </c>
      <c r="F3811" s="114"/>
      <c r="G3811" s="800">
        <f t="shared" si="68"/>
        <v>292565</v>
      </c>
      <c r="H3811" s="13"/>
    </row>
    <row r="3812" spans="1:8" hidden="1" x14ac:dyDescent="0.25">
      <c r="A3812" s="116">
        <v>45194</v>
      </c>
      <c r="B3812" s="21" t="s">
        <v>10342</v>
      </c>
      <c r="C3812" s="13" t="s">
        <v>11444</v>
      </c>
      <c r="D3812" s="782"/>
      <c r="E3812" s="22"/>
      <c r="F3812" s="114">
        <v>1000000</v>
      </c>
      <c r="G3812" s="800">
        <f t="shared" si="68"/>
        <v>-1000000</v>
      </c>
      <c r="H3812" s="13" t="s">
        <v>11445</v>
      </c>
    </row>
    <row r="3813" spans="1:8" hidden="1" x14ac:dyDescent="0.25">
      <c r="A3813" s="116">
        <v>45194</v>
      </c>
      <c r="B3813" s="21" t="s">
        <v>10683</v>
      </c>
      <c r="C3813" s="13" t="s">
        <v>7538</v>
      </c>
      <c r="D3813" s="782"/>
      <c r="E3813" s="22"/>
      <c r="F3813" s="114">
        <v>500000</v>
      </c>
      <c r="G3813" s="800">
        <f t="shared" si="68"/>
        <v>-500000</v>
      </c>
      <c r="H3813" s="13" t="s">
        <v>11293</v>
      </c>
    </row>
    <row r="3814" spans="1:8" hidden="1" x14ac:dyDescent="0.25">
      <c r="A3814" s="116">
        <v>45195</v>
      </c>
      <c r="B3814" s="21" t="s">
        <v>10261</v>
      </c>
      <c r="C3814" s="13" t="s">
        <v>8483</v>
      </c>
      <c r="D3814" s="782"/>
      <c r="E3814" s="799"/>
      <c r="F3814" s="801">
        <v>158496</v>
      </c>
      <c r="G3814" s="800">
        <f t="shared" si="68"/>
        <v>-158496</v>
      </c>
      <c r="H3814" s="1146" t="s">
        <v>11344</v>
      </c>
    </row>
    <row r="3815" spans="1:8" hidden="1" x14ac:dyDescent="0.25">
      <c r="A3815" s="116">
        <v>45195</v>
      </c>
      <c r="B3815" s="21" t="s">
        <v>10683</v>
      </c>
      <c r="C3815" s="13" t="s">
        <v>8483</v>
      </c>
      <c r="D3815" s="782"/>
      <c r="E3815" s="799"/>
      <c r="F3815" s="158">
        <v>11574</v>
      </c>
      <c r="G3815" s="800">
        <f t="shared" si="68"/>
        <v>-11574</v>
      </c>
      <c r="H3815" s="1147"/>
    </row>
    <row r="3816" spans="1:8" hidden="1" x14ac:dyDescent="0.25">
      <c r="A3816" s="116">
        <v>45195</v>
      </c>
      <c r="B3816" s="21" t="s">
        <v>9463</v>
      </c>
      <c r="C3816" s="13" t="s">
        <v>8483</v>
      </c>
      <c r="D3816" s="782"/>
      <c r="E3816" s="799"/>
      <c r="F3816" s="158">
        <v>120076</v>
      </c>
      <c r="G3816" s="800">
        <f t="shared" si="68"/>
        <v>-120076</v>
      </c>
      <c r="H3816" s="1147"/>
    </row>
    <row r="3817" spans="1:8" hidden="1" x14ac:dyDescent="0.25">
      <c r="A3817" s="116">
        <v>45195</v>
      </c>
      <c r="B3817" s="21" t="s">
        <v>10490</v>
      </c>
      <c r="C3817" s="13" t="s">
        <v>8483</v>
      </c>
      <c r="D3817" s="782"/>
      <c r="E3817" s="799"/>
      <c r="F3817" s="158">
        <v>209438</v>
      </c>
      <c r="G3817" s="800">
        <f t="shared" si="68"/>
        <v>-209438</v>
      </c>
      <c r="H3817" s="1147"/>
    </row>
    <row r="3818" spans="1:8" hidden="1" x14ac:dyDescent="0.25">
      <c r="A3818" s="116">
        <v>45195</v>
      </c>
      <c r="B3818" s="21" t="s">
        <v>11193</v>
      </c>
      <c r="C3818" s="13" t="s">
        <v>8483</v>
      </c>
      <c r="D3818" s="782"/>
      <c r="E3818" s="799"/>
      <c r="F3818" s="158">
        <v>203556</v>
      </c>
      <c r="G3818" s="800">
        <f t="shared" si="68"/>
        <v>-203556</v>
      </c>
      <c r="H3818" s="1147"/>
    </row>
    <row r="3819" spans="1:8" ht="16.5" hidden="1" customHeight="1" thickBot="1" x14ac:dyDescent="0.3">
      <c r="A3819" s="116">
        <v>45195</v>
      </c>
      <c r="B3819" s="21" t="s">
        <v>10688</v>
      </c>
      <c r="C3819" s="13" t="s">
        <v>8483</v>
      </c>
      <c r="D3819" s="782"/>
      <c r="E3819" s="799"/>
      <c r="F3819" s="304">
        <v>296860</v>
      </c>
      <c r="G3819" s="800">
        <f t="shared" si="68"/>
        <v>-296860</v>
      </c>
      <c r="H3819" s="1148"/>
    </row>
    <row r="3820" spans="1:8" hidden="1" x14ac:dyDescent="0.25">
      <c r="A3820" s="116">
        <v>45195</v>
      </c>
      <c r="B3820" s="21" t="s">
        <v>10683</v>
      </c>
      <c r="C3820" s="13" t="s">
        <v>7538</v>
      </c>
      <c r="D3820" s="782"/>
      <c r="E3820" s="799"/>
      <c r="F3820" s="801">
        <v>586928</v>
      </c>
      <c r="G3820" s="800">
        <f t="shared" si="68"/>
        <v>-586928</v>
      </c>
      <c r="H3820" s="1132" t="s">
        <v>11333</v>
      </c>
    </row>
    <row r="3821" spans="1:8" hidden="1" x14ac:dyDescent="0.25">
      <c r="A3821" s="116">
        <v>45195</v>
      </c>
      <c r="B3821" s="21" t="s">
        <v>9769</v>
      </c>
      <c r="C3821" s="13" t="s">
        <v>7538</v>
      </c>
      <c r="D3821" s="782"/>
      <c r="E3821" s="799"/>
      <c r="F3821" s="148">
        <v>130436</v>
      </c>
      <c r="G3821" s="800">
        <f t="shared" si="68"/>
        <v>-130436</v>
      </c>
      <c r="H3821" s="1172"/>
    </row>
    <row r="3822" spans="1:8" ht="16.5" hidden="1" thickBot="1" x14ac:dyDescent="0.3">
      <c r="A3822" s="116">
        <v>45195</v>
      </c>
      <c r="B3822" s="21" t="s">
        <v>10406</v>
      </c>
      <c r="C3822" s="13" t="s">
        <v>7538</v>
      </c>
      <c r="D3822" s="782"/>
      <c r="E3822" s="799"/>
      <c r="F3822" s="802">
        <v>82636</v>
      </c>
      <c r="G3822" s="800">
        <f t="shared" si="68"/>
        <v>-82636</v>
      </c>
      <c r="H3822" s="1133"/>
    </row>
    <row r="3823" spans="1:8" hidden="1" x14ac:dyDescent="0.25">
      <c r="A3823" s="116">
        <v>45195</v>
      </c>
      <c r="B3823" s="21" t="s">
        <v>10342</v>
      </c>
      <c r="C3823" s="13" t="s">
        <v>7538</v>
      </c>
      <c r="D3823" s="782" t="s">
        <v>11373</v>
      </c>
      <c r="E3823" s="799">
        <v>716336</v>
      </c>
      <c r="F3823" s="220"/>
      <c r="G3823" s="800">
        <f t="shared" si="68"/>
        <v>716336</v>
      </c>
      <c r="H3823" s="351"/>
    </row>
    <row r="3824" spans="1:8" hidden="1" x14ac:dyDescent="0.25">
      <c r="A3824" s="116">
        <v>45197</v>
      </c>
      <c r="B3824" s="21" t="s">
        <v>11193</v>
      </c>
      <c r="C3824" s="13" t="s">
        <v>7538</v>
      </c>
      <c r="D3824" s="782" t="s">
        <v>11374</v>
      </c>
      <c r="E3824" s="799">
        <v>147702</v>
      </c>
      <c r="F3824" s="220"/>
      <c r="G3824" s="800">
        <f t="shared" si="68"/>
        <v>147702</v>
      </c>
      <c r="H3824" s="351"/>
    </row>
    <row r="3825" spans="1:8" hidden="1" x14ac:dyDescent="0.25">
      <c r="A3825" s="116">
        <v>45195</v>
      </c>
      <c r="B3825" s="21" t="s">
        <v>10683</v>
      </c>
      <c r="C3825" s="13" t="s">
        <v>7538</v>
      </c>
      <c r="D3825" s="782"/>
      <c r="E3825" s="799"/>
      <c r="F3825" s="801">
        <v>32460</v>
      </c>
      <c r="G3825" s="800">
        <f t="shared" si="68"/>
        <v>-32460</v>
      </c>
      <c r="H3825" s="1146" t="s">
        <v>11291</v>
      </c>
    </row>
    <row r="3826" spans="1:8" hidden="1" x14ac:dyDescent="0.25">
      <c r="A3826" s="116">
        <v>45195</v>
      </c>
      <c r="B3826" s="21" t="s">
        <v>10261</v>
      </c>
      <c r="C3826" s="13" t="s">
        <v>7538</v>
      </c>
      <c r="D3826" s="782"/>
      <c r="E3826" s="799"/>
      <c r="F3826" s="158">
        <v>228360</v>
      </c>
      <c r="G3826" s="800">
        <f t="shared" si="68"/>
        <v>-228360</v>
      </c>
      <c r="H3826" s="1147"/>
    </row>
    <row r="3827" spans="1:8" hidden="1" x14ac:dyDescent="0.25">
      <c r="A3827" s="116">
        <v>45195</v>
      </c>
      <c r="B3827" s="21" t="s">
        <v>10096</v>
      </c>
      <c r="C3827" s="13" t="s">
        <v>7538</v>
      </c>
      <c r="D3827" s="782"/>
      <c r="E3827" s="799"/>
      <c r="F3827" s="158">
        <v>35755</v>
      </c>
      <c r="G3827" s="800">
        <f t="shared" si="68"/>
        <v>-35755</v>
      </c>
      <c r="H3827" s="1147"/>
    </row>
    <row r="3828" spans="1:8" ht="16.5" hidden="1" thickBot="1" x14ac:dyDescent="0.3">
      <c r="A3828" s="116">
        <v>45195</v>
      </c>
      <c r="B3828" s="21" t="s">
        <v>11193</v>
      </c>
      <c r="C3828" s="13" t="s">
        <v>7538</v>
      </c>
      <c r="D3828" s="782"/>
      <c r="E3828" s="799"/>
      <c r="F3828" s="304">
        <f>500000-F3827-F3826-F3825</f>
        <v>203425</v>
      </c>
      <c r="G3828" s="800">
        <f t="shared" si="68"/>
        <v>-203425</v>
      </c>
      <c r="H3828" s="1148"/>
    </row>
    <row r="3829" spans="1:8" hidden="1" x14ac:dyDescent="0.25">
      <c r="A3829" s="116">
        <v>45197</v>
      </c>
      <c r="B3829" s="21" t="s">
        <v>10688</v>
      </c>
      <c r="C3829" s="13" t="s">
        <v>8483</v>
      </c>
      <c r="D3829" s="782" t="s">
        <v>11378</v>
      </c>
      <c r="E3829" s="799">
        <v>198542</v>
      </c>
      <c r="F3829" s="220"/>
      <c r="G3829" s="800">
        <f t="shared" si="68"/>
        <v>198542</v>
      </c>
      <c r="H3829" s="972"/>
    </row>
    <row r="3830" spans="1:8" ht="21" hidden="1" x14ac:dyDescent="0.25">
      <c r="A3830" s="116">
        <v>45197</v>
      </c>
      <c r="B3830" s="21" t="s">
        <v>11193</v>
      </c>
      <c r="C3830" s="13" t="s">
        <v>7538</v>
      </c>
      <c r="D3830" s="782"/>
      <c r="E3830" s="799"/>
      <c r="F3830" s="220">
        <v>50000</v>
      </c>
      <c r="G3830" s="800">
        <f t="shared" si="68"/>
        <v>-50000</v>
      </c>
      <c r="H3830" s="1071" t="s">
        <v>11384</v>
      </c>
    </row>
    <row r="3831" spans="1:8" hidden="1" x14ac:dyDescent="0.25">
      <c r="A3831" s="116">
        <v>45197</v>
      </c>
      <c r="B3831" s="21" t="s">
        <v>10688</v>
      </c>
      <c r="C3831" s="13" t="s">
        <v>8483</v>
      </c>
      <c r="D3831" s="782" t="s">
        <v>11379</v>
      </c>
      <c r="E3831" s="799">
        <v>43188</v>
      </c>
      <c r="F3831" s="220"/>
      <c r="G3831" s="800">
        <f t="shared" si="68"/>
        <v>43188</v>
      </c>
      <c r="H3831" s="972"/>
    </row>
    <row r="3832" spans="1:8" hidden="1" x14ac:dyDescent="0.25">
      <c r="A3832" s="116">
        <v>45197</v>
      </c>
      <c r="B3832" s="21" t="s">
        <v>11193</v>
      </c>
      <c r="C3832" s="13" t="s">
        <v>8483</v>
      </c>
      <c r="D3832" s="782" t="s">
        <v>11380</v>
      </c>
      <c r="E3832" s="799">
        <v>137198</v>
      </c>
      <c r="F3832" s="220"/>
      <c r="G3832" s="800">
        <f t="shared" si="68"/>
        <v>137198</v>
      </c>
      <c r="H3832" s="972"/>
    </row>
    <row r="3833" spans="1:8" hidden="1" x14ac:dyDescent="0.25">
      <c r="A3833" s="116">
        <v>45197</v>
      </c>
      <c r="B3833" s="21" t="s">
        <v>9463</v>
      </c>
      <c r="C3833" s="13" t="s">
        <v>8483</v>
      </c>
      <c r="D3833" s="782" t="s">
        <v>11381</v>
      </c>
      <c r="E3833" s="799">
        <v>3763</v>
      </c>
      <c r="F3833" s="220"/>
      <c r="G3833" s="800">
        <f t="shared" si="68"/>
        <v>3763</v>
      </c>
      <c r="H3833" s="972"/>
    </row>
    <row r="3834" spans="1:8" ht="16.5" thickBot="1" x14ac:dyDescent="0.3">
      <c r="A3834" s="116">
        <v>45199</v>
      </c>
      <c r="B3834" s="21" t="s">
        <v>10688</v>
      </c>
      <c r="C3834" s="13" t="s">
        <v>168</v>
      </c>
      <c r="D3834" s="782" t="s">
        <v>11382</v>
      </c>
      <c r="E3834" s="799">
        <v>3780</v>
      </c>
      <c r="F3834" s="220"/>
      <c r="G3834" s="800">
        <f t="shared" si="68"/>
        <v>3780</v>
      </c>
      <c r="H3834" s="972"/>
    </row>
    <row r="3835" spans="1:8" ht="16.5" hidden="1" thickBot="1" x14ac:dyDescent="0.3">
      <c r="A3835" s="116">
        <v>45201</v>
      </c>
      <c r="B3835" s="21" t="s">
        <v>10096</v>
      </c>
      <c r="C3835" s="13" t="s">
        <v>169</v>
      </c>
      <c r="D3835" s="782"/>
      <c r="E3835" s="799">
        <v>13532</v>
      </c>
      <c r="F3835" s="220"/>
      <c r="G3835" s="800">
        <f t="shared" si="68"/>
        <v>13532</v>
      </c>
      <c r="H3835" s="972"/>
    </row>
    <row r="3836" spans="1:8" ht="16.5" hidden="1" thickBot="1" x14ac:dyDescent="0.3">
      <c r="A3836" s="116">
        <v>45202</v>
      </c>
      <c r="B3836" s="21" t="s">
        <v>10261</v>
      </c>
      <c r="C3836" s="13" t="s">
        <v>8483</v>
      </c>
      <c r="D3836" s="782" t="s">
        <v>11466</v>
      </c>
      <c r="E3836" s="799">
        <v>75140</v>
      </c>
      <c r="F3836" s="220"/>
      <c r="G3836" s="800">
        <f t="shared" si="68"/>
        <v>75140</v>
      </c>
      <c r="H3836" s="972"/>
    </row>
    <row r="3837" spans="1:8" ht="16.5" hidden="1" thickBot="1" x14ac:dyDescent="0.3">
      <c r="A3837" s="116">
        <v>45202</v>
      </c>
      <c r="B3837" s="21" t="s">
        <v>10688</v>
      </c>
      <c r="C3837" s="13" t="s">
        <v>7538</v>
      </c>
      <c r="D3837" s="782" t="s">
        <v>11375</v>
      </c>
      <c r="E3837" s="22">
        <v>64000</v>
      </c>
      <c r="F3837" s="115"/>
      <c r="G3837" s="800">
        <f t="shared" si="68"/>
        <v>64000</v>
      </c>
      <c r="H3837" s="13"/>
    </row>
    <row r="3838" spans="1:8" ht="16.5" hidden="1" thickBot="1" x14ac:dyDescent="0.3">
      <c r="A3838" s="116">
        <v>45202</v>
      </c>
      <c r="B3838" s="21" t="s">
        <v>10342</v>
      </c>
      <c r="C3838" s="13" t="s">
        <v>7538</v>
      </c>
      <c r="D3838" s="782" t="s">
        <v>11376</v>
      </c>
      <c r="E3838" s="22">
        <v>683270</v>
      </c>
      <c r="F3838" s="114"/>
      <c r="G3838" s="800">
        <f t="shared" si="68"/>
        <v>683270</v>
      </c>
      <c r="H3838" s="13"/>
    </row>
    <row r="3839" spans="1:8" x14ac:dyDescent="0.25">
      <c r="A3839" s="116">
        <v>45202</v>
      </c>
      <c r="B3839" s="21" t="s">
        <v>8653</v>
      </c>
      <c r="C3839" s="13" t="s">
        <v>168</v>
      </c>
      <c r="D3839" s="782"/>
      <c r="E3839" s="799"/>
      <c r="F3839" s="801">
        <v>83200</v>
      </c>
      <c r="G3839" s="800">
        <f t="shared" si="68"/>
        <v>-83200</v>
      </c>
      <c r="H3839" s="1146" t="s">
        <v>11291</v>
      </c>
    </row>
    <row r="3840" spans="1:8" x14ac:dyDescent="0.25">
      <c r="A3840" s="116">
        <v>45202</v>
      </c>
      <c r="B3840" s="21" t="s">
        <v>8974</v>
      </c>
      <c r="C3840" s="13" t="s">
        <v>168</v>
      </c>
      <c r="D3840" s="782"/>
      <c r="E3840" s="799"/>
      <c r="F3840" s="158">
        <v>227720</v>
      </c>
      <c r="G3840" s="800">
        <f t="shared" si="68"/>
        <v>-227720</v>
      </c>
      <c r="H3840" s="1147"/>
    </row>
    <row r="3841" spans="1:8" x14ac:dyDescent="0.25">
      <c r="A3841" s="116">
        <v>45202</v>
      </c>
      <c r="B3841" s="21" t="s">
        <v>9615</v>
      </c>
      <c r="C3841" s="13" t="s">
        <v>168</v>
      </c>
      <c r="D3841" s="782"/>
      <c r="E3841" s="799"/>
      <c r="F3841" s="158">
        <v>9820</v>
      </c>
      <c r="G3841" s="800">
        <f t="shared" si="68"/>
        <v>-9820</v>
      </c>
      <c r="H3841" s="1147"/>
    </row>
    <row r="3842" spans="1:8" ht="16.5" thickBot="1" x14ac:dyDescent="0.3">
      <c r="A3842" s="116">
        <v>45202</v>
      </c>
      <c r="B3842" s="21" t="s">
        <v>10406</v>
      </c>
      <c r="C3842" s="13" t="s">
        <v>168</v>
      </c>
      <c r="D3842" s="782"/>
      <c r="E3842" s="799"/>
      <c r="F3842" s="304">
        <v>179260</v>
      </c>
      <c r="G3842" s="800">
        <f t="shared" si="68"/>
        <v>-179260</v>
      </c>
      <c r="H3842" s="1148"/>
    </row>
    <row r="3843" spans="1:8" hidden="1" x14ac:dyDescent="0.25">
      <c r="A3843" s="116">
        <v>45202</v>
      </c>
      <c r="B3843" s="21" t="s">
        <v>9463</v>
      </c>
      <c r="C3843" s="13" t="s">
        <v>7538</v>
      </c>
      <c r="D3843" s="782"/>
      <c r="E3843" s="22"/>
      <c r="F3843" s="115">
        <v>200000</v>
      </c>
      <c r="G3843" s="14">
        <f t="shared" si="68"/>
        <v>-200000</v>
      </c>
      <c r="H3843" s="13" t="s">
        <v>11293</v>
      </c>
    </row>
    <row r="3844" spans="1:8" hidden="1" x14ac:dyDescent="0.25">
      <c r="A3844" s="116">
        <v>45203</v>
      </c>
      <c r="B3844" s="21" t="s">
        <v>10688</v>
      </c>
      <c r="C3844" s="13" t="s">
        <v>180</v>
      </c>
      <c r="D3844" s="782"/>
      <c r="E3844" s="22"/>
      <c r="F3844" s="19">
        <v>500000</v>
      </c>
      <c r="G3844" s="14">
        <f t="shared" si="68"/>
        <v>-500000</v>
      </c>
      <c r="H3844" s="13" t="s">
        <v>11293</v>
      </c>
    </row>
    <row r="3845" spans="1:8" hidden="1" x14ac:dyDescent="0.25">
      <c r="A3845" s="116">
        <v>45204</v>
      </c>
      <c r="B3845" s="21" t="s">
        <v>10096</v>
      </c>
      <c r="C3845" s="13" t="s">
        <v>169</v>
      </c>
      <c r="D3845" s="782" t="s">
        <v>11480</v>
      </c>
      <c r="E3845" s="22">
        <v>149219</v>
      </c>
      <c r="F3845" s="19"/>
      <c r="G3845" s="14">
        <f t="shared" si="68"/>
        <v>149219</v>
      </c>
      <c r="H3845" s="13"/>
    </row>
    <row r="3846" spans="1:8" hidden="1" x14ac:dyDescent="0.25">
      <c r="A3846" s="116">
        <v>45205</v>
      </c>
      <c r="B3846" s="21" t="s">
        <v>10342</v>
      </c>
      <c r="C3846" s="13" t="s">
        <v>7538</v>
      </c>
      <c r="D3846" s="782" t="s">
        <v>11474</v>
      </c>
      <c r="E3846" s="22">
        <v>461969</v>
      </c>
      <c r="F3846" s="19"/>
      <c r="G3846" s="14">
        <f t="shared" si="68"/>
        <v>461969</v>
      </c>
      <c r="H3846" s="13"/>
    </row>
    <row r="3847" spans="1:8" hidden="1" x14ac:dyDescent="0.25">
      <c r="A3847" s="116">
        <v>45205</v>
      </c>
      <c r="B3847" s="21" t="s">
        <v>10688</v>
      </c>
      <c r="C3847" s="13" t="s">
        <v>7538</v>
      </c>
      <c r="D3847" s="782" t="s">
        <v>11475</v>
      </c>
      <c r="E3847" s="22">
        <v>461969</v>
      </c>
      <c r="F3847" s="19"/>
      <c r="G3847" s="14">
        <f t="shared" si="68"/>
        <v>461969</v>
      </c>
      <c r="H3847" s="13"/>
    </row>
    <row r="3848" spans="1:8" hidden="1" x14ac:dyDescent="0.25">
      <c r="A3848" s="116">
        <v>45206</v>
      </c>
      <c r="B3848" s="21" t="s">
        <v>10096</v>
      </c>
      <c r="C3848" s="13" t="s">
        <v>164</v>
      </c>
      <c r="D3848" s="782" t="s">
        <v>11392</v>
      </c>
      <c r="E3848" s="22">
        <v>11352</v>
      </c>
      <c r="F3848" s="19"/>
      <c r="G3848" s="14">
        <f t="shared" si="68"/>
        <v>11352</v>
      </c>
      <c r="H3848" s="13"/>
    </row>
    <row r="3849" spans="1:8" x14ac:dyDescent="0.25">
      <c r="A3849" s="116">
        <v>45206</v>
      </c>
      <c r="B3849" s="21" t="s">
        <v>10342</v>
      </c>
      <c r="C3849" s="13" t="s">
        <v>168</v>
      </c>
      <c r="D3849" s="782" t="s">
        <v>11451</v>
      </c>
      <c r="E3849" s="22">
        <v>44000</v>
      </c>
      <c r="F3849" s="19"/>
      <c r="G3849" s="14">
        <f t="shared" si="68"/>
        <v>44000</v>
      </c>
      <c r="H3849" s="13"/>
    </row>
    <row r="3850" spans="1:8" hidden="1" x14ac:dyDescent="0.25">
      <c r="A3850" s="116">
        <v>45206</v>
      </c>
      <c r="B3850" s="21" t="s">
        <v>10342</v>
      </c>
      <c r="C3850" s="13" t="s">
        <v>8483</v>
      </c>
      <c r="D3850" s="782" t="s">
        <v>11467</v>
      </c>
      <c r="E3850" s="22">
        <v>324466</v>
      </c>
      <c r="F3850" s="19"/>
      <c r="G3850" s="14">
        <f t="shared" si="68"/>
        <v>324466</v>
      </c>
      <c r="H3850" s="13"/>
    </row>
    <row r="3851" spans="1:8" hidden="1" x14ac:dyDescent="0.25">
      <c r="A3851" s="116">
        <v>45206</v>
      </c>
      <c r="B3851" s="21" t="s">
        <v>10688</v>
      </c>
      <c r="C3851" s="13" t="s">
        <v>8483</v>
      </c>
      <c r="D3851" s="782" t="s">
        <v>11468</v>
      </c>
      <c r="E3851" s="22">
        <v>61576</v>
      </c>
      <c r="F3851" s="19"/>
      <c r="G3851" s="14">
        <f t="shared" si="68"/>
        <v>61576</v>
      </c>
      <c r="H3851" s="13"/>
    </row>
    <row r="3852" spans="1:8" hidden="1" x14ac:dyDescent="0.25">
      <c r="A3852" s="116">
        <v>45206</v>
      </c>
      <c r="B3852" s="21" t="s">
        <v>10490</v>
      </c>
      <c r="C3852" s="13" t="s">
        <v>8483</v>
      </c>
      <c r="D3852" s="782" t="s">
        <v>11469</v>
      </c>
      <c r="E3852" s="22">
        <v>17368</v>
      </c>
      <c r="F3852" s="19"/>
      <c r="G3852" s="14">
        <f t="shared" si="68"/>
        <v>17368</v>
      </c>
      <c r="H3852" s="13"/>
    </row>
    <row r="3853" spans="1:8" x14ac:dyDescent="0.25">
      <c r="A3853" s="116">
        <v>45208</v>
      </c>
      <c r="B3853" s="21" t="s">
        <v>10342</v>
      </c>
      <c r="C3853" s="13" t="s">
        <v>168</v>
      </c>
      <c r="D3853" s="782" t="s">
        <v>11476</v>
      </c>
      <c r="E3853" s="22">
        <v>44000</v>
      </c>
      <c r="F3853" s="19"/>
      <c r="G3853" s="14">
        <f t="shared" si="68"/>
        <v>44000</v>
      </c>
      <c r="H3853" s="13"/>
    </row>
    <row r="3854" spans="1:8" x14ac:dyDescent="0.25">
      <c r="A3854" s="116">
        <v>45208</v>
      </c>
      <c r="B3854" s="21" t="s">
        <v>11023</v>
      </c>
      <c r="C3854" s="13" t="s">
        <v>168</v>
      </c>
      <c r="D3854" s="782" t="s">
        <v>11477</v>
      </c>
      <c r="E3854" s="22">
        <v>53000</v>
      </c>
      <c r="F3854" s="19"/>
      <c r="G3854" s="14">
        <f t="shared" si="68"/>
        <v>53000</v>
      </c>
      <c r="H3854" s="13"/>
    </row>
    <row r="3855" spans="1:8" hidden="1" x14ac:dyDescent="0.25">
      <c r="A3855" s="116">
        <v>45208</v>
      </c>
      <c r="B3855" s="21" t="s">
        <v>11193</v>
      </c>
      <c r="C3855" s="13" t="s">
        <v>8483</v>
      </c>
      <c r="D3855" s="782" t="s">
        <v>11470</v>
      </c>
      <c r="E3855" s="22">
        <v>57660</v>
      </c>
      <c r="F3855" s="19"/>
      <c r="G3855" s="14">
        <f t="shared" si="68"/>
        <v>57660</v>
      </c>
      <c r="H3855" s="13"/>
    </row>
    <row r="3856" spans="1:8" hidden="1" x14ac:dyDescent="0.25">
      <c r="A3856" s="116">
        <v>45208</v>
      </c>
      <c r="B3856" s="21" t="s">
        <v>11023</v>
      </c>
      <c r="C3856" s="13" t="s">
        <v>8483</v>
      </c>
      <c r="D3856" s="782" t="s">
        <v>11471</v>
      </c>
      <c r="E3856" s="22">
        <v>352873</v>
      </c>
      <c r="F3856" s="19"/>
      <c r="G3856" s="14">
        <f t="shared" si="68"/>
        <v>352873</v>
      </c>
      <c r="H3856" s="13"/>
    </row>
    <row r="3857" spans="1:8" hidden="1" x14ac:dyDescent="0.25">
      <c r="A3857" s="116">
        <v>45209</v>
      </c>
      <c r="B3857" s="21" t="s">
        <v>10342</v>
      </c>
      <c r="C3857" s="13" t="s">
        <v>11444</v>
      </c>
      <c r="D3857" s="782"/>
      <c r="E3857" s="22"/>
      <c r="F3857" s="19">
        <v>1000000</v>
      </c>
      <c r="G3857" s="14">
        <f t="shared" si="68"/>
        <v>-1000000</v>
      </c>
      <c r="H3857" s="13" t="s">
        <v>11446</v>
      </c>
    </row>
    <row r="3858" spans="1:8" hidden="1" x14ac:dyDescent="0.25">
      <c r="A3858" s="116">
        <v>45210</v>
      </c>
      <c r="B3858" s="21" t="s">
        <v>11023</v>
      </c>
      <c r="C3858" s="13" t="s">
        <v>5234</v>
      </c>
      <c r="D3858" s="782"/>
      <c r="E3858" s="22"/>
      <c r="F3858" s="19">
        <v>300000</v>
      </c>
      <c r="G3858" s="14">
        <f t="shared" si="68"/>
        <v>-300000</v>
      </c>
      <c r="H3858" s="13" t="s">
        <v>11446</v>
      </c>
    </row>
    <row r="3859" spans="1:8" hidden="1" x14ac:dyDescent="0.25">
      <c r="A3859" s="116">
        <v>45210</v>
      </c>
      <c r="B3859" s="21" t="s">
        <v>11023</v>
      </c>
      <c r="C3859" s="13" t="s">
        <v>5234</v>
      </c>
      <c r="D3859" s="782"/>
      <c r="E3859" s="22"/>
      <c r="F3859" s="19">
        <v>300000</v>
      </c>
      <c r="G3859" s="14">
        <f t="shared" si="68"/>
        <v>-300000</v>
      </c>
      <c r="H3859" s="13" t="s">
        <v>11443</v>
      </c>
    </row>
    <row r="3860" spans="1:8" hidden="1" x14ac:dyDescent="0.25">
      <c r="A3860" s="116">
        <v>45210</v>
      </c>
      <c r="B3860" s="21" t="s">
        <v>10688</v>
      </c>
      <c r="C3860" s="13" t="s">
        <v>5234</v>
      </c>
      <c r="D3860" s="782"/>
      <c r="E3860" s="22"/>
      <c r="F3860" s="19">
        <v>198000</v>
      </c>
      <c r="G3860" s="14">
        <f t="shared" si="68"/>
        <v>-198000</v>
      </c>
      <c r="H3860" s="13" t="s">
        <v>11441</v>
      </c>
    </row>
    <row r="3861" spans="1:8" hidden="1" x14ac:dyDescent="0.25">
      <c r="A3861" s="116">
        <v>45210</v>
      </c>
      <c r="B3861" s="21" t="s">
        <v>11023</v>
      </c>
      <c r="C3861" s="13" t="s">
        <v>5234</v>
      </c>
      <c r="D3861" s="782"/>
      <c r="E3861" s="22"/>
      <c r="F3861" s="19">
        <v>200000</v>
      </c>
      <c r="G3861" s="14">
        <f t="shared" si="68"/>
        <v>-200000</v>
      </c>
      <c r="H3861" s="13" t="s">
        <v>11442</v>
      </c>
    </row>
    <row r="3862" spans="1:8" hidden="1" x14ac:dyDescent="0.25">
      <c r="A3862" s="116">
        <v>45211</v>
      </c>
      <c r="B3862" s="21" t="s">
        <v>10342</v>
      </c>
      <c r="C3862" s="13" t="s">
        <v>11448</v>
      </c>
      <c r="D3862" s="782"/>
      <c r="E3862" s="22">
        <v>140000</v>
      </c>
      <c r="F3862" s="19"/>
      <c r="G3862" s="14">
        <f t="shared" si="68"/>
        <v>140000</v>
      </c>
      <c r="H3862" s="13" t="s">
        <v>11260</v>
      </c>
    </row>
    <row r="3863" spans="1:8" hidden="1" x14ac:dyDescent="0.25">
      <c r="A3863" s="116">
        <v>45211</v>
      </c>
      <c r="B3863" s="21" t="s">
        <v>9877</v>
      </c>
      <c r="C3863" s="13" t="s">
        <v>9006</v>
      </c>
      <c r="D3863" s="782"/>
      <c r="E3863" s="22">
        <v>300000</v>
      </c>
      <c r="F3863" s="19"/>
      <c r="G3863" s="14">
        <f t="shared" si="68"/>
        <v>300000</v>
      </c>
      <c r="H3863" s="13" t="s">
        <v>11449</v>
      </c>
    </row>
    <row r="3864" spans="1:8" hidden="1" x14ac:dyDescent="0.25">
      <c r="A3864" s="116">
        <v>45211</v>
      </c>
      <c r="B3864" s="21" t="s">
        <v>9877</v>
      </c>
      <c r="C3864" s="13" t="s">
        <v>9006</v>
      </c>
      <c r="D3864" s="782"/>
      <c r="E3864" s="22"/>
      <c r="F3864" s="19">
        <v>100000</v>
      </c>
      <c r="G3864" s="14">
        <f t="shared" si="68"/>
        <v>-100000</v>
      </c>
      <c r="H3864" s="13" t="s">
        <v>5019</v>
      </c>
    </row>
    <row r="3865" spans="1:8" hidden="1" x14ac:dyDescent="0.25">
      <c r="A3865" s="116">
        <v>45211</v>
      </c>
      <c r="B3865" s="21" t="s">
        <v>7886</v>
      </c>
      <c r="C3865" s="13" t="s">
        <v>11450</v>
      </c>
      <c r="D3865" s="782"/>
      <c r="E3865" s="22">
        <v>1061510</v>
      </c>
      <c r="F3865" s="19"/>
      <c r="G3865" s="14">
        <f t="shared" si="68"/>
        <v>1061510</v>
      </c>
      <c r="H3865" s="13" t="s">
        <v>11449</v>
      </c>
    </row>
    <row r="3866" spans="1:8" hidden="1" x14ac:dyDescent="0.25">
      <c r="A3866" s="116">
        <v>45211</v>
      </c>
      <c r="B3866" s="21" t="s">
        <v>10688</v>
      </c>
      <c r="C3866" s="13" t="s">
        <v>9186</v>
      </c>
      <c r="D3866" s="782"/>
      <c r="E3866" s="22">
        <v>885000</v>
      </c>
      <c r="F3866" s="19"/>
      <c r="G3866" s="14">
        <f t="shared" si="68"/>
        <v>885000</v>
      </c>
      <c r="H3866" s="13" t="s">
        <v>11449</v>
      </c>
    </row>
    <row r="3867" spans="1:8" hidden="1" x14ac:dyDescent="0.25">
      <c r="A3867" s="116">
        <v>45211</v>
      </c>
      <c r="B3867" s="21" t="s">
        <v>10688</v>
      </c>
      <c r="C3867" s="13" t="s">
        <v>8170</v>
      </c>
      <c r="D3867" s="782"/>
      <c r="E3867" s="22">
        <v>4000000</v>
      </c>
      <c r="F3867" s="19"/>
      <c r="G3867" s="14">
        <f t="shared" si="68"/>
        <v>4000000</v>
      </c>
      <c r="H3867" s="13" t="s">
        <v>11449</v>
      </c>
    </row>
    <row r="3868" spans="1:8" hidden="1" x14ac:dyDescent="0.25">
      <c r="A3868" s="116">
        <v>45211</v>
      </c>
      <c r="B3868" s="21" t="s">
        <v>10582</v>
      </c>
      <c r="C3868" s="13" t="s">
        <v>440</v>
      </c>
      <c r="D3868" s="782"/>
      <c r="E3868" s="22">
        <v>9170</v>
      </c>
      <c r="F3868" s="19"/>
      <c r="G3868" s="14">
        <f t="shared" si="68"/>
        <v>9170</v>
      </c>
      <c r="H3868" s="13" t="s">
        <v>11449</v>
      </c>
    </row>
    <row r="3869" spans="1:8" hidden="1" x14ac:dyDescent="0.25">
      <c r="A3869" s="116">
        <v>45211</v>
      </c>
      <c r="B3869" s="21" t="s">
        <v>11023</v>
      </c>
      <c r="C3869" s="13" t="s">
        <v>8483</v>
      </c>
      <c r="D3869" s="782" t="s">
        <v>11472</v>
      </c>
      <c r="E3869" s="22">
        <v>131554</v>
      </c>
      <c r="F3869" s="19"/>
      <c r="G3869" s="14">
        <f t="shared" si="68"/>
        <v>131554</v>
      </c>
      <c r="H3869" s="13"/>
    </row>
    <row r="3870" spans="1:8" hidden="1" x14ac:dyDescent="0.25">
      <c r="A3870" s="116">
        <v>45212</v>
      </c>
      <c r="B3870" s="21" t="s">
        <v>10688</v>
      </c>
      <c r="C3870" s="13" t="s">
        <v>8483</v>
      </c>
      <c r="D3870" s="782" t="s">
        <v>11473</v>
      </c>
      <c r="E3870" s="22">
        <v>64949</v>
      </c>
      <c r="F3870" s="19"/>
      <c r="G3870" s="14">
        <f t="shared" si="68"/>
        <v>64949</v>
      </c>
      <c r="H3870" s="13"/>
    </row>
    <row r="3871" spans="1:8" hidden="1" x14ac:dyDescent="0.25">
      <c r="A3871" s="116">
        <v>45212</v>
      </c>
      <c r="B3871" s="21" t="s">
        <v>11568</v>
      </c>
      <c r="C3871" s="13" t="s">
        <v>166</v>
      </c>
      <c r="D3871" s="782" t="s">
        <v>11479</v>
      </c>
      <c r="E3871" s="22">
        <v>43750</v>
      </c>
      <c r="F3871" s="19"/>
      <c r="G3871" s="14">
        <f t="shared" si="68"/>
        <v>43750</v>
      </c>
      <c r="H3871" s="13"/>
    </row>
    <row r="3872" spans="1:8" hidden="1" x14ac:dyDescent="0.25">
      <c r="A3872" s="116">
        <v>45213</v>
      </c>
      <c r="B3872" s="21" t="s">
        <v>10342</v>
      </c>
      <c r="C3872" s="13" t="s">
        <v>8166</v>
      </c>
      <c r="D3872" s="782" t="s">
        <v>11478</v>
      </c>
      <c r="E3872" s="22">
        <v>40800</v>
      </c>
      <c r="F3872" s="19"/>
      <c r="G3872" s="14">
        <f t="shared" si="68"/>
        <v>40800</v>
      </c>
      <c r="H3872" s="13"/>
    </row>
    <row r="3873" spans="1:8" hidden="1" x14ac:dyDescent="0.25">
      <c r="A3873" s="116">
        <v>45213</v>
      </c>
      <c r="B3873" s="21" t="s">
        <v>7886</v>
      </c>
      <c r="C3873" s="13" t="s">
        <v>11450</v>
      </c>
      <c r="D3873" s="782"/>
      <c r="E3873" s="22"/>
      <c r="F3873" s="19">
        <v>700000</v>
      </c>
      <c r="G3873" s="14">
        <f t="shared" si="68"/>
        <v>-700000</v>
      </c>
      <c r="H3873" s="13" t="s">
        <v>11483</v>
      </c>
    </row>
    <row r="3874" spans="1:8" hidden="1" x14ac:dyDescent="0.25">
      <c r="A3874" s="116">
        <v>45213</v>
      </c>
      <c r="B3874" s="21" t="s">
        <v>2675</v>
      </c>
      <c r="C3874" s="13" t="s">
        <v>5731</v>
      </c>
      <c r="D3874" s="782"/>
      <c r="E3874" s="22">
        <v>9700</v>
      </c>
      <c r="F3874" s="19"/>
      <c r="G3874" s="14">
        <f t="shared" si="68"/>
        <v>9700</v>
      </c>
      <c r="H3874" s="13" t="s">
        <v>11492</v>
      </c>
    </row>
    <row r="3875" spans="1:8" hidden="1" x14ac:dyDescent="0.25">
      <c r="A3875" s="116">
        <v>45213</v>
      </c>
      <c r="B3875" s="21" t="s">
        <v>1407</v>
      </c>
      <c r="C3875" s="13" t="s">
        <v>5731</v>
      </c>
      <c r="D3875" s="782"/>
      <c r="E3875" s="22"/>
      <c r="F3875" s="19">
        <v>8180</v>
      </c>
      <c r="G3875" s="14">
        <f t="shared" si="68"/>
        <v>-8180</v>
      </c>
      <c r="H3875" s="13" t="s">
        <v>11492</v>
      </c>
    </row>
    <row r="3876" spans="1:8" hidden="1" x14ac:dyDescent="0.25">
      <c r="A3876" s="116">
        <v>45213</v>
      </c>
      <c r="B3876" s="21" t="s">
        <v>8752</v>
      </c>
      <c r="C3876" s="13" t="s">
        <v>5731</v>
      </c>
      <c r="D3876" s="782"/>
      <c r="E3876" s="22"/>
      <c r="F3876" s="19">
        <f>53900-12000</f>
        <v>41900</v>
      </c>
      <c r="G3876" s="14">
        <f t="shared" si="68"/>
        <v>-41900</v>
      </c>
      <c r="H3876" s="13" t="s">
        <v>11492</v>
      </c>
    </row>
    <row r="3877" spans="1:8" hidden="1" x14ac:dyDescent="0.25">
      <c r="A3877" s="116">
        <v>45213</v>
      </c>
      <c r="B3877" s="21" t="s">
        <v>10261</v>
      </c>
      <c r="C3877" s="13" t="s">
        <v>5731</v>
      </c>
      <c r="D3877" s="782" t="s">
        <v>8650</v>
      </c>
      <c r="E3877" s="22">
        <v>105000</v>
      </c>
      <c r="F3877" s="19"/>
      <c r="G3877" s="14">
        <f t="shared" si="68"/>
        <v>105000</v>
      </c>
      <c r="H3877" s="13"/>
    </row>
    <row r="3878" spans="1:8" hidden="1" x14ac:dyDescent="0.25">
      <c r="A3878" s="116">
        <v>45213</v>
      </c>
      <c r="B3878" s="21" t="s">
        <v>10261</v>
      </c>
      <c r="C3878" s="13" t="s">
        <v>5731</v>
      </c>
      <c r="D3878" s="782" t="s">
        <v>9966</v>
      </c>
      <c r="E3878" s="22">
        <v>35400</v>
      </c>
      <c r="F3878" s="19"/>
      <c r="G3878" s="14">
        <f t="shared" si="68"/>
        <v>35400</v>
      </c>
      <c r="H3878" s="13"/>
    </row>
    <row r="3879" spans="1:8" hidden="1" x14ac:dyDescent="0.25">
      <c r="A3879" s="116">
        <v>45213</v>
      </c>
      <c r="B3879" s="21" t="s">
        <v>9877</v>
      </c>
      <c r="C3879" s="13" t="s">
        <v>5731</v>
      </c>
      <c r="D3879" s="782" t="s">
        <v>9982</v>
      </c>
      <c r="E3879" s="22">
        <v>57000</v>
      </c>
      <c r="F3879" s="19"/>
      <c r="G3879" s="14">
        <f t="shared" si="68"/>
        <v>57000</v>
      </c>
      <c r="H3879" s="13"/>
    </row>
    <row r="3880" spans="1:8" hidden="1" x14ac:dyDescent="0.25">
      <c r="A3880" s="116">
        <v>45213</v>
      </c>
      <c r="B3880" s="21" t="s">
        <v>10490</v>
      </c>
      <c r="C3880" s="13" t="s">
        <v>5731</v>
      </c>
      <c r="D3880" s="782" t="s">
        <v>9983</v>
      </c>
      <c r="E3880" s="22">
        <v>390000</v>
      </c>
      <c r="F3880" s="19"/>
      <c r="G3880" s="14">
        <f t="shared" si="68"/>
        <v>390000</v>
      </c>
      <c r="H3880" s="13"/>
    </row>
    <row r="3881" spans="1:8" hidden="1" x14ac:dyDescent="0.25">
      <c r="A3881" s="116">
        <v>45213</v>
      </c>
      <c r="B3881" s="21" t="s">
        <v>10683</v>
      </c>
      <c r="C3881" s="13" t="s">
        <v>5731</v>
      </c>
      <c r="D3881" s="782" t="s">
        <v>10070</v>
      </c>
      <c r="E3881" s="22">
        <v>93900</v>
      </c>
      <c r="F3881" s="19"/>
      <c r="G3881" s="14">
        <f t="shared" si="68"/>
        <v>93900</v>
      </c>
      <c r="H3881" s="13"/>
    </row>
    <row r="3882" spans="1:8" hidden="1" x14ac:dyDescent="0.25">
      <c r="A3882" s="116">
        <v>45213</v>
      </c>
      <c r="B3882" s="21" t="s">
        <v>8974</v>
      </c>
      <c r="C3882" s="13" t="s">
        <v>5731</v>
      </c>
      <c r="D3882" s="782" t="s">
        <v>8721</v>
      </c>
      <c r="E3882" s="22">
        <v>15600</v>
      </c>
      <c r="F3882" s="19"/>
      <c r="G3882" s="14">
        <f t="shared" si="68"/>
        <v>15600</v>
      </c>
      <c r="H3882" s="13"/>
    </row>
    <row r="3883" spans="1:8" hidden="1" x14ac:dyDescent="0.25">
      <c r="A3883" s="116">
        <v>45213</v>
      </c>
      <c r="B3883" s="21" t="s">
        <v>9463</v>
      </c>
      <c r="C3883" s="13" t="s">
        <v>5731</v>
      </c>
      <c r="D3883" s="782" t="s">
        <v>10071</v>
      </c>
      <c r="E3883" s="22">
        <v>529000</v>
      </c>
      <c r="F3883" s="19"/>
      <c r="G3883" s="14">
        <f t="shared" si="68"/>
        <v>529000</v>
      </c>
      <c r="H3883" s="13"/>
    </row>
    <row r="3884" spans="1:8" hidden="1" x14ac:dyDescent="0.25">
      <c r="A3884" s="116">
        <v>45213</v>
      </c>
      <c r="B3884" s="21" t="s">
        <v>10582</v>
      </c>
      <c r="C3884" s="13" t="s">
        <v>5731</v>
      </c>
      <c r="D3884" s="782" t="s">
        <v>10072</v>
      </c>
      <c r="E3884" s="22">
        <v>6000</v>
      </c>
      <c r="F3884" s="19"/>
      <c r="G3884" s="14">
        <f t="shared" si="68"/>
        <v>6000</v>
      </c>
      <c r="H3884" s="13"/>
    </row>
    <row r="3885" spans="1:8" hidden="1" x14ac:dyDescent="0.25">
      <c r="A3885" s="116">
        <v>45213</v>
      </c>
      <c r="B3885" s="21" t="s">
        <v>10342</v>
      </c>
      <c r="C3885" s="13" t="s">
        <v>5731</v>
      </c>
      <c r="D3885" s="782" t="s">
        <v>10073</v>
      </c>
      <c r="E3885" s="22">
        <v>72682</v>
      </c>
      <c r="F3885" s="19"/>
      <c r="G3885" s="14">
        <f t="shared" si="68"/>
        <v>72682</v>
      </c>
      <c r="H3885" s="13"/>
    </row>
    <row r="3886" spans="1:8" hidden="1" x14ac:dyDescent="0.25">
      <c r="A3886" s="116">
        <v>45213</v>
      </c>
      <c r="B3886" s="21" t="s">
        <v>10342</v>
      </c>
      <c r="C3886" s="13" t="s">
        <v>5731</v>
      </c>
      <c r="D3886" s="782" t="s">
        <v>10257</v>
      </c>
      <c r="E3886" s="22">
        <v>14170</v>
      </c>
      <c r="F3886" s="19"/>
      <c r="G3886" s="14">
        <f t="shared" si="68"/>
        <v>14170</v>
      </c>
      <c r="H3886" s="13"/>
    </row>
    <row r="3887" spans="1:8" hidden="1" x14ac:dyDescent="0.25">
      <c r="A3887" s="116">
        <v>45213</v>
      </c>
      <c r="B3887" s="21" t="s">
        <v>10688</v>
      </c>
      <c r="C3887" s="13" t="s">
        <v>8483</v>
      </c>
      <c r="D3887" s="782" t="s">
        <v>11493</v>
      </c>
      <c r="E3887" s="22">
        <v>102465</v>
      </c>
      <c r="F3887" s="19"/>
      <c r="G3887" s="14">
        <f t="shared" si="68"/>
        <v>102465</v>
      </c>
      <c r="H3887" s="13"/>
    </row>
    <row r="3888" spans="1:8" hidden="1" x14ac:dyDescent="0.25">
      <c r="A3888" s="116">
        <v>45213</v>
      </c>
      <c r="B3888" s="21" t="s">
        <v>10096</v>
      </c>
      <c r="C3888" s="13" t="s">
        <v>169</v>
      </c>
      <c r="D3888" s="782" t="s">
        <v>11494</v>
      </c>
      <c r="E3888" s="22">
        <v>206226</v>
      </c>
      <c r="F3888" s="19"/>
      <c r="G3888" s="14">
        <f t="shared" si="68"/>
        <v>206226</v>
      </c>
      <c r="H3888" s="13"/>
    </row>
    <row r="3889" spans="1:8" hidden="1" x14ac:dyDescent="0.25">
      <c r="A3889" s="116">
        <v>45213</v>
      </c>
      <c r="B3889" s="21" t="s">
        <v>10342</v>
      </c>
      <c r="C3889" s="13" t="s">
        <v>7538</v>
      </c>
      <c r="D3889" s="782" t="s">
        <v>11533</v>
      </c>
      <c r="E3889" s="22">
        <v>48000</v>
      </c>
      <c r="F3889" s="19"/>
      <c r="G3889" s="14">
        <f t="shared" si="68"/>
        <v>48000</v>
      </c>
      <c r="H3889" s="13"/>
    </row>
    <row r="3890" spans="1:8" hidden="1" x14ac:dyDescent="0.25">
      <c r="A3890" s="116">
        <v>45213</v>
      </c>
      <c r="B3890" s="21" t="s">
        <v>10688</v>
      </c>
      <c r="C3890" s="13" t="s">
        <v>7538</v>
      </c>
      <c r="D3890" s="782" t="s">
        <v>11534</v>
      </c>
      <c r="E3890" s="22">
        <v>374168</v>
      </c>
      <c r="F3890" s="19"/>
      <c r="G3890" s="14">
        <f t="shared" si="68"/>
        <v>374168</v>
      </c>
      <c r="H3890" s="13"/>
    </row>
    <row r="3891" spans="1:8" hidden="1" x14ac:dyDescent="0.25">
      <c r="A3891" s="116">
        <v>45213</v>
      </c>
      <c r="B3891" s="21" t="s">
        <v>10096</v>
      </c>
      <c r="C3891" s="13" t="s">
        <v>164</v>
      </c>
      <c r="D3891" s="782" t="s">
        <v>11328</v>
      </c>
      <c r="E3891" s="22">
        <v>29554</v>
      </c>
      <c r="F3891" s="19"/>
      <c r="G3891" s="14">
        <f t="shared" si="68"/>
        <v>29554</v>
      </c>
      <c r="H3891" s="13"/>
    </row>
    <row r="3892" spans="1:8" hidden="1" x14ac:dyDescent="0.25">
      <c r="A3892" s="116">
        <v>45215</v>
      </c>
      <c r="B3892" s="21" t="s">
        <v>10688</v>
      </c>
      <c r="C3892" s="13" t="s">
        <v>8170</v>
      </c>
      <c r="D3892" s="782"/>
      <c r="E3892" s="22"/>
      <c r="F3892" s="19">
        <v>1000000</v>
      </c>
      <c r="G3892" s="14">
        <f t="shared" si="68"/>
        <v>-1000000</v>
      </c>
      <c r="H3892" s="13" t="s">
        <v>11500</v>
      </c>
    </row>
    <row r="3893" spans="1:8" hidden="1" x14ac:dyDescent="0.25">
      <c r="A3893" s="116">
        <v>45216</v>
      </c>
      <c r="B3893" s="21" t="s">
        <v>10261</v>
      </c>
      <c r="C3893" s="13" t="s">
        <v>8483</v>
      </c>
      <c r="D3893" s="782"/>
      <c r="E3893" s="22"/>
      <c r="F3893" s="19">
        <v>75140</v>
      </c>
      <c r="G3893" s="14">
        <f t="shared" si="68"/>
        <v>-75140</v>
      </c>
      <c r="H3893" s="1146" t="s">
        <v>11517</v>
      </c>
    </row>
    <row r="3894" spans="1:8" hidden="1" x14ac:dyDescent="0.25">
      <c r="A3894" s="116">
        <v>45216</v>
      </c>
      <c r="B3894" s="21" t="s">
        <v>9463</v>
      </c>
      <c r="C3894" s="13" t="s">
        <v>8483</v>
      </c>
      <c r="D3894" s="782"/>
      <c r="E3894" s="22"/>
      <c r="F3894" s="19">
        <v>3763</v>
      </c>
      <c r="G3894" s="14">
        <f t="shared" ref="G3894:G3982" si="69">E3894-F3894</f>
        <v>-3763</v>
      </c>
      <c r="H3894" s="1147"/>
    </row>
    <row r="3895" spans="1:8" hidden="1" x14ac:dyDescent="0.25">
      <c r="A3895" s="116">
        <v>45216</v>
      </c>
      <c r="B3895" s="21" t="s">
        <v>10490</v>
      </c>
      <c r="C3895" s="13" t="s">
        <v>8483</v>
      </c>
      <c r="D3895" s="782"/>
      <c r="E3895" s="22"/>
      <c r="F3895" s="19">
        <v>17368</v>
      </c>
      <c r="G3895" s="14">
        <f t="shared" si="69"/>
        <v>-17368</v>
      </c>
      <c r="H3895" s="1147"/>
    </row>
    <row r="3896" spans="1:8" hidden="1" x14ac:dyDescent="0.25">
      <c r="A3896" s="116">
        <v>45216</v>
      </c>
      <c r="B3896" s="21" t="s">
        <v>11193</v>
      </c>
      <c r="C3896" s="13" t="s">
        <v>8483</v>
      </c>
      <c r="D3896" s="782"/>
      <c r="E3896" s="22"/>
      <c r="F3896" s="19">
        <v>194858</v>
      </c>
      <c r="G3896" s="14">
        <f t="shared" si="69"/>
        <v>-194858</v>
      </c>
      <c r="H3896" s="1147"/>
    </row>
    <row r="3897" spans="1:8" hidden="1" x14ac:dyDescent="0.25">
      <c r="A3897" s="116">
        <v>45216</v>
      </c>
      <c r="B3897" s="21" t="s">
        <v>10342</v>
      </c>
      <c r="C3897" s="13" t="s">
        <v>8483</v>
      </c>
      <c r="D3897" s="782"/>
      <c r="E3897" s="22"/>
      <c r="F3897" s="19">
        <v>650000</v>
      </c>
      <c r="G3897" s="14">
        <f t="shared" si="69"/>
        <v>-650000</v>
      </c>
      <c r="H3897" s="1147"/>
    </row>
    <row r="3898" spans="1:8" hidden="1" x14ac:dyDescent="0.25">
      <c r="A3898" s="116">
        <v>45216</v>
      </c>
      <c r="B3898" s="21" t="s">
        <v>11023</v>
      </c>
      <c r="C3898" s="13" t="s">
        <v>8483</v>
      </c>
      <c r="D3898" s="782"/>
      <c r="E3898" s="22"/>
      <c r="F3898" s="19">
        <v>308871</v>
      </c>
      <c r="G3898" s="14">
        <f t="shared" si="69"/>
        <v>-308871</v>
      </c>
      <c r="H3898" s="1147"/>
    </row>
    <row r="3899" spans="1:8" hidden="1" x14ac:dyDescent="0.25">
      <c r="A3899" s="116">
        <v>45216</v>
      </c>
      <c r="B3899" s="21" t="s">
        <v>10688</v>
      </c>
      <c r="C3899" s="13" t="s">
        <v>8483</v>
      </c>
      <c r="D3899" s="782"/>
      <c r="E3899" s="22"/>
      <c r="F3899" s="19">
        <v>250000</v>
      </c>
      <c r="G3899" s="14">
        <f t="shared" si="69"/>
        <v>-250000</v>
      </c>
      <c r="H3899" s="1148"/>
    </row>
    <row r="3900" spans="1:8" hidden="1" x14ac:dyDescent="0.25">
      <c r="A3900" s="116">
        <v>45216</v>
      </c>
      <c r="B3900" s="21" t="s">
        <v>10688</v>
      </c>
      <c r="C3900" s="13" t="s">
        <v>169</v>
      </c>
      <c r="D3900" s="782" t="s">
        <v>11538</v>
      </c>
      <c r="E3900" s="22">
        <v>161000</v>
      </c>
      <c r="F3900" s="19"/>
      <c r="G3900" s="14">
        <f t="shared" si="69"/>
        <v>161000</v>
      </c>
      <c r="H3900" s="972"/>
    </row>
    <row r="3901" spans="1:8" hidden="1" x14ac:dyDescent="0.25">
      <c r="A3901" s="116">
        <v>45216</v>
      </c>
      <c r="B3901" s="21" t="s">
        <v>10096</v>
      </c>
      <c r="C3901" s="13" t="s">
        <v>166</v>
      </c>
      <c r="D3901" s="782" t="s">
        <v>8493</v>
      </c>
      <c r="E3901" s="22">
        <v>23330</v>
      </c>
      <c r="F3901" s="19"/>
      <c r="G3901" s="14">
        <f t="shared" si="69"/>
        <v>23330</v>
      </c>
      <c r="H3901" s="972"/>
    </row>
    <row r="3902" spans="1:8" hidden="1" x14ac:dyDescent="0.25">
      <c r="A3902" s="116">
        <v>45217</v>
      </c>
      <c r="B3902" s="21" t="s">
        <v>9877</v>
      </c>
      <c r="C3902" s="13" t="s">
        <v>9006</v>
      </c>
      <c r="D3902" s="782"/>
      <c r="E3902" s="22"/>
      <c r="F3902" s="19">
        <v>200000</v>
      </c>
      <c r="G3902" s="14">
        <f t="shared" si="69"/>
        <v>-200000</v>
      </c>
      <c r="H3902" s="13" t="s">
        <v>11519</v>
      </c>
    </row>
    <row r="3903" spans="1:8" hidden="1" x14ac:dyDescent="0.25">
      <c r="A3903" s="116">
        <v>45217</v>
      </c>
      <c r="B3903" s="21" t="s">
        <v>10342</v>
      </c>
      <c r="C3903" s="13" t="s">
        <v>7538</v>
      </c>
      <c r="D3903" s="782" t="s">
        <v>11535</v>
      </c>
      <c r="E3903" s="22">
        <v>374168</v>
      </c>
      <c r="F3903" s="19"/>
      <c r="G3903" s="14">
        <f t="shared" si="69"/>
        <v>374168</v>
      </c>
      <c r="H3903" s="13"/>
    </row>
    <row r="3904" spans="1:8" hidden="1" x14ac:dyDescent="0.25">
      <c r="A3904" s="116">
        <v>45217</v>
      </c>
      <c r="B3904" s="21" t="s">
        <v>10688</v>
      </c>
      <c r="C3904" s="13" t="s">
        <v>7538</v>
      </c>
      <c r="D3904" s="782" t="s">
        <v>11536</v>
      </c>
      <c r="E3904" s="22">
        <v>374168</v>
      </c>
      <c r="F3904" s="19"/>
      <c r="G3904" s="14">
        <f t="shared" si="69"/>
        <v>374168</v>
      </c>
      <c r="H3904" s="13"/>
    </row>
    <row r="3905" spans="1:8" hidden="1" x14ac:dyDescent="0.25">
      <c r="A3905" s="116">
        <v>45217</v>
      </c>
      <c r="B3905" s="21" t="s">
        <v>10077</v>
      </c>
      <c r="C3905" s="13" t="s">
        <v>164</v>
      </c>
      <c r="D3905" s="782" t="s">
        <v>11346</v>
      </c>
      <c r="E3905" s="22">
        <v>5520</v>
      </c>
      <c r="F3905" s="19"/>
      <c r="G3905" s="14">
        <f t="shared" si="69"/>
        <v>5520</v>
      </c>
      <c r="H3905" s="13"/>
    </row>
    <row r="3906" spans="1:8" hidden="1" x14ac:dyDescent="0.25">
      <c r="A3906" s="116">
        <v>45219</v>
      </c>
      <c r="B3906" s="21" t="s">
        <v>10096</v>
      </c>
      <c r="C3906" s="13" t="s">
        <v>166</v>
      </c>
      <c r="D3906" s="782" t="s">
        <v>11539</v>
      </c>
      <c r="E3906" s="22">
        <v>18575</v>
      </c>
      <c r="F3906" s="19"/>
      <c r="G3906" s="14">
        <f t="shared" si="69"/>
        <v>18575</v>
      </c>
      <c r="H3906" s="13"/>
    </row>
    <row r="3907" spans="1:8" hidden="1" x14ac:dyDescent="0.25">
      <c r="A3907" s="116">
        <v>45219</v>
      </c>
      <c r="B3907" s="21" t="s">
        <v>10342</v>
      </c>
      <c r="C3907" s="13" t="s">
        <v>8483</v>
      </c>
      <c r="D3907" s="782" t="s">
        <v>11566</v>
      </c>
      <c r="E3907" s="22">
        <v>306092</v>
      </c>
      <c r="F3907" s="19"/>
      <c r="G3907" s="14">
        <f t="shared" si="69"/>
        <v>306092</v>
      </c>
      <c r="H3907" s="13"/>
    </row>
    <row r="3908" spans="1:8" hidden="1" x14ac:dyDescent="0.25">
      <c r="A3908" s="116">
        <v>45219</v>
      </c>
      <c r="B3908" s="21" t="s">
        <v>10096</v>
      </c>
      <c r="C3908" s="13" t="s">
        <v>166</v>
      </c>
      <c r="D3908" s="782" t="s">
        <v>11919</v>
      </c>
      <c r="E3908" s="22">
        <v>11875</v>
      </c>
      <c r="F3908" s="19"/>
      <c r="G3908" s="14">
        <f t="shared" si="69"/>
        <v>11875</v>
      </c>
      <c r="H3908" s="13"/>
    </row>
    <row r="3909" spans="1:8" hidden="1" x14ac:dyDescent="0.25">
      <c r="A3909" s="116">
        <v>45220</v>
      </c>
      <c r="B3909" s="21" t="s">
        <v>11023</v>
      </c>
      <c r="C3909" s="13" t="s">
        <v>7309</v>
      </c>
      <c r="D3909" s="782"/>
      <c r="E3909" s="22"/>
      <c r="F3909" s="19">
        <v>324000</v>
      </c>
      <c r="G3909" s="14">
        <f t="shared" si="69"/>
        <v>-324000</v>
      </c>
      <c r="H3909" s="13" t="s">
        <v>11558</v>
      </c>
    </row>
    <row r="3910" spans="1:8" hidden="1" x14ac:dyDescent="0.25">
      <c r="A3910" s="116">
        <v>45220</v>
      </c>
      <c r="B3910" s="21" t="s">
        <v>11023</v>
      </c>
      <c r="C3910" s="13" t="s">
        <v>8483</v>
      </c>
      <c r="D3910" s="782" t="s">
        <v>11567</v>
      </c>
      <c r="E3910" s="22">
        <v>120971</v>
      </c>
      <c r="F3910" s="19"/>
      <c r="G3910" s="14">
        <f t="shared" si="69"/>
        <v>120971</v>
      </c>
    </row>
    <row r="3911" spans="1:8" hidden="1" x14ac:dyDescent="0.25">
      <c r="A3911" s="116">
        <v>45220</v>
      </c>
      <c r="B3911" s="21" t="s">
        <v>11568</v>
      </c>
      <c r="C3911" s="13" t="s">
        <v>8483</v>
      </c>
      <c r="D3911" s="1145" t="s">
        <v>11569</v>
      </c>
      <c r="E3911" s="22">
        <v>20103</v>
      </c>
      <c r="F3911" s="19"/>
      <c r="G3911" s="14">
        <f t="shared" si="69"/>
        <v>20103</v>
      </c>
      <c r="H3911" s="13"/>
    </row>
    <row r="3912" spans="1:8" hidden="1" x14ac:dyDescent="0.25">
      <c r="A3912" s="116">
        <v>45220</v>
      </c>
      <c r="B3912" s="21" t="s">
        <v>11319</v>
      </c>
      <c r="C3912" s="13" t="s">
        <v>8483</v>
      </c>
      <c r="D3912" s="1145"/>
      <c r="E3912" s="22">
        <v>4390</v>
      </c>
      <c r="F3912" s="19"/>
      <c r="G3912" s="14">
        <f t="shared" si="69"/>
        <v>4390</v>
      </c>
      <c r="H3912" s="13"/>
    </row>
    <row r="3913" spans="1:8" hidden="1" x14ac:dyDescent="0.25">
      <c r="A3913" s="116">
        <v>45220</v>
      </c>
      <c r="B3913" s="21" t="s">
        <v>10688</v>
      </c>
      <c r="C3913" s="13" t="s">
        <v>8483</v>
      </c>
      <c r="D3913" s="782" t="s">
        <v>11616</v>
      </c>
      <c r="E3913" s="22">
        <v>294107</v>
      </c>
      <c r="F3913" s="19"/>
      <c r="G3913" s="14">
        <f t="shared" si="69"/>
        <v>294107</v>
      </c>
      <c r="H3913" s="13"/>
    </row>
    <row r="3914" spans="1:8" x14ac:dyDescent="0.25">
      <c r="A3914" s="116">
        <v>45220</v>
      </c>
      <c r="B3914" s="21" t="s">
        <v>10342</v>
      </c>
      <c r="C3914" s="13" t="s">
        <v>168</v>
      </c>
      <c r="D3914" s="782" t="s">
        <v>11601</v>
      </c>
      <c r="E3914" s="22">
        <v>90200</v>
      </c>
      <c r="F3914" s="19"/>
      <c r="G3914" s="14">
        <f t="shared" si="69"/>
        <v>90200</v>
      </c>
      <c r="H3914" s="13"/>
    </row>
    <row r="3915" spans="1:8" hidden="1" x14ac:dyDescent="0.25">
      <c r="A3915" s="116">
        <v>45220</v>
      </c>
      <c r="B3915" s="21" t="s">
        <v>11023</v>
      </c>
      <c r="C3915" s="13" t="s">
        <v>180</v>
      </c>
      <c r="D3915" s="782" t="s">
        <v>11610</v>
      </c>
      <c r="E3915" s="22">
        <v>148500</v>
      </c>
      <c r="F3915" s="19"/>
      <c r="G3915" s="14">
        <f t="shared" si="69"/>
        <v>148500</v>
      </c>
      <c r="H3915" s="13"/>
    </row>
    <row r="3916" spans="1:8" hidden="1" x14ac:dyDescent="0.25">
      <c r="A3916" s="116">
        <v>45220</v>
      </c>
      <c r="B3916" s="21" t="s">
        <v>10342</v>
      </c>
      <c r="C3916" s="13" t="s">
        <v>180</v>
      </c>
      <c r="D3916" s="782" t="s">
        <v>11611</v>
      </c>
      <c r="E3916" s="22">
        <v>89600</v>
      </c>
      <c r="F3916" s="19"/>
      <c r="G3916" s="14">
        <f t="shared" si="69"/>
        <v>89600</v>
      </c>
      <c r="H3916" s="13"/>
    </row>
    <row r="3917" spans="1:8" hidden="1" x14ac:dyDescent="0.25">
      <c r="A3917" s="116">
        <v>45223</v>
      </c>
      <c r="B3917" s="21" t="s">
        <v>11568</v>
      </c>
      <c r="C3917" s="13" t="s">
        <v>8483</v>
      </c>
      <c r="D3917" s="782" t="s">
        <v>11617</v>
      </c>
      <c r="E3917" s="22">
        <v>186677</v>
      </c>
      <c r="F3917" s="19"/>
      <c r="G3917" s="14">
        <f t="shared" si="69"/>
        <v>186677</v>
      </c>
      <c r="H3917" s="13"/>
    </row>
    <row r="3918" spans="1:8" x14ac:dyDescent="0.25">
      <c r="A3918" s="116">
        <v>45223</v>
      </c>
      <c r="B3918" s="21" t="s">
        <v>10582</v>
      </c>
      <c r="C3918" s="13" t="s">
        <v>168</v>
      </c>
      <c r="D3918" s="782" t="s">
        <v>11602</v>
      </c>
      <c r="E3918" s="22">
        <v>55094</v>
      </c>
      <c r="F3918" s="19"/>
      <c r="G3918" s="14">
        <f t="shared" si="69"/>
        <v>55094</v>
      </c>
      <c r="H3918" s="13"/>
    </row>
    <row r="3919" spans="1:8" x14ac:dyDescent="0.25">
      <c r="A3919" s="116">
        <v>45223</v>
      </c>
      <c r="B3919" s="21" t="s">
        <v>11023</v>
      </c>
      <c r="C3919" s="13" t="s">
        <v>12084</v>
      </c>
      <c r="D3919" s="782" t="s">
        <v>11603</v>
      </c>
      <c r="E3919" s="22">
        <v>602000</v>
      </c>
      <c r="F3919" s="19"/>
      <c r="G3919" s="14">
        <f t="shared" si="69"/>
        <v>602000</v>
      </c>
      <c r="H3919" s="13" t="s">
        <v>11604</v>
      </c>
    </row>
    <row r="3920" spans="1:8" hidden="1" x14ac:dyDescent="0.25">
      <c r="A3920" s="116">
        <v>45223</v>
      </c>
      <c r="B3920" s="21" t="s">
        <v>10096</v>
      </c>
      <c r="C3920" s="13" t="s">
        <v>166</v>
      </c>
      <c r="D3920" s="782" t="s">
        <v>11605</v>
      </c>
      <c r="E3920" s="22">
        <v>20485</v>
      </c>
      <c r="F3920" s="19"/>
      <c r="G3920" s="14">
        <f t="shared" si="69"/>
        <v>20485</v>
      </c>
      <c r="H3920" s="13"/>
    </row>
    <row r="3921" spans="1:8" hidden="1" x14ac:dyDescent="0.25">
      <c r="A3921" s="116">
        <v>45224</v>
      </c>
      <c r="B3921" s="21" t="s">
        <v>11568</v>
      </c>
      <c r="C3921" s="13" t="s">
        <v>166</v>
      </c>
      <c r="D3921" s="782" t="s">
        <v>11606</v>
      </c>
      <c r="E3921" s="22">
        <v>101145</v>
      </c>
      <c r="F3921" s="19"/>
      <c r="G3921" s="14">
        <f t="shared" si="69"/>
        <v>101145</v>
      </c>
      <c r="H3921" s="13"/>
    </row>
    <row r="3922" spans="1:8" x14ac:dyDescent="0.25">
      <c r="A3922" s="116">
        <v>45224</v>
      </c>
      <c r="B3922" s="21" t="s">
        <v>10683</v>
      </c>
      <c r="C3922" s="13" t="s">
        <v>168</v>
      </c>
      <c r="D3922" s="782" t="s">
        <v>11712</v>
      </c>
      <c r="E3922" s="22">
        <v>55000</v>
      </c>
      <c r="F3922" s="19"/>
      <c r="G3922" s="14">
        <f t="shared" si="69"/>
        <v>55000</v>
      </c>
      <c r="H3922" s="13" t="s">
        <v>11713</v>
      </c>
    </row>
    <row r="3923" spans="1:8" hidden="1" x14ac:dyDescent="0.25">
      <c r="A3923" s="116">
        <v>45225</v>
      </c>
      <c r="B3923" s="21" t="s">
        <v>11568</v>
      </c>
      <c r="C3923" s="13" t="s">
        <v>8483</v>
      </c>
      <c r="D3923" s="782" t="s">
        <v>11618</v>
      </c>
      <c r="E3923" s="22">
        <v>251153</v>
      </c>
      <c r="F3923" s="19"/>
      <c r="G3923" s="14">
        <f t="shared" si="69"/>
        <v>251153</v>
      </c>
      <c r="H3923" s="13"/>
    </row>
    <row r="3924" spans="1:8" hidden="1" x14ac:dyDescent="0.25">
      <c r="A3924" s="116">
        <v>45225</v>
      </c>
      <c r="B3924" s="21" t="s">
        <v>10406</v>
      </c>
      <c r="C3924" s="13" t="s">
        <v>8483</v>
      </c>
      <c r="D3924" s="782" t="s">
        <v>11619</v>
      </c>
      <c r="E3924" s="22">
        <v>25780</v>
      </c>
      <c r="F3924" s="19"/>
      <c r="G3924" s="14">
        <f t="shared" si="69"/>
        <v>25780</v>
      </c>
      <c r="H3924" s="13"/>
    </row>
    <row r="3925" spans="1:8" hidden="1" x14ac:dyDescent="0.25">
      <c r="A3925" s="116">
        <v>45225</v>
      </c>
      <c r="B3925" s="21" t="s">
        <v>10582</v>
      </c>
      <c r="C3925" s="13" t="s">
        <v>166</v>
      </c>
      <c r="D3925" s="782" t="s">
        <v>11607</v>
      </c>
      <c r="E3925" s="22">
        <v>18060</v>
      </c>
      <c r="F3925" s="19"/>
      <c r="G3925" s="14">
        <f t="shared" si="69"/>
        <v>18060</v>
      </c>
      <c r="H3925" s="13"/>
    </row>
    <row r="3926" spans="1:8" hidden="1" x14ac:dyDescent="0.25">
      <c r="A3926" s="116">
        <v>45225</v>
      </c>
      <c r="B3926" s="21" t="s">
        <v>10342</v>
      </c>
      <c r="C3926" s="13" t="s">
        <v>166</v>
      </c>
      <c r="D3926" s="782" t="s">
        <v>11608</v>
      </c>
      <c r="E3926" s="22">
        <v>15980</v>
      </c>
      <c r="F3926" s="19"/>
      <c r="G3926" s="14">
        <f t="shared" si="69"/>
        <v>15980</v>
      </c>
      <c r="H3926" s="13"/>
    </row>
    <row r="3927" spans="1:8" hidden="1" x14ac:dyDescent="0.25">
      <c r="A3927" s="116">
        <v>45225</v>
      </c>
      <c r="B3927" s="21" t="s">
        <v>10582</v>
      </c>
      <c r="C3927" s="13" t="s">
        <v>166</v>
      </c>
      <c r="D3927" s="782" t="s">
        <v>11609</v>
      </c>
      <c r="E3927" s="22">
        <v>8670</v>
      </c>
      <c r="F3927" s="19"/>
      <c r="G3927" s="14">
        <f t="shared" si="69"/>
        <v>8670</v>
      </c>
      <c r="H3927" s="13"/>
    </row>
    <row r="3928" spans="1:8" hidden="1" x14ac:dyDescent="0.25">
      <c r="A3928" s="116">
        <v>45225</v>
      </c>
      <c r="B3928" s="21" t="s">
        <v>10342</v>
      </c>
      <c r="C3928" s="13" t="s">
        <v>164</v>
      </c>
      <c r="D3928" s="782" t="s">
        <v>11614</v>
      </c>
      <c r="E3928" s="22">
        <v>7240</v>
      </c>
      <c r="F3928" s="19"/>
      <c r="G3928" s="14">
        <f t="shared" si="69"/>
        <v>7240</v>
      </c>
      <c r="H3928" s="13"/>
    </row>
    <row r="3929" spans="1:8" hidden="1" x14ac:dyDescent="0.25">
      <c r="A3929" s="116">
        <v>45226</v>
      </c>
      <c r="B3929" s="21" t="s">
        <v>10688</v>
      </c>
      <c r="C3929" s="13" t="s">
        <v>8483</v>
      </c>
      <c r="D3929" s="782" t="s">
        <v>11620</v>
      </c>
      <c r="E3929" s="22">
        <v>82305</v>
      </c>
      <c r="F3929" s="19"/>
      <c r="G3929" s="14">
        <f t="shared" si="69"/>
        <v>82305</v>
      </c>
      <c r="H3929" s="13"/>
    </row>
    <row r="3930" spans="1:8" hidden="1" x14ac:dyDescent="0.25">
      <c r="A3930" s="116">
        <v>45226</v>
      </c>
      <c r="B3930" s="21" t="s">
        <v>11023</v>
      </c>
      <c r="C3930" s="13" t="s">
        <v>8483</v>
      </c>
      <c r="D3930" s="782" t="s">
        <v>11621</v>
      </c>
      <c r="E3930" s="22">
        <v>43922</v>
      </c>
      <c r="F3930" s="19"/>
      <c r="G3930" s="14">
        <f t="shared" si="69"/>
        <v>43922</v>
      </c>
      <c r="H3930" s="13"/>
    </row>
    <row r="3931" spans="1:8" hidden="1" x14ac:dyDescent="0.25">
      <c r="A3931" s="116">
        <v>45227</v>
      </c>
      <c r="B3931" s="21" t="s">
        <v>11568</v>
      </c>
      <c r="C3931" s="13" t="s">
        <v>164</v>
      </c>
      <c r="D3931" s="782" t="s">
        <v>11615</v>
      </c>
      <c r="E3931" s="22">
        <v>40947</v>
      </c>
      <c r="F3931" s="22"/>
      <c r="G3931" s="14">
        <f t="shared" si="69"/>
        <v>40947</v>
      </c>
      <c r="H3931" s="13"/>
    </row>
    <row r="3932" spans="1:8" hidden="1" x14ac:dyDescent="0.25">
      <c r="A3932" s="116">
        <v>45227</v>
      </c>
      <c r="B3932" s="21" t="s">
        <v>10490</v>
      </c>
      <c r="C3932" s="13" t="s">
        <v>5731</v>
      </c>
      <c r="D3932" s="782"/>
      <c r="E3932" s="22"/>
      <c r="F3932" s="19">
        <v>200000</v>
      </c>
      <c r="G3932" s="14">
        <f t="shared" si="69"/>
        <v>-200000</v>
      </c>
      <c r="H3932" s="13" t="s">
        <v>11622</v>
      </c>
    </row>
    <row r="3933" spans="1:8" hidden="1" x14ac:dyDescent="0.25">
      <c r="A3933" s="116">
        <v>45227</v>
      </c>
      <c r="B3933" s="21" t="s">
        <v>10261</v>
      </c>
      <c r="C3933" s="13" t="s">
        <v>5731</v>
      </c>
      <c r="D3933" s="782"/>
      <c r="E3933" s="22"/>
      <c r="F3933" s="19">
        <v>9400</v>
      </c>
      <c r="G3933" s="14">
        <f t="shared" si="69"/>
        <v>-9400</v>
      </c>
      <c r="H3933" s="13" t="s">
        <v>11492</v>
      </c>
    </row>
    <row r="3934" spans="1:8" hidden="1" x14ac:dyDescent="0.25">
      <c r="A3934" s="116">
        <v>45227</v>
      </c>
      <c r="B3934" s="21" t="s">
        <v>9877</v>
      </c>
      <c r="C3934" s="13" t="s">
        <v>5731</v>
      </c>
      <c r="D3934" s="782"/>
      <c r="E3934" s="22"/>
      <c r="F3934" s="19">
        <v>57000</v>
      </c>
      <c r="G3934" s="14">
        <f t="shared" si="69"/>
        <v>-57000</v>
      </c>
      <c r="H3934" s="13" t="s">
        <v>11492</v>
      </c>
    </row>
    <row r="3935" spans="1:8" hidden="1" x14ac:dyDescent="0.25">
      <c r="A3935" s="116">
        <v>45227</v>
      </c>
      <c r="B3935" s="21" t="s">
        <v>10582</v>
      </c>
      <c r="C3935" s="13" t="s">
        <v>5731</v>
      </c>
      <c r="D3935" s="782"/>
      <c r="E3935" s="22"/>
      <c r="F3935" s="19">
        <v>1500</v>
      </c>
      <c r="G3935" s="14">
        <f t="shared" si="69"/>
        <v>-1500</v>
      </c>
      <c r="H3935" s="13" t="s">
        <v>11492</v>
      </c>
    </row>
    <row r="3936" spans="1:8" hidden="1" x14ac:dyDescent="0.25">
      <c r="A3936" s="116">
        <v>45229</v>
      </c>
      <c r="B3936" s="21" t="s">
        <v>10342</v>
      </c>
      <c r="C3936" s="13" t="s">
        <v>7538</v>
      </c>
      <c r="D3936" s="782" t="s">
        <v>11695</v>
      </c>
      <c r="E3936" s="22">
        <v>437436</v>
      </c>
      <c r="F3936" s="19"/>
      <c r="G3936" s="14">
        <f t="shared" si="69"/>
        <v>437436</v>
      </c>
      <c r="H3936" s="13"/>
    </row>
    <row r="3937" spans="1:8" hidden="1" x14ac:dyDescent="0.25">
      <c r="A3937" s="116">
        <v>45229</v>
      </c>
      <c r="B3937" s="21" t="s">
        <v>11568</v>
      </c>
      <c r="C3937" s="13" t="s">
        <v>8483</v>
      </c>
      <c r="D3937" s="782" t="s">
        <v>11710</v>
      </c>
      <c r="E3937" s="22">
        <v>83101</v>
      </c>
      <c r="F3937" s="19"/>
      <c r="G3937" s="14">
        <f t="shared" si="69"/>
        <v>83101</v>
      </c>
      <c r="H3937" s="13"/>
    </row>
    <row r="3938" spans="1:8" hidden="1" x14ac:dyDescent="0.25">
      <c r="A3938" s="116">
        <v>45230</v>
      </c>
      <c r="B3938" s="21" t="s">
        <v>11193</v>
      </c>
      <c r="C3938" s="13" t="s">
        <v>7538</v>
      </c>
      <c r="D3938" s="782" t="s">
        <v>11696</v>
      </c>
      <c r="E3938" s="22">
        <v>43900</v>
      </c>
      <c r="F3938" s="19"/>
      <c r="G3938" s="14">
        <f t="shared" si="69"/>
        <v>43900</v>
      </c>
      <c r="H3938" s="13"/>
    </row>
    <row r="3939" spans="1:8" hidden="1" x14ac:dyDescent="0.25">
      <c r="A3939" s="116">
        <v>45230</v>
      </c>
      <c r="B3939" s="21" t="s">
        <v>10342</v>
      </c>
      <c r="C3939" s="13" t="s">
        <v>8483</v>
      </c>
      <c r="D3939" s="782" t="s">
        <v>11711</v>
      </c>
      <c r="E3939" s="22">
        <v>48244</v>
      </c>
      <c r="F3939" s="19"/>
      <c r="G3939" s="14">
        <f t="shared" si="69"/>
        <v>48244</v>
      </c>
      <c r="H3939" s="13"/>
    </row>
    <row r="3940" spans="1:8" hidden="1" x14ac:dyDescent="0.25">
      <c r="A3940" s="116">
        <v>45230</v>
      </c>
      <c r="B3940" s="21" t="s">
        <v>10096</v>
      </c>
      <c r="C3940" s="13" t="s">
        <v>166</v>
      </c>
      <c r="D3940" s="782" t="s">
        <v>11911</v>
      </c>
      <c r="E3940" s="22">
        <v>13200</v>
      </c>
      <c r="F3940" s="19"/>
      <c r="G3940" s="14">
        <f t="shared" si="69"/>
        <v>13200</v>
      </c>
      <c r="H3940" s="13"/>
    </row>
    <row r="3941" spans="1:8" hidden="1" x14ac:dyDescent="0.25">
      <c r="A3941" s="116">
        <v>45231</v>
      </c>
      <c r="B3941" s="21" t="s">
        <v>9463</v>
      </c>
      <c r="C3941" s="13" t="s">
        <v>7538</v>
      </c>
      <c r="D3941" s="782"/>
      <c r="E3941" s="22"/>
      <c r="F3941" s="19">
        <v>350000</v>
      </c>
      <c r="G3941" s="14">
        <f t="shared" si="69"/>
        <v>-350000</v>
      </c>
      <c r="H3941" s="13" t="s">
        <v>11662</v>
      </c>
    </row>
    <row r="3942" spans="1:8" hidden="1" x14ac:dyDescent="0.25">
      <c r="A3942" s="116">
        <v>45231</v>
      </c>
      <c r="B3942" s="21" t="s">
        <v>9463</v>
      </c>
      <c r="C3942" s="13" t="s">
        <v>7538</v>
      </c>
      <c r="D3942" s="782"/>
      <c r="E3942" s="22"/>
      <c r="F3942" s="19">
        <v>350000</v>
      </c>
      <c r="G3942" s="14">
        <f t="shared" si="69"/>
        <v>-350000</v>
      </c>
      <c r="H3942" s="13" t="s">
        <v>11663</v>
      </c>
    </row>
    <row r="3943" spans="1:8" hidden="1" x14ac:dyDescent="0.25">
      <c r="A3943" s="116">
        <v>45231</v>
      </c>
      <c r="B3943" s="21" t="s">
        <v>10688</v>
      </c>
      <c r="C3943" s="13" t="s">
        <v>7538</v>
      </c>
      <c r="D3943" s="782" t="s">
        <v>11698</v>
      </c>
      <c r="E3943" s="22">
        <v>168867</v>
      </c>
      <c r="F3943" s="19"/>
      <c r="G3943" s="14">
        <f t="shared" si="69"/>
        <v>168867</v>
      </c>
      <c r="H3943" s="13"/>
    </row>
    <row r="3944" spans="1:8" hidden="1" x14ac:dyDescent="0.25">
      <c r="A3944" s="116">
        <v>45231</v>
      </c>
      <c r="B3944" s="21" t="s">
        <v>10077</v>
      </c>
      <c r="C3944" s="13" t="s">
        <v>164</v>
      </c>
      <c r="D3944" s="782" t="s">
        <v>11714</v>
      </c>
      <c r="E3944" s="22">
        <v>3140</v>
      </c>
      <c r="F3944" s="113"/>
      <c r="G3944" s="14">
        <f t="shared" si="69"/>
        <v>3140</v>
      </c>
      <c r="H3944" s="13"/>
    </row>
    <row r="3945" spans="1:8" hidden="1" x14ac:dyDescent="0.25">
      <c r="A3945" s="116">
        <v>45232</v>
      </c>
      <c r="B3945" s="21" t="s">
        <v>11193</v>
      </c>
      <c r="C3945" s="13" t="s">
        <v>8483</v>
      </c>
      <c r="D3945" s="782" t="s">
        <v>11776</v>
      </c>
      <c r="E3945" s="22">
        <v>75122</v>
      </c>
      <c r="F3945" s="113"/>
      <c r="G3945" s="14">
        <f t="shared" si="69"/>
        <v>75122</v>
      </c>
      <c r="H3945" s="13"/>
    </row>
    <row r="3946" spans="1:8" hidden="1" x14ac:dyDescent="0.25">
      <c r="A3946" s="116">
        <v>45233</v>
      </c>
      <c r="B3946" s="21" t="s">
        <v>9463</v>
      </c>
      <c r="C3946" s="13" t="s">
        <v>7538</v>
      </c>
      <c r="D3946" s="782"/>
      <c r="E3946" s="22"/>
      <c r="F3946" s="113">
        <v>350000</v>
      </c>
      <c r="G3946" s="14">
        <f t="shared" si="69"/>
        <v>-350000</v>
      </c>
      <c r="H3946" s="13" t="s">
        <v>11669</v>
      </c>
    </row>
    <row r="3947" spans="1:8" hidden="1" x14ac:dyDescent="0.25">
      <c r="A3947" s="116">
        <v>45233</v>
      </c>
      <c r="B3947" s="21" t="s">
        <v>9463</v>
      </c>
      <c r="C3947" s="13" t="s">
        <v>7538</v>
      </c>
      <c r="D3947" s="782"/>
      <c r="E3947" s="799"/>
      <c r="F3947" s="801">
        <f>350000-F3948</f>
        <v>176319</v>
      </c>
      <c r="G3947" s="800">
        <f t="shared" si="69"/>
        <v>-176319</v>
      </c>
      <c r="H3947" s="1132" t="s">
        <v>11700</v>
      </c>
    </row>
    <row r="3948" spans="1:8" ht="16.5" hidden="1" thickBot="1" x14ac:dyDescent="0.3">
      <c r="A3948" s="116">
        <v>45233</v>
      </c>
      <c r="B3948" s="21" t="s">
        <v>11193</v>
      </c>
      <c r="C3948" s="13" t="s">
        <v>7538</v>
      </c>
      <c r="D3948" s="782"/>
      <c r="E3948" s="799"/>
      <c r="F3948" s="802">
        <v>173681</v>
      </c>
      <c r="G3948" s="800">
        <f t="shared" si="69"/>
        <v>-173681</v>
      </c>
      <c r="H3948" s="1133"/>
    </row>
    <row r="3949" spans="1:8" hidden="1" x14ac:dyDescent="0.25">
      <c r="A3949" s="116">
        <v>45233</v>
      </c>
      <c r="B3949" s="21" t="s">
        <v>10688</v>
      </c>
      <c r="C3949" s="13" t="s">
        <v>9186</v>
      </c>
      <c r="D3949" s="782"/>
      <c r="E3949" s="22"/>
      <c r="F3949" s="115">
        <v>400000</v>
      </c>
      <c r="G3949" s="14">
        <f t="shared" si="69"/>
        <v>-400000</v>
      </c>
      <c r="H3949" s="13" t="s">
        <v>11671</v>
      </c>
    </row>
    <row r="3950" spans="1:8" hidden="1" x14ac:dyDescent="0.25">
      <c r="A3950" s="116">
        <v>45233</v>
      </c>
      <c r="B3950" s="21" t="s">
        <v>10688</v>
      </c>
      <c r="C3950" s="13" t="s">
        <v>9186</v>
      </c>
      <c r="D3950" s="782"/>
      <c r="E3950" s="22"/>
      <c r="F3950" s="19">
        <v>485000</v>
      </c>
      <c r="G3950" s="14">
        <f t="shared" si="69"/>
        <v>-485000</v>
      </c>
      <c r="H3950" s="13" t="s">
        <v>11672</v>
      </c>
    </row>
    <row r="3951" spans="1:8" hidden="1" x14ac:dyDescent="0.25">
      <c r="A3951" s="116">
        <v>45233</v>
      </c>
      <c r="B3951" s="21" t="s">
        <v>10688</v>
      </c>
      <c r="C3951" s="13" t="s">
        <v>7538</v>
      </c>
      <c r="D3951" s="782" t="s">
        <v>11699</v>
      </c>
      <c r="E3951" s="22">
        <v>224668</v>
      </c>
      <c r="F3951" s="19"/>
      <c r="G3951" s="14">
        <f t="shared" si="69"/>
        <v>224668</v>
      </c>
      <c r="H3951" s="13"/>
    </row>
    <row r="3952" spans="1:8" hidden="1" x14ac:dyDescent="0.25">
      <c r="A3952" s="116">
        <v>45233</v>
      </c>
      <c r="B3952" s="21" t="s">
        <v>10342</v>
      </c>
      <c r="C3952" s="13" t="s">
        <v>7538</v>
      </c>
      <c r="D3952" s="782" t="s">
        <v>11697</v>
      </c>
      <c r="E3952" s="22">
        <v>32000</v>
      </c>
      <c r="F3952" s="19"/>
      <c r="G3952" s="14">
        <f t="shared" si="69"/>
        <v>32000</v>
      </c>
      <c r="H3952" s="13"/>
    </row>
    <row r="3953" spans="1:8" hidden="1" x14ac:dyDescent="0.25">
      <c r="A3953" s="116">
        <v>45233</v>
      </c>
      <c r="B3953" s="21" t="s">
        <v>11023</v>
      </c>
      <c r="C3953" s="13" t="s">
        <v>166</v>
      </c>
      <c r="D3953" s="782" t="s">
        <v>11912</v>
      </c>
      <c r="E3953" s="22">
        <v>9240</v>
      </c>
      <c r="F3953" s="19"/>
      <c r="G3953" s="14">
        <f t="shared" si="69"/>
        <v>9240</v>
      </c>
      <c r="H3953" s="13"/>
    </row>
    <row r="3954" spans="1:8" hidden="1" x14ac:dyDescent="0.25">
      <c r="A3954" s="116">
        <v>45234</v>
      </c>
      <c r="B3954" s="21" t="s">
        <v>10688</v>
      </c>
      <c r="C3954" s="13" t="s">
        <v>8483</v>
      </c>
      <c r="D3954" s="782"/>
      <c r="E3954" s="22"/>
      <c r="F3954" s="19">
        <v>1300000</v>
      </c>
      <c r="G3954" s="14">
        <f t="shared" si="69"/>
        <v>-1300000</v>
      </c>
      <c r="H3954" s="13" t="s">
        <v>11558</v>
      </c>
    </row>
    <row r="3955" spans="1:8" hidden="1" x14ac:dyDescent="0.25">
      <c r="A3955" s="116">
        <v>45234</v>
      </c>
      <c r="B3955" s="21" t="s">
        <v>10688</v>
      </c>
      <c r="C3955" s="13" t="s">
        <v>8483</v>
      </c>
      <c r="D3955" s="782" t="s">
        <v>11777</v>
      </c>
      <c r="E3955" s="22">
        <v>85030</v>
      </c>
      <c r="F3955" s="19"/>
      <c r="G3955" s="14">
        <f t="shared" si="69"/>
        <v>85030</v>
      </c>
      <c r="H3955" s="13"/>
    </row>
    <row r="3956" spans="1:8" hidden="1" x14ac:dyDescent="0.25">
      <c r="A3956" s="116">
        <v>45234</v>
      </c>
      <c r="B3956" s="21" t="s">
        <v>11568</v>
      </c>
      <c r="C3956" s="13" t="s">
        <v>8483</v>
      </c>
      <c r="D3956" s="782" t="s">
        <v>11778</v>
      </c>
      <c r="E3956" s="22">
        <v>33426</v>
      </c>
      <c r="F3956" s="19"/>
      <c r="G3956" s="14">
        <f t="shared" si="69"/>
        <v>33426</v>
      </c>
      <c r="H3956" s="13"/>
    </row>
    <row r="3957" spans="1:8" x14ac:dyDescent="0.25">
      <c r="A3957" s="116">
        <v>45234</v>
      </c>
      <c r="B3957" s="21" t="s">
        <v>11391</v>
      </c>
      <c r="C3957" s="13" t="s">
        <v>168</v>
      </c>
      <c r="D3957" s="782" t="s">
        <v>11782</v>
      </c>
      <c r="E3957" s="22">
        <v>19640</v>
      </c>
      <c r="F3957" s="19"/>
      <c r="G3957" s="14">
        <f t="shared" si="69"/>
        <v>19640</v>
      </c>
      <c r="H3957" s="13"/>
    </row>
    <row r="3958" spans="1:8" hidden="1" x14ac:dyDescent="0.25">
      <c r="A3958" s="116">
        <v>45234</v>
      </c>
      <c r="B3958" s="21" t="s">
        <v>11023</v>
      </c>
      <c r="C3958" s="13" t="s">
        <v>7309</v>
      </c>
      <c r="D3958" s="782" t="s">
        <v>8650</v>
      </c>
      <c r="E3958" s="22">
        <v>1931655</v>
      </c>
      <c r="F3958" s="19"/>
      <c r="G3958" s="14">
        <f t="shared" si="69"/>
        <v>1931655</v>
      </c>
      <c r="H3958" s="13"/>
    </row>
    <row r="3959" spans="1:8" hidden="1" x14ac:dyDescent="0.25">
      <c r="A3959" s="116">
        <v>45236</v>
      </c>
      <c r="B3959" s="21" t="s">
        <v>10342</v>
      </c>
      <c r="C3959" s="13" t="s">
        <v>7538</v>
      </c>
      <c r="D3959" s="782" t="s">
        <v>11773</v>
      </c>
      <c r="E3959" s="22">
        <v>32000</v>
      </c>
      <c r="F3959" s="19"/>
      <c r="G3959" s="14">
        <f t="shared" si="69"/>
        <v>32000</v>
      </c>
      <c r="H3959" s="13"/>
    </row>
    <row r="3960" spans="1:8" hidden="1" x14ac:dyDescent="0.25">
      <c r="A3960" s="116">
        <v>45236</v>
      </c>
      <c r="B3960" s="21" t="s">
        <v>11568</v>
      </c>
      <c r="C3960" s="13" t="s">
        <v>166</v>
      </c>
      <c r="D3960" s="782" t="s">
        <v>11913</v>
      </c>
      <c r="E3960" s="22">
        <v>36420</v>
      </c>
      <c r="F3960" s="19"/>
      <c r="G3960" s="14">
        <f t="shared" si="69"/>
        <v>36420</v>
      </c>
      <c r="H3960" s="13"/>
    </row>
    <row r="3961" spans="1:8" hidden="1" x14ac:dyDescent="0.25">
      <c r="A3961" s="116">
        <v>45237</v>
      </c>
      <c r="B3961" s="21" t="s">
        <v>11023</v>
      </c>
      <c r="C3961" s="13" t="s">
        <v>7538</v>
      </c>
      <c r="D3961" s="782" t="s">
        <v>11774</v>
      </c>
      <c r="E3961" s="22">
        <v>32600</v>
      </c>
      <c r="F3961" s="19"/>
      <c r="G3961" s="14">
        <f t="shared" si="69"/>
        <v>32600</v>
      </c>
      <c r="H3961" s="13"/>
    </row>
    <row r="3962" spans="1:8" hidden="1" x14ac:dyDescent="0.25">
      <c r="A3962" s="116">
        <v>45237</v>
      </c>
      <c r="B3962" s="21" t="s">
        <v>10342</v>
      </c>
      <c r="C3962" s="13" t="s">
        <v>8483</v>
      </c>
      <c r="D3962" s="782" t="s">
        <v>11779</v>
      </c>
      <c r="E3962" s="22">
        <v>203960</v>
      </c>
      <c r="F3962" s="19"/>
      <c r="G3962" s="14">
        <f t="shared" si="69"/>
        <v>203960</v>
      </c>
      <c r="H3962" s="13"/>
    </row>
    <row r="3963" spans="1:8" hidden="1" x14ac:dyDescent="0.25">
      <c r="A3963" s="116">
        <v>45237</v>
      </c>
      <c r="B3963" s="21" t="s">
        <v>11023</v>
      </c>
      <c r="C3963" s="13" t="s">
        <v>8483</v>
      </c>
      <c r="D3963" s="782" t="s">
        <v>11780</v>
      </c>
      <c r="E3963" s="22">
        <v>20685</v>
      </c>
      <c r="F3963" s="19"/>
      <c r="G3963" s="14">
        <f t="shared" si="69"/>
        <v>20685</v>
      </c>
      <c r="H3963" s="13"/>
    </row>
    <row r="3964" spans="1:8" x14ac:dyDescent="0.25">
      <c r="A3964" s="116">
        <v>45237</v>
      </c>
      <c r="B3964" s="21" t="s">
        <v>10688</v>
      </c>
      <c r="C3964" s="13" t="s">
        <v>168</v>
      </c>
      <c r="D3964" s="782" t="s">
        <v>11833</v>
      </c>
      <c r="E3964" s="22">
        <v>74282</v>
      </c>
      <c r="F3964" s="19"/>
      <c r="G3964" s="14">
        <f t="shared" si="69"/>
        <v>74282</v>
      </c>
      <c r="H3964" s="13"/>
    </row>
    <row r="3965" spans="1:8" hidden="1" x14ac:dyDescent="0.25">
      <c r="A3965" s="116">
        <v>45237</v>
      </c>
      <c r="B3965" s="21" t="s">
        <v>10342</v>
      </c>
      <c r="C3965" s="13" t="s">
        <v>7538</v>
      </c>
      <c r="D3965" s="782"/>
      <c r="E3965" s="22"/>
      <c r="F3965" s="19">
        <v>350000</v>
      </c>
      <c r="G3965" s="14">
        <f t="shared" si="69"/>
        <v>-350000</v>
      </c>
      <c r="H3965" s="13" t="s">
        <v>11772</v>
      </c>
    </row>
    <row r="3966" spans="1:8" hidden="1" x14ac:dyDescent="0.25">
      <c r="A3966" s="116">
        <v>45237</v>
      </c>
      <c r="B3966" s="21" t="s">
        <v>10342</v>
      </c>
      <c r="C3966" s="13" t="s">
        <v>7538</v>
      </c>
      <c r="D3966" s="782"/>
      <c r="E3966" s="22"/>
      <c r="F3966" s="19">
        <v>350000</v>
      </c>
      <c r="G3966" s="14">
        <f t="shared" si="69"/>
        <v>-350000</v>
      </c>
      <c r="H3966" s="13" t="s">
        <v>11771</v>
      </c>
    </row>
    <row r="3967" spans="1:8" hidden="1" x14ac:dyDescent="0.25">
      <c r="A3967" s="116">
        <v>45237</v>
      </c>
      <c r="B3967" s="21" t="s">
        <v>10096</v>
      </c>
      <c r="C3967" s="13" t="s">
        <v>166</v>
      </c>
      <c r="D3967" s="782" t="s">
        <v>11914</v>
      </c>
      <c r="E3967" s="22">
        <v>4515</v>
      </c>
      <c r="F3967" s="19"/>
      <c r="G3967" s="14">
        <f t="shared" si="69"/>
        <v>4515</v>
      </c>
      <c r="H3967" s="13"/>
    </row>
    <row r="3968" spans="1:8" hidden="1" x14ac:dyDescent="0.25">
      <c r="A3968" s="116">
        <v>45237</v>
      </c>
      <c r="B3968" s="21" t="s">
        <v>11391</v>
      </c>
      <c r="C3968" s="13" t="s">
        <v>164</v>
      </c>
      <c r="D3968" s="782" t="s">
        <v>12046</v>
      </c>
      <c r="E3968" s="22">
        <v>1420</v>
      </c>
      <c r="F3968" s="19"/>
      <c r="G3968" s="14">
        <f t="shared" si="69"/>
        <v>1420</v>
      </c>
      <c r="H3968" s="13"/>
    </row>
    <row r="3969" spans="1:8" hidden="1" x14ac:dyDescent="0.25">
      <c r="A3969" s="116">
        <v>45238</v>
      </c>
      <c r="B3969" s="21" t="s">
        <v>10342</v>
      </c>
      <c r="C3969" s="13" t="s">
        <v>164</v>
      </c>
      <c r="D3969" s="782" t="s">
        <v>12053</v>
      </c>
      <c r="E3969" s="22">
        <v>6739</v>
      </c>
      <c r="F3969" s="19"/>
      <c r="G3969" s="14">
        <f t="shared" si="69"/>
        <v>6739</v>
      </c>
      <c r="H3969" s="13"/>
    </row>
    <row r="3970" spans="1:8" hidden="1" x14ac:dyDescent="0.25">
      <c r="A3970" s="116">
        <v>45240</v>
      </c>
      <c r="B3970" s="21" t="s">
        <v>11391</v>
      </c>
      <c r="C3970" s="13" t="s">
        <v>8483</v>
      </c>
      <c r="D3970" s="782" t="s">
        <v>11781</v>
      </c>
      <c r="E3970" s="22">
        <v>13416</v>
      </c>
      <c r="F3970" s="19"/>
      <c r="G3970" s="14">
        <f t="shared" si="69"/>
        <v>13416</v>
      </c>
      <c r="H3970" s="13"/>
    </row>
    <row r="3971" spans="1:8" hidden="1" x14ac:dyDescent="0.25">
      <c r="A3971" s="116">
        <v>45240</v>
      </c>
      <c r="B3971" s="21" t="s">
        <v>10096</v>
      </c>
      <c r="C3971" s="13" t="s">
        <v>164</v>
      </c>
      <c r="D3971" s="782" t="s">
        <v>11783</v>
      </c>
      <c r="E3971" s="22">
        <v>168</v>
      </c>
      <c r="F3971" s="19"/>
      <c r="G3971" s="14">
        <f t="shared" si="69"/>
        <v>168</v>
      </c>
      <c r="H3971" s="13"/>
    </row>
    <row r="3972" spans="1:8" hidden="1" x14ac:dyDescent="0.25">
      <c r="A3972" s="116">
        <v>45240</v>
      </c>
      <c r="B3972" s="21" t="s">
        <v>11568</v>
      </c>
      <c r="C3972" s="13" t="s">
        <v>166</v>
      </c>
      <c r="D3972" s="782" t="s">
        <v>11915</v>
      </c>
      <c r="E3972" s="22">
        <v>20875</v>
      </c>
      <c r="F3972" s="19"/>
      <c r="G3972" s="14">
        <f t="shared" si="69"/>
        <v>20875</v>
      </c>
      <c r="H3972" s="13"/>
    </row>
    <row r="3973" spans="1:8" x14ac:dyDescent="0.25">
      <c r="A3973" s="116">
        <v>45241</v>
      </c>
      <c r="B3973" s="21" t="s">
        <v>9940</v>
      </c>
      <c r="C3973" s="13" t="s">
        <v>12083</v>
      </c>
      <c r="D3973" s="782" t="s">
        <v>11934</v>
      </c>
      <c r="E3973" s="22">
        <v>98400</v>
      </c>
      <c r="F3973" s="113"/>
      <c r="G3973" s="14">
        <f t="shared" si="69"/>
        <v>98400</v>
      </c>
      <c r="H3973" s="13"/>
    </row>
    <row r="3974" spans="1:8" hidden="1" x14ac:dyDescent="0.25">
      <c r="A3974" s="116">
        <v>45241</v>
      </c>
      <c r="B3974" s="21" t="s">
        <v>10406</v>
      </c>
      <c r="C3974" s="13" t="s">
        <v>7538</v>
      </c>
      <c r="D3974" s="782" t="s">
        <v>11775</v>
      </c>
      <c r="E3974" s="22">
        <v>43900</v>
      </c>
      <c r="F3974" s="19"/>
      <c r="G3974" s="14">
        <f t="shared" si="69"/>
        <v>43900</v>
      </c>
      <c r="H3974" s="13"/>
    </row>
    <row r="3975" spans="1:8" x14ac:dyDescent="0.25">
      <c r="A3975" s="116">
        <v>45241</v>
      </c>
      <c r="B3975" s="21" t="s">
        <v>10688</v>
      </c>
      <c r="C3975" s="13" t="s">
        <v>168</v>
      </c>
      <c r="D3975" s="782" t="s">
        <v>11834</v>
      </c>
      <c r="E3975" s="22">
        <v>386760</v>
      </c>
      <c r="F3975" s="19"/>
      <c r="G3975" s="14">
        <f t="shared" si="69"/>
        <v>386760</v>
      </c>
      <c r="H3975" s="13"/>
    </row>
    <row r="3976" spans="1:8" hidden="1" x14ac:dyDescent="0.25">
      <c r="A3976" s="116">
        <v>45241</v>
      </c>
      <c r="B3976" s="21" t="s">
        <v>10688</v>
      </c>
      <c r="C3976" s="13" t="s">
        <v>180</v>
      </c>
      <c r="D3976" s="782" t="s">
        <v>11844</v>
      </c>
      <c r="E3976" s="22">
        <v>62400</v>
      </c>
      <c r="F3976" s="19"/>
      <c r="G3976" s="14">
        <f t="shared" si="69"/>
        <v>62400</v>
      </c>
      <c r="H3976" s="13"/>
    </row>
    <row r="3977" spans="1:8" hidden="1" x14ac:dyDescent="0.25">
      <c r="A3977" s="116">
        <v>45243</v>
      </c>
      <c r="B3977" s="21" t="s">
        <v>10688</v>
      </c>
      <c r="C3977" s="13" t="s">
        <v>8483</v>
      </c>
      <c r="D3977" s="782" t="s">
        <v>11839</v>
      </c>
      <c r="E3977" s="22">
        <v>61469</v>
      </c>
      <c r="F3977" s="19"/>
      <c r="G3977" s="14">
        <f t="shared" si="69"/>
        <v>61469</v>
      </c>
      <c r="H3977" s="13"/>
    </row>
    <row r="3978" spans="1:8" hidden="1" x14ac:dyDescent="0.25">
      <c r="A3978" s="116">
        <v>45243</v>
      </c>
      <c r="B3978" s="21" t="s">
        <v>11568</v>
      </c>
      <c r="C3978" s="13" t="s">
        <v>164</v>
      </c>
      <c r="D3978" s="782" t="s">
        <v>12047</v>
      </c>
      <c r="E3978" s="22">
        <v>11157</v>
      </c>
      <c r="F3978" s="19"/>
      <c r="G3978" s="14">
        <f t="shared" si="69"/>
        <v>11157</v>
      </c>
      <c r="H3978" s="13"/>
    </row>
    <row r="3979" spans="1:8" x14ac:dyDescent="0.25">
      <c r="A3979" s="116">
        <v>45244</v>
      </c>
      <c r="B3979" s="21" t="s">
        <v>10342</v>
      </c>
      <c r="C3979" s="13" t="s">
        <v>168</v>
      </c>
      <c r="D3979" s="782" t="s">
        <v>11835</v>
      </c>
      <c r="E3979" s="22">
        <v>59680</v>
      </c>
      <c r="F3979" s="19"/>
      <c r="G3979" s="14">
        <f t="shared" si="69"/>
        <v>59680</v>
      </c>
      <c r="H3979" s="13"/>
    </row>
    <row r="3980" spans="1:8" x14ac:dyDescent="0.25">
      <c r="A3980" s="116">
        <v>45244</v>
      </c>
      <c r="B3980" s="21" t="s">
        <v>10688</v>
      </c>
      <c r="C3980" s="13" t="s">
        <v>168</v>
      </c>
      <c r="D3980" s="782" t="s">
        <v>11836</v>
      </c>
      <c r="E3980" s="22">
        <v>67140</v>
      </c>
      <c r="F3980" s="19"/>
      <c r="G3980" s="14">
        <f t="shared" si="69"/>
        <v>67140</v>
      </c>
      <c r="H3980" s="13"/>
    </row>
    <row r="3981" spans="1:8" hidden="1" x14ac:dyDescent="0.25">
      <c r="A3981" s="116">
        <v>45244</v>
      </c>
      <c r="B3981" s="21" t="s">
        <v>10688</v>
      </c>
      <c r="C3981" s="13" t="s">
        <v>7538</v>
      </c>
      <c r="D3981" s="782" t="s">
        <v>11870</v>
      </c>
      <c r="E3981" s="22">
        <v>152867</v>
      </c>
      <c r="F3981" s="19"/>
      <c r="G3981" s="14">
        <f t="shared" si="69"/>
        <v>152867</v>
      </c>
      <c r="H3981" s="13"/>
    </row>
    <row r="3982" spans="1:8" hidden="1" x14ac:dyDescent="0.25">
      <c r="A3982" s="116">
        <v>45245</v>
      </c>
      <c r="B3982" s="21" t="s">
        <v>10688</v>
      </c>
      <c r="C3982" s="13" t="s">
        <v>7538</v>
      </c>
      <c r="D3982" s="782"/>
      <c r="E3982" s="22"/>
      <c r="F3982" s="19">
        <v>350000</v>
      </c>
      <c r="G3982" s="14">
        <f t="shared" si="69"/>
        <v>-350000</v>
      </c>
      <c r="H3982" s="13" t="s">
        <v>11803</v>
      </c>
    </row>
    <row r="3983" spans="1:8" hidden="1" x14ac:dyDescent="0.25">
      <c r="A3983" s="116">
        <v>45245</v>
      </c>
      <c r="B3983" s="21" t="s">
        <v>10688</v>
      </c>
      <c r="C3983" s="13" t="s">
        <v>7538</v>
      </c>
      <c r="D3983" s="782"/>
      <c r="E3983" s="22"/>
      <c r="F3983" s="19">
        <v>350000</v>
      </c>
      <c r="G3983" s="14">
        <f t="shared" ref="G3983:G4051" si="70">E3983-F3983</f>
        <v>-350000</v>
      </c>
      <c r="H3983" s="13" t="s">
        <v>11804</v>
      </c>
    </row>
    <row r="3984" spans="1:8" hidden="1" x14ac:dyDescent="0.25">
      <c r="A3984" s="116">
        <v>45245</v>
      </c>
      <c r="B3984" s="21" t="s">
        <v>10688</v>
      </c>
      <c r="C3984" s="13" t="s">
        <v>8170</v>
      </c>
      <c r="D3984" s="782"/>
      <c r="E3984" s="22"/>
      <c r="F3984" s="19">
        <v>500000</v>
      </c>
      <c r="G3984" s="14">
        <f t="shared" si="70"/>
        <v>-500000</v>
      </c>
      <c r="H3984" s="13" t="s">
        <v>11805</v>
      </c>
    </row>
    <row r="3985" spans="1:8" hidden="1" x14ac:dyDescent="0.25">
      <c r="A3985" s="116">
        <v>45245</v>
      </c>
      <c r="B3985" s="21" t="s">
        <v>10688</v>
      </c>
      <c r="C3985" s="13" t="s">
        <v>8170</v>
      </c>
      <c r="D3985" s="782"/>
      <c r="E3985" s="22"/>
      <c r="F3985" s="19">
        <v>500000</v>
      </c>
      <c r="G3985" s="14">
        <f t="shared" si="70"/>
        <v>-500000</v>
      </c>
      <c r="H3985" s="13" t="s">
        <v>11806</v>
      </c>
    </row>
    <row r="3986" spans="1:8" hidden="1" x14ac:dyDescent="0.25">
      <c r="A3986" s="116">
        <v>45245</v>
      </c>
      <c r="B3986" s="21" t="s">
        <v>10688</v>
      </c>
      <c r="C3986" s="13" t="s">
        <v>8170</v>
      </c>
      <c r="D3986" s="782"/>
      <c r="E3986" s="22"/>
      <c r="F3986" s="19">
        <v>500000</v>
      </c>
      <c r="G3986" s="14">
        <f t="shared" si="70"/>
        <v>-500000</v>
      </c>
      <c r="H3986" s="13" t="s">
        <v>11807</v>
      </c>
    </row>
    <row r="3987" spans="1:8" hidden="1" x14ac:dyDescent="0.25">
      <c r="A3987" s="116">
        <v>45245</v>
      </c>
      <c r="B3987" s="21" t="s">
        <v>11023</v>
      </c>
      <c r="C3987" s="13" t="s">
        <v>166</v>
      </c>
      <c r="D3987" s="782" t="s">
        <v>11916</v>
      </c>
      <c r="E3987" s="22">
        <v>7990</v>
      </c>
      <c r="F3987" s="19"/>
      <c r="G3987" s="14">
        <f t="shared" si="70"/>
        <v>7990</v>
      </c>
      <c r="H3987" s="13"/>
    </row>
    <row r="3988" spans="1:8" x14ac:dyDescent="0.25">
      <c r="A3988" s="116">
        <v>45246</v>
      </c>
      <c r="B3988" s="21" t="s">
        <v>10342</v>
      </c>
      <c r="C3988" s="13" t="s">
        <v>168</v>
      </c>
      <c r="D3988" s="782" t="s">
        <v>11837</v>
      </c>
      <c r="E3988" s="22">
        <v>24200</v>
      </c>
      <c r="F3988" s="19"/>
      <c r="G3988" s="14">
        <f t="shared" si="70"/>
        <v>24200</v>
      </c>
      <c r="H3988" s="13"/>
    </row>
    <row r="3989" spans="1:8" hidden="1" x14ac:dyDescent="0.25">
      <c r="A3989" s="116">
        <v>45246</v>
      </c>
      <c r="B3989" s="21" t="s">
        <v>10688</v>
      </c>
      <c r="C3989" s="13" t="s">
        <v>8483</v>
      </c>
      <c r="D3989" s="782" t="s">
        <v>11840</v>
      </c>
      <c r="E3989" s="22">
        <v>93159</v>
      </c>
      <c r="F3989" s="19"/>
      <c r="G3989" s="14">
        <f t="shared" si="70"/>
        <v>93159</v>
      </c>
      <c r="H3989" s="13"/>
    </row>
    <row r="3990" spans="1:8" hidden="1" x14ac:dyDescent="0.25">
      <c r="A3990" s="116">
        <v>45246</v>
      </c>
      <c r="B3990" s="21" t="s">
        <v>10688</v>
      </c>
      <c r="C3990" s="13" t="s">
        <v>7538</v>
      </c>
      <c r="D3990" s="782" t="s">
        <v>11346</v>
      </c>
      <c r="E3990" s="22">
        <v>34290</v>
      </c>
      <c r="F3990" s="19"/>
      <c r="G3990" s="14">
        <f t="shared" si="70"/>
        <v>34290</v>
      </c>
      <c r="H3990" s="13"/>
    </row>
    <row r="3991" spans="1:8" hidden="1" x14ac:dyDescent="0.25">
      <c r="A3991" s="116">
        <v>45247</v>
      </c>
      <c r="B3991" s="21" t="s">
        <v>10688</v>
      </c>
      <c r="C3991" s="13" t="s">
        <v>7538</v>
      </c>
      <c r="D3991" s="782" t="s">
        <v>11871</v>
      </c>
      <c r="E3991" s="22">
        <v>212768</v>
      </c>
      <c r="F3991" s="19"/>
      <c r="G3991" s="14">
        <f t="shared" si="70"/>
        <v>212768</v>
      </c>
      <c r="H3991" s="13"/>
    </row>
    <row r="3992" spans="1:8" hidden="1" x14ac:dyDescent="0.25">
      <c r="A3992" s="116">
        <v>45247</v>
      </c>
      <c r="B3992" s="21" t="s">
        <v>10688</v>
      </c>
      <c r="C3992" s="13" t="s">
        <v>7538</v>
      </c>
      <c r="D3992" s="782"/>
      <c r="E3992" s="22"/>
      <c r="F3992" s="19">
        <v>500000</v>
      </c>
      <c r="G3992" s="14">
        <f t="shared" si="70"/>
        <v>-500000</v>
      </c>
      <c r="H3992" s="13" t="s">
        <v>11831</v>
      </c>
    </row>
    <row r="3993" spans="1:8" hidden="1" x14ac:dyDescent="0.25">
      <c r="A3993" s="116">
        <v>45247</v>
      </c>
      <c r="B3993" s="21" t="s">
        <v>10688</v>
      </c>
      <c r="C3993" s="13" t="s">
        <v>7538</v>
      </c>
      <c r="D3993" s="782"/>
      <c r="E3993" s="22"/>
      <c r="F3993" s="19">
        <v>500000</v>
      </c>
      <c r="G3993" s="14">
        <f t="shared" si="70"/>
        <v>-500000</v>
      </c>
      <c r="H3993" s="13" t="s">
        <v>11832</v>
      </c>
    </row>
    <row r="3994" spans="1:8" hidden="1" x14ac:dyDescent="0.25">
      <c r="A3994" s="116">
        <v>45247</v>
      </c>
      <c r="B3994" s="21" t="s">
        <v>11841</v>
      </c>
      <c r="C3994" s="13" t="s">
        <v>8483</v>
      </c>
      <c r="D3994" s="782" t="s">
        <v>11842</v>
      </c>
      <c r="E3994" s="22">
        <v>49822</v>
      </c>
      <c r="F3994" s="19"/>
      <c r="G3994" s="14">
        <f t="shared" si="70"/>
        <v>49822</v>
      </c>
      <c r="H3994" s="13"/>
    </row>
    <row r="3995" spans="1:8" hidden="1" x14ac:dyDescent="0.25">
      <c r="A3995" s="116">
        <v>45247</v>
      </c>
      <c r="B3995" s="21" t="s">
        <v>11740</v>
      </c>
      <c r="C3995" s="13" t="s">
        <v>8483</v>
      </c>
      <c r="D3995" s="782" t="s">
        <v>11843</v>
      </c>
      <c r="E3995" s="22">
        <v>106322</v>
      </c>
      <c r="F3995" s="19"/>
      <c r="G3995" s="14">
        <f t="shared" si="70"/>
        <v>106322</v>
      </c>
      <c r="H3995" s="13"/>
    </row>
    <row r="3996" spans="1:8" hidden="1" x14ac:dyDescent="0.25">
      <c r="A3996" s="116">
        <v>45248</v>
      </c>
      <c r="B3996" s="21" t="s">
        <v>10342</v>
      </c>
      <c r="C3996" s="13" t="s">
        <v>11444</v>
      </c>
      <c r="D3996" s="782"/>
      <c r="E3996" s="22"/>
      <c r="F3996" s="19">
        <v>495000</v>
      </c>
      <c r="G3996" s="14">
        <f>E3996-F3996</f>
        <v>-495000</v>
      </c>
      <c r="H3996" s="13" t="s">
        <v>11874</v>
      </c>
    </row>
    <row r="3997" spans="1:8" hidden="1" x14ac:dyDescent="0.25">
      <c r="A3997" s="116">
        <v>45248</v>
      </c>
      <c r="B3997" s="21" t="s">
        <v>10342</v>
      </c>
      <c r="C3997" s="13" t="s">
        <v>11444</v>
      </c>
      <c r="D3997" s="782"/>
      <c r="E3997" s="22"/>
      <c r="F3997" s="19">
        <v>490000</v>
      </c>
      <c r="G3997" s="14">
        <f>E3997-F3997</f>
        <v>-490000</v>
      </c>
      <c r="H3997" s="13" t="s">
        <v>11874</v>
      </c>
    </row>
    <row r="3998" spans="1:8" x14ac:dyDescent="0.25">
      <c r="A3998" s="116">
        <v>45248</v>
      </c>
      <c r="B3998" s="21" t="s">
        <v>10688</v>
      </c>
      <c r="C3998" s="13" t="s">
        <v>168</v>
      </c>
      <c r="D3998" s="782" t="s">
        <v>11907</v>
      </c>
      <c r="E3998" s="22">
        <v>78000</v>
      </c>
      <c r="F3998" s="113"/>
      <c r="G3998" s="14">
        <f>E3998-F3998</f>
        <v>78000</v>
      </c>
      <c r="H3998" s="13"/>
    </row>
    <row r="3999" spans="1:8" x14ac:dyDescent="0.25">
      <c r="A3999" s="116">
        <v>45248</v>
      </c>
      <c r="B3999" s="21" t="s">
        <v>11207</v>
      </c>
      <c r="C3999" s="13" t="s">
        <v>12083</v>
      </c>
      <c r="D3999" s="782"/>
      <c r="E3999" s="22"/>
      <c r="F3999" s="113">
        <v>500000</v>
      </c>
      <c r="G3999" s="14">
        <f t="shared" ref="G3999:G4005" si="71">E3999-F3999</f>
        <v>-500000</v>
      </c>
      <c r="H3999" s="13" t="s">
        <v>11874</v>
      </c>
    </row>
    <row r="4000" spans="1:8" x14ac:dyDescent="0.25">
      <c r="A4000" s="116">
        <v>45248</v>
      </c>
      <c r="B4000" s="21" t="s">
        <v>11207</v>
      </c>
      <c r="C4000" s="13" t="s">
        <v>12083</v>
      </c>
      <c r="D4000" s="782"/>
      <c r="E4000" s="22"/>
      <c r="F4000" s="113">
        <v>500000</v>
      </c>
      <c r="G4000" s="14">
        <f t="shared" si="71"/>
        <v>-500000</v>
      </c>
      <c r="H4000" s="13" t="s">
        <v>11874</v>
      </c>
    </row>
    <row r="4001" spans="1:8" x14ac:dyDescent="0.25">
      <c r="A4001" s="116">
        <v>45248</v>
      </c>
      <c r="B4001" s="21" t="s">
        <v>11207</v>
      </c>
      <c r="C4001" s="13" t="s">
        <v>12083</v>
      </c>
      <c r="D4001" s="782"/>
      <c r="E4001" s="22"/>
      <c r="F4001" s="113">
        <v>500000</v>
      </c>
      <c r="G4001" s="14">
        <f t="shared" si="71"/>
        <v>-500000</v>
      </c>
      <c r="H4001" s="13" t="s">
        <v>11874</v>
      </c>
    </row>
    <row r="4002" spans="1:8" x14ac:dyDescent="0.25">
      <c r="A4002" s="116">
        <v>45248</v>
      </c>
      <c r="B4002" s="21" t="s">
        <v>11207</v>
      </c>
      <c r="C4002" s="13" t="s">
        <v>12083</v>
      </c>
      <c r="D4002" s="782"/>
      <c r="E4002" s="22"/>
      <c r="F4002" s="113">
        <v>500000</v>
      </c>
      <c r="G4002" s="14">
        <f t="shared" si="71"/>
        <v>-500000</v>
      </c>
      <c r="H4002" s="13" t="s">
        <v>11874</v>
      </c>
    </row>
    <row r="4003" spans="1:8" x14ac:dyDescent="0.25">
      <c r="A4003" s="116">
        <v>45248</v>
      </c>
      <c r="B4003" s="21" t="s">
        <v>11207</v>
      </c>
      <c r="C4003" s="13" t="s">
        <v>12083</v>
      </c>
      <c r="D4003" s="782"/>
      <c r="E4003" s="22"/>
      <c r="F4003" s="113">
        <v>400000</v>
      </c>
      <c r="G4003" s="14">
        <f t="shared" si="71"/>
        <v>-400000</v>
      </c>
      <c r="H4003" s="13" t="s">
        <v>11874</v>
      </c>
    </row>
    <row r="4004" spans="1:8" x14ac:dyDescent="0.25">
      <c r="A4004" s="116">
        <v>45248</v>
      </c>
      <c r="B4004" s="21" t="s">
        <v>11207</v>
      </c>
      <c r="C4004" s="13" t="s">
        <v>12083</v>
      </c>
      <c r="D4004" s="782"/>
      <c r="E4004" s="22"/>
      <c r="F4004" s="113">
        <v>300000</v>
      </c>
      <c r="G4004" s="14">
        <f t="shared" si="71"/>
        <v>-300000</v>
      </c>
      <c r="H4004" s="13" t="s">
        <v>11874</v>
      </c>
    </row>
    <row r="4005" spans="1:8" x14ac:dyDescent="0.25">
      <c r="A4005" s="116">
        <v>45248</v>
      </c>
      <c r="B4005" s="21" t="s">
        <v>11207</v>
      </c>
      <c r="C4005" s="13" t="s">
        <v>12083</v>
      </c>
      <c r="D4005" s="782"/>
      <c r="E4005" s="22"/>
      <c r="F4005" s="113">
        <v>300000</v>
      </c>
      <c r="G4005" s="14">
        <f t="shared" si="71"/>
        <v>-300000</v>
      </c>
      <c r="H4005" s="13" t="s">
        <v>11874</v>
      </c>
    </row>
    <row r="4006" spans="1:8" hidden="1" x14ac:dyDescent="0.25">
      <c r="A4006" s="116">
        <v>45250</v>
      </c>
      <c r="B4006" s="21" t="s">
        <v>10342</v>
      </c>
      <c r="C4006" s="13" t="s">
        <v>7538</v>
      </c>
      <c r="D4006" s="782" t="s">
        <v>11872</v>
      </c>
      <c r="E4006" s="22">
        <v>221300</v>
      </c>
      <c r="F4006" s="113"/>
      <c r="G4006" s="14">
        <f t="shared" si="70"/>
        <v>221300</v>
      </c>
      <c r="H4006" s="13"/>
    </row>
    <row r="4007" spans="1:8" hidden="1" x14ac:dyDescent="0.25">
      <c r="A4007" s="116">
        <v>45250</v>
      </c>
      <c r="B4007" s="21" t="s">
        <v>9463</v>
      </c>
      <c r="C4007" s="13" t="s">
        <v>169</v>
      </c>
      <c r="D4007" s="782"/>
      <c r="E4007" s="799"/>
      <c r="F4007" s="801">
        <v>234213</v>
      </c>
      <c r="G4007" s="800">
        <f t="shared" si="70"/>
        <v>-234213</v>
      </c>
      <c r="H4007" s="13" t="s">
        <v>11887</v>
      </c>
    </row>
    <row r="4008" spans="1:8" hidden="1" x14ac:dyDescent="0.25">
      <c r="A4008" s="116">
        <v>45250</v>
      </c>
      <c r="B4008" s="21" t="s">
        <v>10683</v>
      </c>
      <c r="C4008" s="13" t="s">
        <v>169</v>
      </c>
      <c r="D4008" s="782"/>
      <c r="E4008" s="799"/>
      <c r="F4008" s="148">
        <v>163580</v>
      </c>
      <c r="G4008" s="800">
        <f t="shared" si="70"/>
        <v>-163580</v>
      </c>
      <c r="H4008" s="13" t="s">
        <v>11887</v>
      </c>
    </row>
    <row r="4009" spans="1:8" ht="16.5" hidden="1" thickBot="1" x14ac:dyDescent="0.3">
      <c r="A4009" s="116">
        <v>45250</v>
      </c>
      <c r="B4009" s="21" t="s">
        <v>10096</v>
      </c>
      <c r="C4009" s="13" t="s">
        <v>169</v>
      </c>
      <c r="D4009" s="782"/>
      <c r="E4009" s="799"/>
      <c r="F4009" s="802">
        <v>102207</v>
      </c>
      <c r="G4009" s="800">
        <f t="shared" si="70"/>
        <v>-102207</v>
      </c>
      <c r="H4009" s="13" t="s">
        <v>11887</v>
      </c>
    </row>
    <row r="4010" spans="1:8" hidden="1" x14ac:dyDescent="0.25">
      <c r="A4010" s="116">
        <v>45251</v>
      </c>
      <c r="B4010" s="21" t="s">
        <v>10342</v>
      </c>
      <c r="C4010" s="13" t="s">
        <v>180</v>
      </c>
      <c r="D4010" s="782"/>
      <c r="E4010" s="799"/>
      <c r="F4010" s="801">
        <v>107660</v>
      </c>
      <c r="G4010" s="800">
        <f t="shared" si="70"/>
        <v>-107660</v>
      </c>
      <c r="H4010" s="13" t="s">
        <v>11902</v>
      </c>
    </row>
    <row r="4011" spans="1:8" hidden="1" x14ac:dyDescent="0.25">
      <c r="A4011" s="116">
        <v>45251</v>
      </c>
      <c r="B4011" s="21" t="s">
        <v>10688</v>
      </c>
      <c r="C4011" s="13" t="s">
        <v>180</v>
      </c>
      <c r="D4011" s="782"/>
      <c r="E4011" s="799"/>
      <c r="F4011" s="148">
        <v>247020</v>
      </c>
      <c r="G4011" s="800">
        <f t="shared" si="70"/>
        <v>-247020</v>
      </c>
      <c r="H4011" s="13" t="s">
        <v>11902</v>
      </c>
    </row>
    <row r="4012" spans="1:8" ht="16.5" hidden="1" thickBot="1" x14ac:dyDescent="0.3">
      <c r="A4012" s="116">
        <v>45251</v>
      </c>
      <c r="B4012" s="21" t="s">
        <v>11023</v>
      </c>
      <c r="C4012" s="13" t="s">
        <v>180</v>
      </c>
      <c r="D4012" s="782"/>
      <c r="E4012" s="799"/>
      <c r="F4012" s="802">
        <v>145320</v>
      </c>
      <c r="G4012" s="800">
        <f t="shared" si="70"/>
        <v>-145320</v>
      </c>
      <c r="H4012" s="13" t="s">
        <v>11902</v>
      </c>
    </row>
    <row r="4013" spans="1:8" hidden="1" x14ac:dyDescent="0.25">
      <c r="A4013" s="116">
        <v>45251</v>
      </c>
      <c r="B4013" s="21" t="s">
        <v>11023</v>
      </c>
      <c r="C4013" s="13" t="s">
        <v>8483</v>
      </c>
      <c r="D4013" s="782" t="s">
        <v>11908</v>
      </c>
      <c r="E4013" s="22">
        <v>49712</v>
      </c>
      <c r="F4013" s="115"/>
      <c r="G4013" s="800">
        <f t="shared" si="70"/>
        <v>49712</v>
      </c>
      <c r="H4013" s="13"/>
    </row>
    <row r="4014" spans="1:8" hidden="1" x14ac:dyDescent="0.25">
      <c r="A4014" s="116">
        <v>45251</v>
      </c>
      <c r="B4014" s="21" t="s">
        <v>11568</v>
      </c>
      <c r="C4014" s="13" t="s">
        <v>8483</v>
      </c>
      <c r="D4014" s="782" t="s">
        <v>11909</v>
      </c>
      <c r="E4014" s="22">
        <v>40419</v>
      </c>
      <c r="F4014" s="115"/>
      <c r="G4014" s="800">
        <f t="shared" si="70"/>
        <v>40419</v>
      </c>
      <c r="H4014" s="13"/>
    </row>
    <row r="4015" spans="1:8" hidden="1" x14ac:dyDescent="0.25">
      <c r="A4015" s="116">
        <v>45251</v>
      </c>
      <c r="B4015" s="21" t="s">
        <v>11633</v>
      </c>
      <c r="C4015" s="13" t="s">
        <v>8483</v>
      </c>
      <c r="D4015" s="782" t="s">
        <v>11910</v>
      </c>
      <c r="E4015" s="22">
        <v>73043</v>
      </c>
      <c r="F4015" s="115"/>
      <c r="G4015" s="800">
        <f t="shared" si="70"/>
        <v>73043</v>
      </c>
      <c r="H4015" s="13"/>
    </row>
    <row r="4016" spans="1:8" hidden="1" x14ac:dyDescent="0.25">
      <c r="A4016" s="116">
        <v>45251</v>
      </c>
      <c r="B4016" s="21" t="s">
        <v>10688</v>
      </c>
      <c r="C4016" s="13" t="s">
        <v>7538</v>
      </c>
      <c r="D4016" s="782" t="s">
        <v>11928</v>
      </c>
      <c r="E4016" s="22">
        <v>59900</v>
      </c>
      <c r="F4016" s="115"/>
      <c r="G4016" s="800">
        <f t="shared" si="70"/>
        <v>59900</v>
      </c>
      <c r="H4016" s="13"/>
    </row>
    <row r="4017" spans="1:8" x14ac:dyDescent="0.25">
      <c r="A4017" s="116">
        <v>45251</v>
      </c>
      <c r="B4017" s="21" t="s">
        <v>9940</v>
      </c>
      <c r="C4017" s="13" t="s">
        <v>12083</v>
      </c>
      <c r="D4017" s="782" t="s">
        <v>11935</v>
      </c>
      <c r="E4017" s="22">
        <v>1554800</v>
      </c>
      <c r="F4017" s="113"/>
      <c r="G4017" s="14">
        <f t="shared" si="70"/>
        <v>1554800</v>
      </c>
      <c r="H4017" s="13"/>
    </row>
    <row r="4018" spans="1:8" hidden="1" x14ac:dyDescent="0.25">
      <c r="A4018" s="116">
        <v>45252</v>
      </c>
      <c r="B4018" s="21" t="s">
        <v>10342</v>
      </c>
      <c r="C4018" s="13" t="s">
        <v>8483</v>
      </c>
      <c r="D4018" s="782"/>
      <c r="E4018" s="22"/>
      <c r="F4018" s="115">
        <v>1000000</v>
      </c>
      <c r="G4018" s="14">
        <f t="shared" si="70"/>
        <v>-1000000</v>
      </c>
      <c r="H4018" s="13" t="s">
        <v>11814</v>
      </c>
    </row>
    <row r="4019" spans="1:8" hidden="1" x14ac:dyDescent="0.25">
      <c r="A4019" s="116">
        <v>45252</v>
      </c>
      <c r="B4019" s="21" t="s">
        <v>10688</v>
      </c>
      <c r="C4019" s="13" t="s">
        <v>7538</v>
      </c>
      <c r="D4019" s="782"/>
      <c r="E4019" s="22"/>
      <c r="F4019" s="19">
        <v>850000</v>
      </c>
      <c r="G4019" s="14">
        <f t="shared" si="70"/>
        <v>-850000</v>
      </c>
      <c r="H4019" s="13" t="s">
        <v>11927</v>
      </c>
    </row>
    <row r="4020" spans="1:8" hidden="1" x14ac:dyDescent="0.25">
      <c r="A4020" s="116">
        <v>45254</v>
      </c>
      <c r="B4020" s="21" t="s">
        <v>11023</v>
      </c>
      <c r="C4020" s="13" t="s">
        <v>169</v>
      </c>
      <c r="D4020" s="782" t="s">
        <v>11955</v>
      </c>
      <c r="E4020" s="22">
        <v>4500</v>
      </c>
      <c r="F4020" s="19"/>
      <c r="G4020" s="14">
        <f t="shared" si="70"/>
        <v>4500</v>
      </c>
      <c r="H4020" s="13"/>
    </row>
    <row r="4021" spans="1:8" hidden="1" x14ac:dyDescent="0.25">
      <c r="A4021" s="116">
        <v>45255</v>
      </c>
      <c r="B4021" s="21" t="s">
        <v>11841</v>
      </c>
      <c r="C4021" s="13" t="s">
        <v>8483</v>
      </c>
      <c r="D4021" s="782" t="s">
        <v>11952</v>
      </c>
      <c r="E4021" s="22">
        <v>6351</v>
      </c>
      <c r="F4021" s="19"/>
      <c r="G4021" s="14">
        <f t="shared" si="70"/>
        <v>6351</v>
      </c>
      <c r="H4021" s="13"/>
    </row>
    <row r="4022" spans="1:8" hidden="1" x14ac:dyDescent="0.25">
      <c r="A4022" s="116">
        <v>45255</v>
      </c>
      <c r="B4022" s="21" t="s">
        <v>10342</v>
      </c>
      <c r="C4022" s="13" t="s">
        <v>8483</v>
      </c>
      <c r="D4022" s="782" t="s">
        <v>11953</v>
      </c>
      <c r="E4022" s="22">
        <v>10508</v>
      </c>
      <c r="F4022" s="19"/>
      <c r="G4022" s="14">
        <f t="shared" si="70"/>
        <v>10508</v>
      </c>
      <c r="H4022" s="13"/>
    </row>
    <row r="4023" spans="1:8" hidden="1" x14ac:dyDescent="0.25">
      <c r="A4023" s="116">
        <v>45255</v>
      </c>
      <c r="B4023" s="21" t="s">
        <v>11740</v>
      </c>
      <c r="C4023" s="13" t="s">
        <v>8483</v>
      </c>
      <c r="D4023" s="782" t="s">
        <v>11954</v>
      </c>
      <c r="E4023" s="22">
        <v>42998</v>
      </c>
      <c r="F4023" s="19"/>
      <c r="G4023" s="14">
        <f t="shared" si="70"/>
        <v>42998</v>
      </c>
      <c r="H4023" s="13"/>
    </row>
    <row r="4024" spans="1:8" hidden="1" x14ac:dyDescent="0.25">
      <c r="A4024" s="116">
        <v>45257</v>
      </c>
      <c r="B4024" s="21" t="s">
        <v>11023</v>
      </c>
      <c r="C4024" s="13" t="s">
        <v>180</v>
      </c>
      <c r="D4024" s="782" t="s">
        <v>11951</v>
      </c>
      <c r="E4024" s="22">
        <v>124800</v>
      </c>
      <c r="F4024" s="19"/>
      <c r="G4024" s="14">
        <f t="shared" si="70"/>
        <v>124800</v>
      </c>
      <c r="H4024" s="13"/>
    </row>
    <row r="4025" spans="1:8" hidden="1" x14ac:dyDescent="0.25">
      <c r="A4025" s="116">
        <v>45257</v>
      </c>
      <c r="B4025" s="21" t="s">
        <v>10688</v>
      </c>
      <c r="C4025" s="13" t="s">
        <v>164</v>
      </c>
      <c r="D4025" s="782" t="s">
        <v>12048</v>
      </c>
      <c r="E4025" s="22">
        <v>5887</v>
      </c>
      <c r="F4025" s="19"/>
      <c r="G4025" s="14">
        <f t="shared" si="70"/>
        <v>5887</v>
      </c>
      <c r="H4025" s="13"/>
    </row>
    <row r="4026" spans="1:8" x14ac:dyDescent="0.25">
      <c r="A4026" s="116">
        <v>45258</v>
      </c>
      <c r="B4026" s="21" t="s">
        <v>10688</v>
      </c>
      <c r="C4026" s="13" t="s">
        <v>12086</v>
      </c>
      <c r="D4026" s="782"/>
      <c r="E4026" s="22"/>
      <c r="F4026" s="19">
        <v>500000</v>
      </c>
      <c r="G4026" s="14">
        <f t="shared" si="70"/>
        <v>-500000</v>
      </c>
      <c r="H4026" s="13" t="s">
        <v>11939</v>
      </c>
    </row>
    <row r="4027" spans="1:8" x14ac:dyDescent="0.25">
      <c r="A4027" s="116">
        <v>45258</v>
      </c>
      <c r="B4027" s="21" t="s">
        <v>10688</v>
      </c>
      <c r="C4027" s="13" t="s">
        <v>12086</v>
      </c>
      <c r="D4027" s="782"/>
      <c r="E4027" s="22"/>
      <c r="F4027" s="19">
        <v>500000</v>
      </c>
      <c r="G4027" s="14">
        <f t="shared" si="70"/>
        <v>-500000</v>
      </c>
      <c r="H4027" s="13" t="s">
        <v>11939</v>
      </c>
    </row>
    <row r="4028" spans="1:8" x14ac:dyDescent="0.25">
      <c r="A4028" s="116">
        <v>45258</v>
      </c>
      <c r="B4028" s="21" t="s">
        <v>10688</v>
      </c>
      <c r="C4028" s="13" t="s">
        <v>12086</v>
      </c>
      <c r="D4028" s="782"/>
      <c r="E4028" s="22"/>
      <c r="F4028" s="19">
        <v>500000</v>
      </c>
      <c r="G4028" s="14">
        <f t="shared" si="70"/>
        <v>-500000</v>
      </c>
      <c r="H4028" s="13" t="s">
        <v>11939</v>
      </c>
    </row>
    <row r="4029" spans="1:8" x14ac:dyDescent="0.25">
      <c r="A4029" s="116">
        <v>45258</v>
      </c>
      <c r="B4029" s="21" t="s">
        <v>10688</v>
      </c>
      <c r="C4029" s="13" t="s">
        <v>12086</v>
      </c>
      <c r="D4029" s="782"/>
      <c r="E4029" s="22"/>
      <c r="F4029" s="19">
        <v>500000</v>
      </c>
      <c r="G4029" s="14">
        <f t="shared" si="70"/>
        <v>-500000</v>
      </c>
      <c r="H4029" s="13" t="s">
        <v>11939</v>
      </c>
    </row>
    <row r="4030" spans="1:8" hidden="1" x14ac:dyDescent="0.25">
      <c r="A4030" s="116">
        <v>45260</v>
      </c>
      <c r="B4030" s="21" t="s">
        <v>11740</v>
      </c>
      <c r="C4030" s="13" t="s">
        <v>8483</v>
      </c>
      <c r="D4030" s="782" t="s">
        <v>12042</v>
      </c>
      <c r="E4030" s="22">
        <v>30958</v>
      </c>
      <c r="F4030" s="19"/>
      <c r="G4030" s="14">
        <f t="shared" si="70"/>
        <v>30958</v>
      </c>
      <c r="H4030" s="13"/>
    </row>
    <row r="4031" spans="1:8" x14ac:dyDescent="0.25">
      <c r="A4031" s="116">
        <v>45260</v>
      </c>
      <c r="B4031" s="21" t="s">
        <v>11023</v>
      </c>
      <c r="C4031" s="13" t="s">
        <v>12084</v>
      </c>
      <c r="D4031" s="782" t="s">
        <v>12085</v>
      </c>
      <c r="E4031" s="22">
        <v>189553</v>
      </c>
      <c r="F4031" s="19"/>
      <c r="G4031" s="14">
        <f t="shared" si="70"/>
        <v>189553</v>
      </c>
      <c r="H4031" s="13"/>
    </row>
    <row r="4032" spans="1:8" hidden="1" x14ac:dyDescent="0.25">
      <c r="A4032" s="116">
        <v>45262</v>
      </c>
      <c r="B4032" s="21" t="s">
        <v>10688</v>
      </c>
      <c r="C4032" s="13" t="s">
        <v>7538</v>
      </c>
      <c r="D4032" s="782"/>
      <c r="E4032" s="22"/>
      <c r="F4032" s="19">
        <v>1000000</v>
      </c>
      <c r="G4032" s="14">
        <f t="shared" si="70"/>
        <v>-1000000</v>
      </c>
      <c r="H4032" s="13" t="s">
        <v>11500</v>
      </c>
    </row>
    <row r="4033" spans="1:8" hidden="1" x14ac:dyDescent="0.25">
      <c r="A4033" s="116">
        <v>45262</v>
      </c>
      <c r="B4033" s="21" t="s">
        <v>10688</v>
      </c>
      <c r="C4033" s="13" t="s">
        <v>7538</v>
      </c>
      <c r="D4033" s="782"/>
      <c r="E4033" s="22"/>
      <c r="F4033" s="19">
        <v>600000</v>
      </c>
      <c r="G4033" s="14">
        <f t="shared" si="70"/>
        <v>-600000</v>
      </c>
      <c r="H4033" s="13" t="s">
        <v>11293</v>
      </c>
    </row>
    <row r="4034" spans="1:8" hidden="1" x14ac:dyDescent="0.25">
      <c r="A4034" s="116">
        <v>45262</v>
      </c>
      <c r="B4034" s="21" t="s">
        <v>11740</v>
      </c>
      <c r="C4034" s="13" t="s">
        <v>180</v>
      </c>
      <c r="D4034" s="782" t="s">
        <v>12052</v>
      </c>
      <c r="E4034" s="22">
        <v>52800</v>
      </c>
      <c r="F4034" s="19"/>
      <c r="G4034" s="14">
        <f t="shared" si="70"/>
        <v>52800</v>
      </c>
      <c r="H4034" s="13"/>
    </row>
    <row r="4035" spans="1:8" x14ac:dyDescent="0.25">
      <c r="A4035" s="116">
        <v>45264</v>
      </c>
      <c r="B4035" s="21" t="s">
        <v>10688</v>
      </c>
      <c r="C4035" s="13" t="s">
        <v>12086</v>
      </c>
      <c r="D4035" s="782" t="s">
        <v>12054</v>
      </c>
      <c r="E4035" s="22">
        <v>2952685</v>
      </c>
      <c r="F4035" s="19"/>
      <c r="G4035" s="14">
        <f t="shared" si="70"/>
        <v>2952685</v>
      </c>
      <c r="H4035" s="13"/>
    </row>
    <row r="4036" spans="1:8" x14ac:dyDescent="0.25">
      <c r="A4036" s="116">
        <v>45264</v>
      </c>
      <c r="B4036" s="21" t="s">
        <v>11023</v>
      </c>
      <c r="C4036" s="13" t="s">
        <v>168</v>
      </c>
      <c r="D4036" s="782" t="s">
        <v>12056</v>
      </c>
      <c r="E4036" s="22">
        <v>45000</v>
      </c>
      <c r="F4036" s="19"/>
      <c r="G4036" s="14">
        <f t="shared" si="70"/>
        <v>45000</v>
      </c>
      <c r="H4036" s="13"/>
    </row>
    <row r="4037" spans="1:8" hidden="1" x14ac:dyDescent="0.25">
      <c r="A4037" s="116">
        <v>45265</v>
      </c>
      <c r="B4037" s="21" t="s">
        <v>10342</v>
      </c>
      <c r="C4037" s="13" t="s">
        <v>7538</v>
      </c>
      <c r="D4037" s="782" t="s">
        <v>12059</v>
      </c>
      <c r="E4037" s="22">
        <v>144334</v>
      </c>
      <c r="F4037" s="19"/>
      <c r="G4037" s="14">
        <f t="shared" si="70"/>
        <v>144334</v>
      </c>
      <c r="H4037" s="13"/>
    </row>
    <row r="4038" spans="1:8" hidden="1" x14ac:dyDescent="0.25">
      <c r="A4038" s="116">
        <v>45266</v>
      </c>
      <c r="B4038" s="21" t="s">
        <v>10342</v>
      </c>
      <c r="C4038" s="13" t="s">
        <v>8483</v>
      </c>
      <c r="D4038" s="782" t="s">
        <v>12043</v>
      </c>
      <c r="E4038" s="22">
        <v>40849</v>
      </c>
      <c r="F4038" s="19"/>
      <c r="G4038" s="14">
        <f t="shared" si="70"/>
        <v>40849</v>
      </c>
      <c r="H4038" s="13"/>
    </row>
    <row r="4039" spans="1:8" hidden="1" x14ac:dyDescent="0.25">
      <c r="A4039" s="116">
        <v>45266</v>
      </c>
      <c r="B4039" s="21" t="s">
        <v>11740</v>
      </c>
      <c r="C4039" s="13" t="s">
        <v>8483</v>
      </c>
      <c r="D4039" s="782" t="s">
        <v>12044</v>
      </c>
      <c r="E4039" s="22">
        <v>18196</v>
      </c>
      <c r="F4039" s="19"/>
      <c r="G4039" s="14">
        <f t="shared" si="70"/>
        <v>18196</v>
      </c>
      <c r="H4039" s="13"/>
    </row>
    <row r="4040" spans="1:8" hidden="1" x14ac:dyDescent="0.25">
      <c r="A4040" s="116">
        <v>45267</v>
      </c>
      <c r="B4040" s="21" t="s">
        <v>11740</v>
      </c>
      <c r="C4040" s="13" t="s">
        <v>164</v>
      </c>
      <c r="D4040" s="782" t="s">
        <v>12050</v>
      </c>
      <c r="E4040" s="22">
        <v>16400</v>
      </c>
      <c r="F4040" s="19"/>
      <c r="G4040" s="14">
        <f t="shared" si="70"/>
        <v>16400</v>
      </c>
      <c r="H4040" s="13"/>
    </row>
    <row r="4041" spans="1:8" x14ac:dyDescent="0.25">
      <c r="A4041" s="116">
        <v>45267</v>
      </c>
      <c r="B4041" s="21" t="s">
        <v>11023</v>
      </c>
      <c r="C4041" s="13" t="s">
        <v>168</v>
      </c>
      <c r="D4041" s="782" t="s">
        <v>12055</v>
      </c>
      <c r="E4041" s="22">
        <v>55000</v>
      </c>
      <c r="F4041" s="19"/>
      <c r="G4041" s="14">
        <f t="shared" si="70"/>
        <v>55000</v>
      </c>
      <c r="H4041" s="13"/>
    </row>
    <row r="4042" spans="1:8" hidden="1" x14ac:dyDescent="0.25">
      <c r="A4042" s="116">
        <v>45267</v>
      </c>
      <c r="B4042" s="21" t="s">
        <v>11740</v>
      </c>
      <c r="C4042" s="13" t="s">
        <v>166</v>
      </c>
      <c r="D4042" s="782" t="s">
        <v>12082</v>
      </c>
      <c r="E4042" s="22">
        <v>25430</v>
      </c>
      <c r="F4042" s="19"/>
      <c r="G4042" s="14">
        <f t="shared" si="70"/>
        <v>25430</v>
      </c>
      <c r="H4042" s="13"/>
    </row>
    <row r="4043" spans="1:8" hidden="1" x14ac:dyDescent="0.25">
      <c r="A4043" s="116">
        <v>45268</v>
      </c>
      <c r="B4043" s="21" t="s">
        <v>10077</v>
      </c>
      <c r="C4043" s="13" t="s">
        <v>164</v>
      </c>
      <c r="D4043" s="782" t="s">
        <v>12049</v>
      </c>
      <c r="E4043" s="22">
        <v>6047</v>
      </c>
      <c r="F4043" s="19"/>
      <c r="G4043" s="14">
        <f t="shared" si="70"/>
        <v>6047</v>
      </c>
      <c r="H4043" s="13"/>
    </row>
    <row r="4044" spans="1:8" hidden="1" x14ac:dyDescent="0.25">
      <c r="A4044" s="116">
        <v>45269</v>
      </c>
      <c r="B4044" s="21" t="s">
        <v>7886</v>
      </c>
      <c r="C4044" s="13" t="s">
        <v>11450</v>
      </c>
      <c r="D4044" s="782"/>
      <c r="E4044" s="22"/>
      <c r="F4044" s="19">
        <v>340000</v>
      </c>
      <c r="G4044" s="14">
        <f t="shared" si="70"/>
        <v>-340000</v>
      </c>
      <c r="H4044" s="13" t="s">
        <v>11500</v>
      </c>
    </row>
    <row r="4045" spans="1:8" hidden="1" x14ac:dyDescent="0.25">
      <c r="A4045" s="116">
        <v>45269</v>
      </c>
      <c r="B4045" s="21" t="s">
        <v>7886</v>
      </c>
      <c r="C4045" s="13" t="s">
        <v>11450</v>
      </c>
      <c r="D4045" s="782"/>
      <c r="E4045" s="22"/>
      <c r="F4045" s="19">
        <v>21510</v>
      </c>
      <c r="G4045" s="14">
        <f t="shared" si="70"/>
        <v>-21510</v>
      </c>
      <c r="H4045" s="13" t="s">
        <v>5019</v>
      </c>
    </row>
    <row r="4046" spans="1:8" hidden="1" x14ac:dyDescent="0.25">
      <c r="A4046" s="116">
        <v>45272</v>
      </c>
      <c r="B4046" s="21" t="s">
        <v>11740</v>
      </c>
      <c r="C4046" s="13" t="s">
        <v>8483</v>
      </c>
      <c r="D4046" s="782" t="s">
        <v>12045</v>
      </c>
      <c r="E4046" s="22">
        <v>32566</v>
      </c>
      <c r="F4046" s="19"/>
      <c r="G4046" s="14">
        <f t="shared" si="70"/>
        <v>32566</v>
      </c>
      <c r="H4046" s="13"/>
    </row>
    <row r="4047" spans="1:8" x14ac:dyDescent="0.25">
      <c r="A4047" s="116">
        <v>45272</v>
      </c>
      <c r="B4047" s="21" t="s">
        <v>11023</v>
      </c>
      <c r="C4047" s="13" t="s">
        <v>168</v>
      </c>
      <c r="D4047" s="782" t="s">
        <v>12057</v>
      </c>
      <c r="E4047" s="22">
        <v>55000</v>
      </c>
      <c r="F4047" s="19"/>
      <c r="G4047" s="14">
        <f t="shared" si="70"/>
        <v>55000</v>
      </c>
      <c r="H4047" s="13"/>
    </row>
    <row r="4048" spans="1:8" x14ac:dyDescent="0.25">
      <c r="A4048" s="116">
        <v>45272</v>
      </c>
      <c r="B4048" s="21" t="s">
        <v>11023</v>
      </c>
      <c r="C4048" s="13" t="s">
        <v>168</v>
      </c>
      <c r="D4048" s="782" t="s">
        <v>12058</v>
      </c>
      <c r="E4048" s="22">
        <v>45000</v>
      </c>
      <c r="F4048" s="19"/>
      <c r="G4048" s="14">
        <f t="shared" si="70"/>
        <v>45000</v>
      </c>
      <c r="H4048" s="13"/>
    </row>
    <row r="4049" spans="1:8" hidden="1" x14ac:dyDescent="0.25">
      <c r="A4049" s="116">
        <v>45275</v>
      </c>
      <c r="B4049" s="21" t="s">
        <v>11740</v>
      </c>
      <c r="C4049" s="13" t="s">
        <v>164</v>
      </c>
      <c r="D4049" s="782" t="s">
        <v>12051</v>
      </c>
      <c r="E4049" s="22">
        <v>5396</v>
      </c>
      <c r="F4049" s="19"/>
      <c r="G4049" s="14">
        <f t="shared" si="70"/>
        <v>5396</v>
      </c>
      <c r="H4049" s="13"/>
    </row>
    <row r="4050" spans="1:8" hidden="1" x14ac:dyDescent="0.25">
      <c r="A4050" s="116">
        <v>45275</v>
      </c>
      <c r="B4050" s="21" t="s">
        <v>12027</v>
      </c>
      <c r="C4050" s="13" t="s">
        <v>180</v>
      </c>
      <c r="D4050" s="782"/>
      <c r="E4050" s="22"/>
      <c r="F4050" s="19">
        <v>1500000</v>
      </c>
      <c r="G4050" s="14">
        <f t="shared" si="70"/>
        <v>-1500000</v>
      </c>
      <c r="H4050" s="13" t="s">
        <v>12063</v>
      </c>
    </row>
    <row r="4051" spans="1:8" hidden="1" x14ac:dyDescent="0.25">
      <c r="A4051" s="116">
        <v>45275</v>
      </c>
      <c r="B4051" s="21" t="s">
        <v>10342</v>
      </c>
      <c r="C4051" s="13" t="s">
        <v>8483</v>
      </c>
      <c r="D4051" s="782"/>
      <c r="E4051" s="22"/>
      <c r="F4051" s="19">
        <v>250000</v>
      </c>
      <c r="G4051" s="14">
        <f t="shared" si="70"/>
        <v>-250000</v>
      </c>
      <c r="H4051" s="13" t="s">
        <v>12063</v>
      </c>
    </row>
    <row r="4052" spans="1:8" hidden="1" x14ac:dyDescent="0.25">
      <c r="A4052" s="116">
        <v>45275</v>
      </c>
      <c r="B4052" s="21" t="s">
        <v>10688</v>
      </c>
      <c r="C4052" s="13" t="s">
        <v>8483</v>
      </c>
      <c r="D4052" s="782"/>
      <c r="E4052" s="22"/>
      <c r="F4052" s="19">
        <v>250000</v>
      </c>
      <c r="G4052" s="14">
        <f t="shared" ref="G4052:G4055" si="72">E4052-F4052</f>
        <v>-250000</v>
      </c>
      <c r="H4052" s="13" t="s">
        <v>12063</v>
      </c>
    </row>
    <row r="4053" spans="1:8" hidden="1" x14ac:dyDescent="0.25">
      <c r="A4053" s="116">
        <v>45275</v>
      </c>
      <c r="B4053" s="21" t="s">
        <v>11023</v>
      </c>
      <c r="C4053" s="13" t="s">
        <v>8483</v>
      </c>
      <c r="D4053" s="782"/>
      <c r="E4053" s="22"/>
      <c r="F4053" s="19">
        <v>250000</v>
      </c>
      <c r="G4053" s="14">
        <f t="shared" si="72"/>
        <v>-250000</v>
      </c>
      <c r="H4053" s="13" t="s">
        <v>12063</v>
      </c>
    </row>
    <row r="4054" spans="1:8" hidden="1" x14ac:dyDescent="0.25">
      <c r="A4054" s="116">
        <v>45275</v>
      </c>
      <c r="B4054" s="21" t="s">
        <v>11568</v>
      </c>
      <c r="C4054" s="13" t="s">
        <v>8483</v>
      </c>
      <c r="D4054" s="782"/>
      <c r="E4054" s="22"/>
      <c r="F4054" s="19">
        <v>250000</v>
      </c>
      <c r="G4054" s="14">
        <f t="shared" si="72"/>
        <v>-250000</v>
      </c>
      <c r="H4054" s="13" t="s">
        <v>12063</v>
      </c>
    </row>
    <row r="4055" spans="1:8" hidden="1" x14ac:dyDescent="0.25">
      <c r="A4055" s="116">
        <v>45275</v>
      </c>
      <c r="B4055" s="21" t="s">
        <v>10342</v>
      </c>
      <c r="C4055" s="13" t="s">
        <v>7538</v>
      </c>
      <c r="D4055" s="782"/>
      <c r="E4055" s="22"/>
      <c r="F4055" s="19">
        <v>1000000</v>
      </c>
      <c r="G4055" s="14">
        <f t="shared" si="72"/>
        <v>-1000000</v>
      </c>
      <c r="H4055" s="13" t="s">
        <v>12063</v>
      </c>
    </row>
    <row r="4056" spans="1:8" x14ac:dyDescent="0.25">
      <c r="A4056" s="13"/>
      <c r="B4056" s="21"/>
      <c r="C4056" s="13"/>
      <c r="D4056" s="782"/>
      <c r="E4056" s="22"/>
      <c r="F4056" s="19"/>
      <c r="G4056" s="14"/>
      <c r="H4056" s="13"/>
    </row>
    <row r="4057" spans="1:8" x14ac:dyDescent="0.25">
      <c r="A4057" s="13"/>
      <c r="B4057" s="21"/>
      <c r="C4057" s="13"/>
      <c r="D4057" s="782"/>
      <c r="E4057" s="22"/>
      <c r="F4057" s="19"/>
      <c r="G4057" s="14"/>
      <c r="H4057" s="13"/>
    </row>
    <row r="4058" spans="1:8" x14ac:dyDescent="0.25">
      <c r="A4058" s="13"/>
      <c r="B4058" s="21"/>
      <c r="C4058" s="13"/>
      <c r="D4058" s="782"/>
      <c r="E4058" s="22"/>
      <c r="F4058" s="19"/>
      <c r="G4058" s="14"/>
      <c r="H4058" s="13"/>
    </row>
    <row r="4059" spans="1:8" x14ac:dyDescent="0.25">
      <c r="A4059" s="13"/>
      <c r="B4059" s="21"/>
      <c r="C4059" s="13"/>
      <c r="D4059" s="782"/>
      <c r="E4059" s="22"/>
      <c r="F4059" s="19"/>
      <c r="G4059" s="14"/>
      <c r="H4059" s="13"/>
    </row>
    <row r="4060" spans="1:8" x14ac:dyDescent="0.25">
      <c r="A4060" s="13"/>
      <c r="B4060" s="21"/>
      <c r="C4060" s="13"/>
      <c r="D4060" s="782"/>
      <c r="E4060" s="22"/>
      <c r="F4060" s="19"/>
      <c r="G4060" s="14"/>
      <c r="H4060" s="13"/>
    </row>
    <row r="4061" spans="1:8" x14ac:dyDescent="0.25">
      <c r="A4061" s="13"/>
      <c r="B4061" s="21"/>
      <c r="C4061" s="13"/>
      <c r="D4061" s="782"/>
      <c r="E4061" s="22"/>
      <c r="F4061" s="19"/>
      <c r="G4061" s="14"/>
      <c r="H4061" s="13"/>
    </row>
    <row r="4062" spans="1:8" x14ac:dyDescent="0.25">
      <c r="A4062" s="13"/>
      <c r="B4062" s="21"/>
      <c r="C4062" s="13"/>
      <c r="D4062" s="782"/>
      <c r="E4062" s="22"/>
      <c r="F4062" s="19"/>
      <c r="G4062" s="14"/>
      <c r="H4062" s="13"/>
    </row>
    <row r="4063" spans="1:8" x14ac:dyDescent="0.25">
      <c r="A4063" s="13"/>
      <c r="B4063" s="21"/>
      <c r="C4063" s="13"/>
      <c r="D4063" s="782"/>
      <c r="E4063" s="22"/>
      <c r="F4063" s="19"/>
      <c r="G4063" s="14"/>
      <c r="H4063" s="13"/>
    </row>
    <row r="4064" spans="1:8" x14ac:dyDescent="0.25">
      <c r="A4064" s="13"/>
      <c r="B4064" s="21"/>
      <c r="C4064" s="13"/>
      <c r="D4064" s="782"/>
      <c r="E4064" s="22"/>
      <c r="F4064" s="19"/>
      <c r="G4064" s="14"/>
      <c r="H4064" s="13"/>
    </row>
    <row r="4065" spans="1:8" x14ac:dyDescent="0.25">
      <c r="A4065" s="13"/>
      <c r="B4065" s="21"/>
      <c r="C4065" s="13"/>
      <c r="D4065" s="782"/>
      <c r="E4065" s="22"/>
      <c r="F4065" s="19"/>
      <c r="G4065" s="14"/>
      <c r="H4065" s="13"/>
    </row>
    <row r="4066" spans="1:8" x14ac:dyDescent="0.25">
      <c r="A4066" s="13"/>
      <c r="B4066" s="21"/>
      <c r="C4066" s="13"/>
      <c r="D4066" s="782"/>
      <c r="E4066" s="22"/>
      <c r="F4066" s="19"/>
      <c r="G4066" s="14"/>
      <c r="H4066" s="13"/>
    </row>
    <row r="4067" spans="1:8" x14ac:dyDescent="0.25">
      <c r="A4067" s="13"/>
      <c r="B4067" s="21"/>
      <c r="C4067" s="13"/>
      <c r="D4067" s="782"/>
      <c r="E4067" s="22"/>
      <c r="F4067" s="19"/>
      <c r="G4067" s="14"/>
      <c r="H4067" s="13"/>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row r="4587" spans="1:8" x14ac:dyDescent="0.25">
      <c r="A4587" s="13"/>
      <c r="B4587" s="21"/>
      <c r="C4587" s="13"/>
      <c r="D4587" s="782"/>
      <c r="E4587" s="22"/>
      <c r="F4587" s="19"/>
      <c r="G4587" s="14"/>
      <c r="H4587" s="13"/>
    </row>
    <row r="4588" spans="1:8" x14ac:dyDescent="0.25">
      <c r="A4588" s="13"/>
      <c r="B4588" s="21"/>
      <c r="C4588" s="13"/>
      <c r="D4588" s="782"/>
      <c r="E4588" s="22"/>
      <c r="F4588" s="19"/>
      <c r="G4588" s="14"/>
      <c r="H4588" s="13"/>
    </row>
    <row r="4589" spans="1:8" x14ac:dyDescent="0.25">
      <c r="A4589" s="13"/>
      <c r="B4589" s="21"/>
      <c r="C4589" s="13"/>
      <c r="D4589" s="782"/>
      <c r="E4589" s="22"/>
      <c r="F4589" s="19"/>
      <c r="G4589" s="14"/>
      <c r="H4589" s="13"/>
    </row>
    <row r="4590" spans="1:8" x14ac:dyDescent="0.25">
      <c r="A4590" s="13"/>
      <c r="B4590" s="21"/>
      <c r="C4590" s="13"/>
      <c r="D4590" s="782"/>
      <c r="E4590" s="22"/>
      <c r="F4590" s="19"/>
      <c r="G4590" s="14"/>
      <c r="H4590" s="13"/>
    </row>
    <row r="4591" spans="1:8" x14ac:dyDescent="0.25">
      <c r="A4591" s="13"/>
      <c r="B4591" s="21"/>
      <c r="C4591" s="13"/>
      <c r="D4591" s="782"/>
      <c r="E4591" s="22"/>
      <c r="F4591" s="19"/>
      <c r="G4591" s="14"/>
      <c r="H4591" s="13"/>
    </row>
    <row r="4592" spans="1:8" x14ac:dyDescent="0.25">
      <c r="A4592" s="13"/>
      <c r="B4592" s="21"/>
      <c r="C4592" s="13"/>
      <c r="D4592" s="782"/>
      <c r="E4592" s="22"/>
      <c r="F4592" s="19"/>
      <c r="G4592" s="14"/>
      <c r="H4592" s="13"/>
    </row>
  </sheetData>
  <autoFilter ref="A1:XFC4055" xr:uid="{00000000-0009-0000-0000-000003000000}">
    <filterColumn colId="2">
      <filters>
        <filter val="Fakhri Brothers"/>
        <filter val="Fakhri Brothers (MZN)"/>
        <filter val="Fakhri Brothers (NEC)"/>
      </filters>
    </filterColumn>
  </autoFilter>
  <sortState xmlns:xlrd2="http://schemas.microsoft.com/office/spreadsheetml/2017/richdata2" ref="A2888:H2997">
    <sortCondition ref="A2888:A2997"/>
  </sortState>
  <mergeCells count="126">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3525:H3532"/>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3820:H3822"/>
    <mergeCell ref="H3804:H3806"/>
    <mergeCell ref="H3578:H3582"/>
    <mergeCell ref="H3250:H3251"/>
    <mergeCell ref="H3404:H3407"/>
    <mergeCell ref="H3540:H3541"/>
    <mergeCell ref="H3493:H3495"/>
    <mergeCell ref="H3401:H3402"/>
    <mergeCell ref="H3520:H3522"/>
    <mergeCell ref="H3437:H3444"/>
    <mergeCell ref="H3321:H3325"/>
    <mergeCell ref="H3303:H3305"/>
    <mergeCell ref="H3389:H3390"/>
    <mergeCell ref="H3382:H3383"/>
    <mergeCell ref="H3487:H3491"/>
    <mergeCell ref="H3374:H3378"/>
    <mergeCell ref="H3355:H3357"/>
    <mergeCell ref="H3399:H3400"/>
    <mergeCell ref="H3361:H3364"/>
    <mergeCell ref="H3367:H3370"/>
    <mergeCell ref="H3281:H3282"/>
    <mergeCell ref="H3265:H3266"/>
    <mergeCell ref="H3284:H3285"/>
    <mergeCell ref="H3505:H3508"/>
    <mergeCell ref="H3947:H3948"/>
    <mergeCell ref="H3554:H3558"/>
    <mergeCell ref="H3546:H3548"/>
    <mergeCell ref="H3789:H3797"/>
    <mergeCell ref="D3771:D3772"/>
    <mergeCell ref="D3768:D3769"/>
    <mergeCell ref="D3911:D3912"/>
    <mergeCell ref="H3825:H3828"/>
    <mergeCell ref="H3839:H3842"/>
    <mergeCell ref="H3814:H3819"/>
    <mergeCell ref="H3798:H3801"/>
    <mergeCell ref="H3730:H3732"/>
    <mergeCell ref="D3663:D3664"/>
    <mergeCell ref="H3663:H3664"/>
    <mergeCell ref="H3652:H3657"/>
    <mergeCell ref="H3893:H3899"/>
    <mergeCell ref="D3567:D3568"/>
    <mergeCell ref="H3598:H3604"/>
    <mergeCell ref="H3591:H3592"/>
    <mergeCell ref="H3665:H3669"/>
    <mergeCell ref="H3704:H3706"/>
    <mergeCell ref="H3698:H3702"/>
    <mergeCell ref="H3684:H3689"/>
    <mergeCell ref="H3648:H3650"/>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8"/>
  <sheetViews>
    <sheetView topLeftCell="A115" workbookViewId="0">
      <selection activeCell="E148" sqref="E148"/>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7" t="s">
        <v>11709</v>
      </c>
      <c r="B2" s="1237"/>
      <c r="C2" s="1237"/>
      <c r="D2" s="1237"/>
      <c r="E2" s="1237"/>
      <c r="F2" s="1237"/>
    </row>
    <row r="3" spans="1:8" ht="9.75" customHeight="1" x14ac:dyDescent="0.45">
      <c r="A3" s="1111"/>
      <c r="B3" s="1111"/>
      <c r="C3" s="1111"/>
      <c r="D3" s="1111"/>
      <c r="E3" s="1111"/>
      <c r="F3" s="1111"/>
    </row>
    <row r="4" spans="1:8" s="7" customFormat="1" ht="24.75" customHeight="1" x14ac:dyDescent="0.25">
      <c r="A4" s="1108" t="s">
        <v>0</v>
      </c>
      <c r="B4" s="1108" t="s">
        <v>155</v>
      </c>
      <c r="C4" s="1108" t="s">
        <v>179</v>
      </c>
      <c r="D4" s="1109" t="s">
        <v>157</v>
      </c>
      <c r="E4" s="1110" t="s">
        <v>158</v>
      </c>
      <c r="F4" s="1109" t="s">
        <v>5</v>
      </c>
      <c r="G4" s="1095"/>
      <c r="H4" s="1096"/>
    </row>
    <row r="5" spans="1:8" s="7" customFormat="1" ht="15.75" x14ac:dyDescent="0.25">
      <c r="A5" s="116">
        <v>44236</v>
      </c>
      <c r="B5" s="21" t="s">
        <v>6568</v>
      </c>
      <c r="C5" s="1104">
        <v>30000219</v>
      </c>
      <c r="D5" s="20">
        <v>4660</v>
      </c>
      <c r="E5" s="34"/>
      <c r="F5" s="20">
        <f>D5-E5</f>
        <v>4660</v>
      </c>
    </row>
    <row r="6" spans="1:8" s="7" customFormat="1" ht="15.75" x14ac:dyDescent="0.25">
      <c r="A6" s="116">
        <v>44365</v>
      </c>
      <c r="B6" s="21" t="s">
        <v>6568</v>
      </c>
      <c r="C6" s="1104">
        <v>30000343</v>
      </c>
      <c r="D6" s="20">
        <v>1800</v>
      </c>
      <c r="E6" s="34"/>
      <c r="F6" s="20">
        <f>F5+D6-E6</f>
        <v>6460</v>
      </c>
    </row>
    <row r="7" spans="1:8" s="7" customFormat="1" ht="15.75" x14ac:dyDescent="0.25">
      <c r="A7" s="116">
        <v>44375</v>
      </c>
      <c r="B7" s="21" t="s">
        <v>6568</v>
      </c>
      <c r="C7" s="1104">
        <v>30000348</v>
      </c>
      <c r="D7" s="20">
        <v>40553</v>
      </c>
      <c r="E7" s="34"/>
      <c r="F7" s="20">
        <f t="shared" ref="F7:F70" si="0">F6+D7-E7</f>
        <v>47013</v>
      </c>
    </row>
    <row r="8" spans="1:8" s="7" customFormat="1" ht="15.75" x14ac:dyDescent="0.25">
      <c r="A8" s="116">
        <v>44393</v>
      </c>
      <c r="B8" s="21" t="s">
        <v>7017</v>
      </c>
      <c r="C8" s="1104">
        <v>30000360</v>
      </c>
      <c r="D8" s="20">
        <v>15081</v>
      </c>
      <c r="E8" s="34"/>
      <c r="F8" s="20">
        <f t="shared" si="0"/>
        <v>62094</v>
      </c>
    </row>
    <row r="9" spans="1:8" s="7" customFormat="1" ht="15.75" x14ac:dyDescent="0.25">
      <c r="A9" s="116">
        <v>44397</v>
      </c>
      <c r="B9" s="21" t="s">
        <v>7017</v>
      </c>
      <c r="C9" s="1104">
        <v>30000364</v>
      </c>
      <c r="D9" s="20">
        <v>31311</v>
      </c>
      <c r="E9" s="34"/>
      <c r="F9" s="20">
        <f t="shared" si="0"/>
        <v>93405</v>
      </c>
    </row>
    <row r="10" spans="1:8" s="7" customFormat="1" ht="15.75" x14ac:dyDescent="0.25">
      <c r="A10" s="116">
        <v>44397</v>
      </c>
      <c r="B10" s="21" t="s">
        <v>7177</v>
      </c>
      <c r="C10" s="1104">
        <v>30000364</v>
      </c>
      <c r="D10" s="20">
        <v>30988</v>
      </c>
      <c r="E10" s="34"/>
      <c r="F10" s="20">
        <f t="shared" si="0"/>
        <v>124393</v>
      </c>
    </row>
    <row r="11" spans="1:8" s="7" customFormat="1" ht="15.75" x14ac:dyDescent="0.25">
      <c r="A11" s="116">
        <v>44404</v>
      </c>
      <c r="B11" s="21" t="s">
        <v>7017</v>
      </c>
      <c r="C11" s="1104">
        <v>30000366</v>
      </c>
      <c r="D11" s="20">
        <v>6930</v>
      </c>
      <c r="E11" s="34"/>
      <c r="F11" s="20">
        <f t="shared" si="0"/>
        <v>131323</v>
      </c>
    </row>
    <row r="12" spans="1:8" s="7" customFormat="1" ht="15.75" x14ac:dyDescent="0.25">
      <c r="A12" s="116">
        <v>44408</v>
      </c>
      <c r="B12" s="21" t="s">
        <v>7017</v>
      </c>
      <c r="C12" s="1104">
        <v>30000370</v>
      </c>
      <c r="D12" s="20">
        <v>19829</v>
      </c>
      <c r="E12" s="34"/>
      <c r="F12" s="20">
        <f t="shared" si="0"/>
        <v>151152</v>
      </c>
    </row>
    <row r="13" spans="1:8" s="7" customFormat="1" ht="15.75" x14ac:dyDescent="0.25">
      <c r="A13" s="116">
        <v>44483</v>
      </c>
      <c r="B13" s="21" t="s">
        <v>7132</v>
      </c>
      <c r="C13" s="1104">
        <v>30000444</v>
      </c>
      <c r="D13" s="20">
        <v>16800</v>
      </c>
      <c r="E13" s="34"/>
      <c r="F13" s="20">
        <f t="shared" si="0"/>
        <v>167952</v>
      </c>
    </row>
    <row r="14" spans="1:8" s="7" customFormat="1" ht="15.75" x14ac:dyDescent="0.25">
      <c r="A14" s="116">
        <v>44497</v>
      </c>
      <c r="B14" s="21" t="s">
        <v>7132</v>
      </c>
      <c r="C14" s="1104">
        <v>30000458</v>
      </c>
      <c r="D14" s="20">
        <v>4505</v>
      </c>
      <c r="E14" s="34"/>
      <c r="F14" s="20">
        <f t="shared" si="0"/>
        <v>172457</v>
      </c>
    </row>
    <row r="15" spans="1:8" s="7" customFormat="1" ht="15.75" x14ac:dyDescent="0.25">
      <c r="A15" s="116">
        <v>44510</v>
      </c>
      <c r="B15" s="21" t="s">
        <v>11702</v>
      </c>
      <c r="C15" s="1104"/>
      <c r="D15" s="20"/>
      <c r="E15" s="34">
        <v>100000</v>
      </c>
      <c r="F15" s="20">
        <f t="shared" si="0"/>
        <v>72457</v>
      </c>
      <c r="G15" s="1097"/>
    </row>
    <row r="16" spans="1:8" s="7" customFormat="1" ht="15.75" x14ac:dyDescent="0.25">
      <c r="A16" s="116">
        <v>44424</v>
      </c>
      <c r="B16" s="21" t="s">
        <v>1407</v>
      </c>
      <c r="C16" s="1104">
        <v>30000390</v>
      </c>
      <c r="D16" s="20">
        <v>80990</v>
      </c>
      <c r="E16" s="34"/>
      <c r="F16" s="20">
        <f t="shared" si="0"/>
        <v>153447</v>
      </c>
    </row>
    <row r="17" spans="1:7" s="7" customFormat="1" ht="15.75" x14ac:dyDescent="0.25">
      <c r="A17" s="116">
        <v>44539</v>
      </c>
      <c r="B17" s="21" t="s">
        <v>7132</v>
      </c>
      <c r="C17" s="1104">
        <v>30000533</v>
      </c>
      <c r="D17" s="20">
        <v>8800</v>
      </c>
      <c r="E17" s="34"/>
      <c r="F17" s="20">
        <f t="shared" si="0"/>
        <v>162247</v>
      </c>
    </row>
    <row r="18" spans="1:7" s="7" customFormat="1" ht="15.75" customHeight="1" x14ac:dyDescent="0.25">
      <c r="A18" s="116">
        <v>44610</v>
      </c>
      <c r="B18" s="21" t="s">
        <v>7755</v>
      </c>
      <c r="C18" s="1104"/>
      <c r="D18" s="20"/>
      <c r="E18" s="34">
        <v>162247</v>
      </c>
      <c r="F18" s="20">
        <f t="shared" si="0"/>
        <v>0</v>
      </c>
      <c r="G18" s="1102"/>
    </row>
    <row r="19" spans="1:7" s="7" customFormat="1" ht="15.75" x14ac:dyDescent="0.25">
      <c r="A19" s="116">
        <v>44662</v>
      </c>
      <c r="B19" s="21" t="s">
        <v>7627</v>
      </c>
      <c r="C19" s="1104">
        <v>30000771</v>
      </c>
      <c r="D19" s="20">
        <v>27115</v>
      </c>
      <c r="E19" s="34"/>
      <c r="F19" s="20">
        <f t="shared" si="0"/>
        <v>27115</v>
      </c>
    </row>
    <row r="20" spans="1:7" s="7" customFormat="1" ht="15.75" x14ac:dyDescent="0.25">
      <c r="A20" s="116">
        <v>44708</v>
      </c>
      <c r="B20" s="21" t="s">
        <v>10637</v>
      </c>
      <c r="C20" s="1104"/>
      <c r="D20" s="20"/>
      <c r="E20" s="34">
        <v>27000</v>
      </c>
      <c r="F20" s="20">
        <f t="shared" si="0"/>
        <v>115</v>
      </c>
    </row>
    <row r="21" spans="1:7" s="7" customFormat="1" ht="15.75" x14ac:dyDescent="0.25">
      <c r="A21" s="116">
        <v>44708</v>
      </c>
      <c r="B21" s="21" t="s">
        <v>7955</v>
      </c>
      <c r="C21" s="1104"/>
      <c r="D21" s="20"/>
      <c r="E21" s="34">
        <v>115</v>
      </c>
      <c r="F21" s="20">
        <f t="shared" si="0"/>
        <v>0</v>
      </c>
    </row>
    <row r="22" spans="1:7" s="7" customFormat="1" ht="15.75" x14ac:dyDescent="0.25">
      <c r="A22" s="116">
        <v>44755</v>
      </c>
      <c r="B22" s="21" t="s">
        <v>8122</v>
      </c>
      <c r="C22" s="1104" t="s">
        <v>8541</v>
      </c>
      <c r="D22" s="20">
        <v>9600</v>
      </c>
      <c r="E22" s="34"/>
      <c r="F22" s="20">
        <f t="shared" si="0"/>
        <v>9600</v>
      </c>
    </row>
    <row r="23" spans="1:7" s="7" customFormat="1" ht="15.75" x14ac:dyDescent="0.25">
      <c r="A23" s="116">
        <v>44809</v>
      </c>
      <c r="B23" s="21" t="s">
        <v>8122</v>
      </c>
      <c r="C23" s="1104" t="s">
        <v>8400</v>
      </c>
      <c r="D23" s="20">
        <v>59395</v>
      </c>
      <c r="E23" s="34"/>
      <c r="F23" s="20">
        <f t="shared" si="0"/>
        <v>68995</v>
      </c>
    </row>
    <row r="24" spans="1:7" s="7" customFormat="1" ht="15.75" x14ac:dyDescent="0.25">
      <c r="A24" s="116">
        <v>44809</v>
      </c>
      <c r="B24" s="21" t="s">
        <v>8122</v>
      </c>
      <c r="C24" s="1104" t="s">
        <v>8401</v>
      </c>
      <c r="D24" s="20">
        <v>935180</v>
      </c>
      <c r="E24" s="34"/>
      <c r="F24" s="20">
        <f t="shared" si="0"/>
        <v>1004175</v>
      </c>
    </row>
    <row r="25" spans="1:7" s="7" customFormat="1" ht="15.75" x14ac:dyDescent="0.25">
      <c r="A25" s="116">
        <v>44809</v>
      </c>
      <c r="B25" s="21" t="s">
        <v>8122</v>
      </c>
      <c r="C25" s="1104" t="s">
        <v>8402</v>
      </c>
      <c r="D25" s="20">
        <v>28800</v>
      </c>
      <c r="E25" s="34"/>
      <c r="F25" s="20">
        <f t="shared" si="0"/>
        <v>1032975</v>
      </c>
    </row>
    <row r="26" spans="1:7" s="7" customFormat="1" ht="15.75" x14ac:dyDescent="0.25">
      <c r="A26" s="116">
        <v>44809</v>
      </c>
      <c r="B26" s="21" t="s">
        <v>8122</v>
      </c>
      <c r="C26" s="1104" t="s">
        <v>8403</v>
      </c>
      <c r="D26" s="20">
        <v>421212</v>
      </c>
      <c r="E26" s="34"/>
      <c r="F26" s="20">
        <f t="shared" si="0"/>
        <v>1454187</v>
      </c>
    </row>
    <row r="27" spans="1:7" s="7" customFormat="1" ht="15.75" x14ac:dyDescent="0.25">
      <c r="A27" s="116">
        <v>44809</v>
      </c>
      <c r="B27" s="21" t="s">
        <v>8122</v>
      </c>
      <c r="C27" s="1104" t="s">
        <v>8404</v>
      </c>
      <c r="D27" s="20">
        <v>371865</v>
      </c>
      <c r="E27" s="34"/>
      <c r="F27" s="20">
        <f t="shared" si="0"/>
        <v>1826052</v>
      </c>
    </row>
    <row r="28" spans="1:7" s="7" customFormat="1" ht="15.75" x14ac:dyDescent="0.25">
      <c r="A28" s="116">
        <v>44816</v>
      </c>
      <c r="B28" s="21" t="s">
        <v>8122</v>
      </c>
      <c r="C28" s="1104" t="s">
        <v>8492</v>
      </c>
      <c r="D28" s="20">
        <v>20800</v>
      </c>
      <c r="E28" s="34"/>
      <c r="F28" s="20">
        <f t="shared" si="0"/>
        <v>1846852</v>
      </c>
    </row>
    <row r="29" spans="1:7" s="7" customFormat="1" ht="15.75" x14ac:dyDescent="0.25">
      <c r="A29" s="116">
        <v>44818</v>
      </c>
      <c r="B29" s="21" t="s">
        <v>8122</v>
      </c>
      <c r="C29" s="1104" t="s">
        <v>8405</v>
      </c>
      <c r="D29" s="20">
        <v>274016</v>
      </c>
      <c r="E29" s="34"/>
      <c r="F29" s="20">
        <f t="shared" si="0"/>
        <v>2120868</v>
      </c>
    </row>
    <row r="30" spans="1:7" s="7" customFormat="1" ht="15.75" x14ac:dyDescent="0.25">
      <c r="A30" s="116">
        <v>44819</v>
      </c>
      <c r="B30" s="21" t="s">
        <v>8032</v>
      </c>
      <c r="C30" s="1104" t="s">
        <v>8406</v>
      </c>
      <c r="D30" s="20">
        <v>111043</v>
      </c>
      <c r="E30" s="34"/>
      <c r="F30" s="20">
        <f t="shared" si="0"/>
        <v>2231911</v>
      </c>
    </row>
    <row r="31" spans="1:7" s="7" customFormat="1" ht="15.75" x14ac:dyDescent="0.25">
      <c r="A31" s="116">
        <v>44827</v>
      </c>
      <c r="B31" s="21" t="s">
        <v>8122</v>
      </c>
      <c r="C31" s="1104" t="s">
        <v>8542</v>
      </c>
      <c r="D31" s="20">
        <v>41600</v>
      </c>
      <c r="E31" s="34"/>
      <c r="F31" s="20">
        <f t="shared" si="0"/>
        <v>2273511</v>
      </c>
    </row>
    <row r="32" spans="1:7" s="7" customFormat="1" ht="15.75" x14ac:dyDescent="0.25">
      <c r="A32" s="116">
        <v>44827</v>
      </c>
      <c r="B32" s="21" t="s">
        <v>8122</v>
      </c>
      <c r="C32" s="1104" t="s">
        <v>8543</v>
      </c>
      <c r="D32" s="20">
        <v>255657</v>
      </c>
      <c r="E32" s="34"/>
      <c r="F32" s="20">
        <f t="shared" si="0"/>
        <v>2529168</v>
      </c>
    </row>
    <row r="33" spans="1:7" s="7" customFormat="1" ht="15.75" x14ac:dyDescent="0.25">
      <c r="A33" s="116">
        <v>44833</v>
      </c>
      <c r="B33" s="21" t="s">
        <v>8122</v>
      </c>
      <c r="C33" s="1104" t="s">
        <v>8544</v>
      </c>
      <c r="D33" s="20">
        <v>232416</v>
      </c>
      <c r="E33" s="34"/>
      <c r="F33" s="20">
        <f t="shared" si="0"/>
        <v>2761584</v>
      </c>
      <c r="G33" s="1098"/>
    </row>
    <row r="34" spans="1:7" s="7" customFormat="1" ht="15.75" x14ac:dyDescent="0.25">
      <c r="A34" s="116">
        <v>44835</v>
      </c>
      <c r="B34" s="21" t="s">
        <v>8000</v>
      </c>
      <c r="C34" s="1104" t="s">
        <v>8493</v>
      </c>
      <c r="D34" s="20">
        <v>651281</v>
      </c>
      <c r="E34" s="34"/>
      <c r="F34" s="20">
        <f t="shared" si="0"/>
        <v>3412865</v>
      </c>
    </row>
    <row r="35" spans="1:7" s="7" customFormat="1" ht="15.75" x14ac:dyDescent="0.25">
      <c r="A35" s="116">
        <v>44838</v>
      </c>
      <c r="B35" s="21" t="s">
        <v>8000</v>
      </c>
      <c r="C35" s="1104" t="s">
        <v>8587</v>
      </c>
      <c r="D35" s="20">
        <v>14601</v>
      </c>
      <c r="E35" s="34"/>
      <c r="F35" s="20">
        <f t="shared" si="0"/>
        <v>3427466</v>
      </c>
    </row>
    <row r="36" spans="1:7" s="7" customFormat="1" ht="15.75" x14ac:dyDescent="0.25">
      <c r="A36" s="116">
        <v>44852</v>
      </c>
      <c r="B36" s="21" t="s">
        <v>8122</v>
      </c>
      <c r="C36" s="1104" t="s">
        <v>8639</v>
      </c>
      <c r="D36" s="20">
        <v>85219</v>
      </c>
      <c r="E36" s="34"/>
      <c r="F36" s="20">
        <f t="shared" si="0"/>
        <v>3512685</v>
      </c>
    </row>
    <row r="37" spans="1:7" s="7" customFormat="1" ht="15.75" x14ac:dyDescent="0.25">
      <c r="A37" s="116">
        <v>44854</v>
      </c>
      <c r="B37" s="21" t="s">
        <v>11703</v>
      </c>
      <c r="C37" s="1104"/>
      <c r="D37" s="20"/>
      <c r="E37" s="34">
        <v>300000</v>
      </c>
      <c r="F37" s="20">
        <f t="shared" si="0"/>
        <v>3212685</v>
      </c>
    </row>
    <row r="38" spans="1:7" s="7" customFormat="1" ht="15.75" x14ac:dyDescent="0.25">
      <c r="A38" s="116">
        <v>44854</v>
      </c>
      <c r="B38" s="21" t="s">
        <v>11703</v>
      </c>
      <c r="C38" s="1104"/>
      <c r="D38" s="20"/>
      <c r="E38" s="34">
        <v>460000</v>
      </c>
      <c r="F38" s="20">
        <f t="shared" si="0"/>
        <v>2752685</v>
      </c>
    </row>
    <row r="39" spans="1:7" s="7" customFormat="1" ht="15.75" x14ac:dyDescent="0.25">
      <c r="A39" s="116">
        <v>44855</v>
      </c>
      <c r="B39" s="21" t="s">
        <v>8426</v>
      </c>
      <c r="C39" s="1104" t="s">
        <v>8978</v>
      </c>
      <c r="D39" s="20">
        <v>196262</v>
      </c>
      <c r="E39" s="34"/>
      <c r="F39" s="20">
        <f t="shared" si="0"/>
        <v>2948947</v>
      </c>
    </row>
    <row r="40" spans="1:7" s="744" customFormat="1" ht="15.75" x14ac:dyDescent="0.25">
      <c r="A40" s="116">
        <v>44888</v>
      </c>
      <c r="B40" s="756" t="s">
        <v>11704</v>
      </c>
      <c r="C40" s="1105"/>
      <c r="D40" s="1106"/>
      <c r="E40" s="1107">
        <v>550000</v>
      </c>
      <c r="F40" s="20">
        <f t="shared" si="0"/>
        <v>2398947</v>
      </c>
      <c r="G40" s="1099"/>
    </row>
    <row r="41" spans="1:7" s="7" customFormat="1" ht="15.75" x14ac:dyDescent="0.25">
      <c r="A41" s="116">
        <v>44888</v>
      </c>
      <c r="B41" s="21" t="s">
        <v>8426</v>
      </c>
      <c r="C41" s="1104" t="s">
        <v>8965</v>
      </c>
      <c r="D41" s="20">
        <v>1450496</v>
      </c>
      <c r="E41" s="34"/>
      <c r="F41" s="20">
        <f t="shared" si="0"/>
        <v>3849443</v>
      </c>
    </row>
    <row r="42" spans="1:7" s="7" customFormat="1" ht="15.75" x14ac:dyDescent="0.25">
      <c r="A42" s="116">
        <v>44896</v>
      </c>
      <c r="B42" s="21" t="s">
        <v>8426</v>
      </c>
      <c r="C42" s="1104" t="s">
        <v>8963</v>
      </c>
      <c r="D42" s="20">
        <v>4000</v>
      </c>
      <c r="E42" s="34"/>
      <c r="F42" s="20">
        <f t="shared" si="0"/>
        <v>3853443</v>
      </c>
    </row>
    <row r="43" spans="1:7" s="7" customFormat="1" ht="15.75" x14ac:dyDescent="0.25">
      <c r="A43" s="116">
        <v>44896</v>
      </c>
      <c r="B43" s="21" t="s">
        <v>8426</v>
      </c>
      <c r="C43" s="1104" t="s">
        <v>8964</v>
      </c>
      <c r="D43" s="20">
        <v>100742</v>
      </c>
      <c r="E43" s="34"/>
      <c r="F43" s="20">
        <f t="shared" si="0"/>
        <v>3954185</v>
      </c>
    </row>
    <row r="44" spans="1:7" s="7" customFormat="1" ht="15.75" x14ac:dyDescent="0.25">
      <c r="A44" s="116">
        <v>44896</v>
      </c>
      <c r="B44" s="21" t="s">
        <v>8426</v>
      </c>
      <c r="C44" s="1104" t="s">
        <v>8967</v>
      </c>
      <c r="D44" s="20">
        <v>294393</v>
      </c>
      <c r="E44" s="34"/>
      <c r="F44" s="20">
        <f t="shared" si="0"/>
        <v>4248578</v>
      </c>
    </row>
    <row r="45" spans="1:7" s="7" customFormat="1" ht="15.75" x14ac:dyDescent="0.25">
      <c r="A45" s="116">
        <v>44897</v>
      </c>
      <c r="B45" s="21" t="s">
        <v>8653</v>
      </c>
      <c r="C45" s="1104" t="s">
        <v>8968</v>
      </c>
      <c r="D45" s="20">
        <v>157044</v>
      </c>
      <c r="E45" s="34"/>
      <c r="F45" s="20">
        <f t="shared" si="0"/>
        <v>4405622</v>
      </c>
    </row>
    <row r="46" spans="1:7" s="7" customFormat="1" ht="15.75" x14ac:dyDescent="0.25">
      <c r="A46" s="116">
        <v>44897</v>
      </c>
      <c r="B46" s="21" t="s">
        <v>8653</v>
      </c>
      <c r="C46" s="1104" t="s">
        <v>8969</v>
      </c>
      <c r="D46" s="20">
        <v>55248</v>
      </c>
      <c r="E46" s="34"/>
      <c r="F46" s="20">
        <f t="shared" si="0"/>
        <v>4460870</v>
      </c>
    </row>
    <row r="47" spans="1:7" s="7" customFormat="1" ht="15.75" x14ac:dyDescent="0.25">
      <c r="A47" s="116">
        <v>44897</v>
      </c>
      <c r="B47" s="21" t="s">
        <v>8426</v>
      </c>
      <c r="C47" s="1104" t="s">
        <v>8970</v>
      </c>
      <c r="D47" s="20">
        <v>56000</v>
      </c>
      <c r="E47" s="34"/>
      <c r="F47" s="20">
        <f t="shared" si="0"/>
        <v>4516870</v>
      </c>
    </row>
    <row r="48" spans="1:7" s="7" customFormat="1" ht="15.75" x14ac:dyDescent="0.25">
      <c r="A48" s="116">
        <v>44898</v>
      </c>
      <c r="B48" s="21" t="s">
        <v>8122</v>
      </c>
      <c r="C48" s="1104" t="s">
        <v>8971</v>
      </c>
      <c r="D48" s="20">
        <v>350364</v>
      </c>
      <c r="E48" s="34"/>
      <c r="F48" s="20">
        <f t="shared" si="0"/>
        <v>4867234</v>
      </c>
    </row>
    <row r="49" spans="1:8" s="7" customFormat="1" ht="15.75" x14ac:dyDescent="0.25">
      <c r="A49" s="116">
        <v>44901</v>
      </c>
      <c r="B49" s="21" t="s">
        <v>8426</v>
      </c>
      <c r="C49" s="1104" t="s">
        <v>8966</v>
      </c>
      <c r="D49" s="20">
        <v>100742</v>
      </c>
      <c r="E49" s="34"/>
      <c r="F49" s="20">
        <f t="shared" si="0"/>
        <v>4967976</v>
      </c>
    </row>
    <row r="50" spans="1:8" s="7" customFormat="1" ht="15.75" x14ac:dyDescent="0.25">
      <c r="A50" s="116">
        <v>44901</v>
      </c>
      <c r="B50" s="21" t="s">
        <v>8426</v>
      </c>
      <c r="C50" s="1104" t="s">
        <v>8972</v>
      </c>
      <c r="D50" s="20">
        <v>147250</v>
      </c>
      <c r="E50" s="34"/>
      <c r="F50" s="20">
        <f t="shared" si="0"/>
        <v>5115226</v>
      </c>
    </row>
    <row r="51" spans="1:8" s="7" customFormat="1" ht="15.75" x14ac:dyDescent="0.25">
      <c r="A51" s="116">
        <v>44910</v>
      </c>
      <c r="B51" s="21" t="s">
        <v>11705</v>
      </c>
      <c r="C51" s="1105"/>
      <c r="D51" s="1106"/>
      <c r="E51" s="1107">
        <v>300000</v>
      </c>
      <c r="F51" s="20">
        <f t="shared" si="0"/>
        <v>4815226</v>
      </c>
      <c r="G51" s="744"/>
    </row>
    <row r="52" spans="1:8" s="7" customFormat="1" ht="15.75" x14ac:dyDescent="0.25">
      <c r="A52" s="116">
        <v>44910</v>
      </c>
      <c r="B52" s="21" t="s">
        <v>11705</v>
      </c>
      <c r="C52" s="1105"/>
      <c r="D52" s="1106"/>
      <c r="E52" s="1107">
        <v>300000</v>
      </c>
      <c r="F52" s="20">
        <f t="shared" si="0"/>
        <v>4515226</v>
      </c>
      <c r="G52" s="744"/>
    </row>
    <row r="53" spans="1:8" s="7" customFormat="1" ht="15.75" x14ac:dyDescent="0.25">
      <c r="A53" s="116">
        <v>44922</v>
      </c>
      <c r="B53" s="756" t="s">
        <v>8653</v>
      </c>
      <c r="C53" s="1105" t="s">
        <v>9072</v>
      </c>
      <c r="D53" s="1106">
        <v>33571</v>
      </c>
      <c r="E53" s="1107"/>
      <c r="F53" s="20">
        <f t="shared" si="0"/>
        <v>4548797</v>
      </c>
      <c r="G53" s="744"/>
    </row>
    <row r="54" spans="1:8" s="7" customFormat="1" ht="15.75" x14ac:dyDescent="0.25">
      <c r="A54" s="116">
        <v>44924</v>
      </c>
      <c r="B54" s="764" t="s">
        <v>9062</v>
      </c>
      <c r="C54" s="1105"/>
      <c r="D54" s="1106"/>
      <c r="E54" s="1107">
        <v>333000</v>
      </c>
      <c r="F54" s="20">
        <f t="shared" si="0"/>
        <v>4215797</v>
      </c>
      <c r="G54" s="744"/>
    </row>
    <row r="55" spans="1:8" s="7" customFormat="1" ht="15.75" x14ac:dyDescent="0.25">
      <c r="A55" s="116">
        <v>44924</v>
      </c>
      <c r="B55" s="764" t="s">
        <v>9063</v>
      </c>
      <c r="C55" s="1105"/>
      <c r="D55" s="1106"/>
      <c r="E55" s="1107">
        <v>333000</v>
      </c>
      <c r="F55" s="20">
        <f t="shared" si="0"/>
        <v>3882797</v>
      </c>
      <c r="G55" s="744"/>
    </row>
    <row r="56" spans="1:8" s="7" customFormat="1" ht="15.75" x14ac:dyDescent="0.25">
      <c r="A56" s="116">
        <v>44924</v>
      </c>
      <c r="B56" s="764" t="s">
        <v>9064</v>
      </c>
      <c r="C56" s="1105"/>
      <c r="D56" s="1106"/>
      <c r="E56" s="1107">
        <v>334000</v>
      </c>
      <c r="F56" s="20">
        <f t="shared" si="0"/>
        <v>3548797</v>
      </c>
      <c r="G56" s="744"/>
      <c r="H56" s="134"/>
    </row>
    <row r="57" spans="1:8" s="7" customFormat="1" ht="15.75" x14ac:dyDescent="0.25">
      <c r="A57" s="116">
        <v>44933</v>
      </c>
      <c r="B57" s="21" t="s">
        <v>8426</v>
      </c>
      <c r="C57" s="1104" t="s">
        <v>9159</v>
      </c>
      <c r="D57" s="20">
        <v>33600</v>
      </c>
      <c r="E57" s="34"/>
      <c r="F57" s="20">
        <f t="shared" si="0"/>
        <v>3582397</v>
      </c>
    </row>
    <row r="58" spans="1:8" s="7" customFormat="1" ht="15.75" x14ac:dyDescent="0.25">
      <c r="A58" s="116">
        <v>44937</v>
      </c>
      <c r="B58" s="21" t="s">
        <v>8426</v>
      </c>
      <c r="C58" s="1104" t="s">
        <v>9393</v>
      </c>
      <c r="D58" s="20">
        <v>49065</v>
      </c>
      <c r="E58" s="34"/>
      <c r="F58" s="20">
        <f t="shared" si="0"/>
        <v>3631462</v>
      </c>
    </row>
    <row r="59" spans="1:8" s="7" customFormat="1" ht="15.75" x14ac:dyDescent="0.25">
      <c r="A59" s="116">
        <v>44952</v>
      </c>
      <c r="B59" s="21" t="s">
        <v>8982</v>
      </c>
      <c r="C59" s="1104" t="s">
        <v>9478</v>
      </c>
      <c r="D59" s="20">
        <v>536326</v>
      </c>
      <c r="E59" s="34"/>
      <c r="F59" s="20">
        <f t="shared" si="0"/>
        <v>4167788</v>
      </c>
      <c r="G59" s="744"/>
    </row>
    <row r="60" spans="1:8" s="7" customFormat="1" ht="15.75" x14ac:dyDescent="0.25">
      <c r="A60" s="116">
        <v>44956</v>
      </c>
      <c r="B60" s="21" t="s">
        <v>8982</v>
      </c>
      <c r="C60" s="1104" t="s">
        <v>9479</v>
      </c>
      <c r="D60" s="20">
        <v>240163</v>
      </c>
      <c r="E60" s="34"/>
      <c r="F60" s="20">
        <f t="shared" si="0"/>
        <v>4407951</v>
      </c>
    </row>
    <row r="61" spans="1:8" s="7" customFormat="1" ht="15.75" x14ac:dyDescent="0.25">
      <c r="A61" s="116">
        <v>44965</v>
      </c>
      <c r="B61" s="21" t="s">
        <v>8426</v>
      </c>
      <c r="C61" s="1104" t="s">
        <v>9480</v>
      </c>
      <c r="D61" s="20">
        <v>74889</v>
      </c>
      <c r="E61" s="34"/>
      <c r="F61" s="20">
        <f t="shared" si="0"/>
        <v>4482840</v>
      </c>
    </row>
    <row r="62" spans="1:8" s="7" customFormat="1" ht="15.75" x14ac:dyDescent="0.25">
      <c r="A62" s="116">
        <v>44971</v>
      </c>
      <c r="B62" s="21" t="s">
        <v>11706</v>
      </c>
      <c r="C62" s="1104"/>
      <c r="D62" s="20"/>
      <c r="E62" s="34">
        <v>600000</v>
      </c>
      <c r="F62" s="20">
        <f t="shared" si="0"/>
        <v>3882840</v>
      </c>
    </row>
    <row r="63" spans="1:8" s="7" customFormat="1" ht="15.75" x14ac:dyDescent="0.25">
      <c r="A63" s="116">
        <v>44973</v>
      </c>
      <c r="B63" s="21" t="s">
        <v>11707</v>
      </c>
      <c r="C63" s="1104"/>
      <c r="D63" s="20"/>
      <c r="E63" s="34">
        <v>400000</v>
      </c>
      <c r="F63" s="20">
        <f t="shared" si="0"/>
        <v>3482840</v>
      </c>
    </row>
    <row r="64" spans="1:8" s="7" customFormat="1" ht="15.75" x14ac:dyDescent="0.25">
      <c r="A64" s="116">
        <v>45013</v>
      </c>
      <c r="B64" s="21" t="s">
        <v>8982</v>
      </c>
      <c r="C64" s="1104" t="s">
        <v>9703</v>
      </c>
      <c r="D64" s="20">
        <v>11200</v>
      </c>
      <c r="E64" s="34"/>
      <c r="F64" s="20">
        <f t="shared" si="0"/>
        <v>3494040</v>
      </c>
    </row>
    <row r="65" spans="1:7" s="7" customFormat="1" ht="15.75" x14ac:dyDescent="0.25">
      <c r="A65" s="116">
        <v>45027</v>
      </c>
      <c r="B65" s="13" t="s">
        <v>9751</v>
      </c>
      <c r="C65" s="1104"/>
      <c r="D65" s="20"/>
      <c r="E65" s="34">
        <v>800000</v>
      </c>
      <c r="F65" s="20">
        <f t="shared" si="0"/>
        <v>2694040</v>
      </c>
    </row>
    <row r="66" spans="1:7" s="7" customFormat="1" ht="15.75" x14ac:dyDescent="0.25">
      <c r="A66" s="116">
        <v>45048</v>
      </c>
      <c r="B66" s="13" t="s">
        <v>9857</v>
      </c>
      <c r="C66" s="1104"/>
      <c r="D66" s="20"/>
      <c r="E66" s="34">
        <v>441500</v>
      </c>
      <c r="F66" s="20">
        <f t="shared" si="0"/>
        <v>2252540</v>
      </c>
    </row>
    <row r="67" spans="1:7" s="7" customFormat="1" ht="15.75" x14ac:dyDescent="0.25">
      <c r="A67" s="116">
        <v>45048</v>
      </c>
      <c r="B67" s="21" t="s">
        <v>9769</v>
      </c>
      <c r="C67" s="1104" t="s">
        <v>9928</v>
      </c>
      <c r="D67" s="20">
        <v>441068</v>
      </c>
      <c r="E67" s="34"/>
      <c r="F67" s="20">
        <f t="shared" si="0"/>
        <v>2693608</v>
      </c>
    </row>
    <row r="68" spans="1:7" s="7" customFormat="1" ht="15.75" x14ac:dyDescent="0.25">
      <c r="A68" s="116">
        <v>45059</v>
      </c>
      <c r="B68" s="21" t="s">
        <v>9769</v>
      </c>
      <c r="C68" s="1104" t="s">
        <v>10088</v>
      </c>
      <c r="D68" s="20">
        <v>77980</v>
      </c>
      <c r="E68" s="34"/>
      <c r="F68" s="20">
        <f t="shared" si="0"/>
        <v>2771588</v>
      </c>
    </row>
    <row r="69" spans="1:7" s="7" customFormat="1" ht="15.75" x14ac:dyDescent="0.25">
      <c r="A69" s="116">
        <v>45065</v>
      </c>
      <c r="B69" s="21" t="s">
        <v>9769</v>
      </c>
      <c r="C69" s="1104" t="s">
        <v>10090</v>
      </c>
      <c r="D69" s="20">
        <v>51648</v>
      </c>
      <c r="E69" s="34"/>
      <c r="F69" s="20">
        <f t="shared" si="0"/>
        <v>2823236</v>
      </c>
    </row>
    <row r="70" spans="1:7" s="7" customFormat="1" ht="15.75" x14ac:dyDescent="0.25">
      <c r="A70" s="116">
        <v>45072</v>
      </c>
      <c r="B70" s="21" t="s">
        <v>9769</v>
      </c>
      <c r="C70" s="1104" t="s">
        <v>10092</v>
      </c>
      <c r="D70" s="20">
        <v>10200</v>
      </c>
      <c r="E70" s="34"/>
      <c r="F70" s="20">
        <f t="shared" si="0"/>
        <v>2833436</v>
      </c>
    </row>
    <row r="71" spans="1:7" s="7" customFormat="1" ht="15.75" x14ac:dyDescent="0.25">
      <c r="A71" s="116">
        <v>45075</v>
      </c>
      <c r="B71" s="21" t="s">
        <v>9769</v>
      </c>
      <c r="C71" s="1104" t="s">
        <v>10094</v>
      </c>
      <c r="D71" s="20">
        <v>32000</v>
      </c>
      <c r="E71" s="34"/>
      <c r="F71" s="20">
        <f t="shared" ref="F71:F145" si="1">F70+D71-E71</f>
        <v>2865436</v>
      </c>
    </row>
    <row r="72" spans="1:7" s="7" customFormat="1" ht="15.75" x14ac:dyDescent="0.25">
      <c r="A72" s="116">
        <v>45075</v>
      </c>
      <c r="B72" s="21" t="s">
        <v>10096</v>
      </c>
      <c r="C72" s="1104" t="s">
        <v>10097</v>
      </c>
      <c r="D72" s="20">
        <v>25630</v>
      </c>
      <c r="E72" s="34"/>
      <c r="F72" s="20">
        <f t="shared" si="1"/>
        <v>2891066</v>
      </c>
    </row>
    <row r="73" spans="1:7" s="7" customFormat="1" ht="15.75" x14ac:dyDescent="0.25">
      <c r="A73" s="116">
        <v>45083</v>
      </c>
      <c r="B73" s="21" t="s">
        <v>9463</v>
      </c>
      <c r="C73" s="1104" t="s">
        <v>10375</v>
      </c>
      <c r="D73" s="20">
        <v>59395</v>
      </c>
      <c r="E73" s="34"/>
      <c r="F73" s="20">
        <f t="shared" si="1"/>
        <v>2950461</v>
      </c>
    </row>
    <row r="74" spans="1:7" s="7" customFormat="1" ht="15.75" customHeight="1" x14ac:dyDescent="0.25">
      <c r="A74" s="116">
        <v>45086</v>
      </c>
      <c r="B74" s="21" t="s">
        <v>10237</v>
      </c>
      <c r="C74" s="1104"/>
      <c r="D74" s="20"/>
      <c r="E74" s="34">
        <v>1000000</v>
      </c>
      <c r="F74" s="20">
        <f t="shared" si="1"/>
        <v>1950461</v>
      </c>
      <c r="G74" s="1103"/>
    </row>
    <row r="75" spans="1:7" s="7" customFormat="1" ht="15.75" x14ac:dyDescent="0.25">
      <c r="A75" s="116">
        <v>45091</v>
      </c>
      <c r="B75" s="21" t="s">
        <v>9463</v>
      </c>
      <c r="C75" s="1104" t="s">
        <v>10376</v>
      </c>
      <c r="D75" s="20">
        <v>94595</v>
      </c>
      <c r="E75" s="34"/>
      <c r="F75" s="20">
        <f t="shared" si="1"/>
        <v>2045056</v>
      </c>
    </row>
    <row r="76" spans="1:7" s="7" customFormat="1" ht="15.75" x14ac:dyDescent="0.25">
      <c r="A76" s="116">
        <v>45093</v>
      </c>
      <c r="B76" s="21" t="s">
        <v>9463</v>
      </c>
      <c r="C76" s="1104" t="s">
        <v>10377</v>
      </c>
      <c r="D76" s="20">
        <v>118790</v>
      </c>
      <c r="E76" s="34"/>
      <c r="F76" s="20">
        <f t="shared" si="1"/>
        <v>2163846</v>
      </c>
    </row>
    <row r="77" spans="1:7" s="7" customFormat="1" ht="15.75" x14ac:dyDescent="0.25">
      <c r="A77" s="116">
        <v>45099</v>
      </c>
      <c r="B77" s="21" t="s">
        <v>10261</v>
      </c>
      <c r="C77" s="1104" t="s">
        <v>10553</v>
      </c>
      <c r="D77" s="20">
        <v>149260</v>
      </c>
      <c r="E77" s="34"/>
      <c r="F77" s="20">
        <f t="shared" si="1"/>
        <v>2313106</v>
      </c>
    </row>
    <row r="78" spans="1:7" s="7" customFormat="1" ht="15.75" x14ac:dyDescent="0.25">
      <c r="A78" s="116">
        <v>45114</v>
      </c>
      <c r="B78" s="21" t="s">
        <v>10261</v>
      </c>
      <c r="C78" s="1104" t="s">
        <v>10552</v>
      </c>
      <c r="D78" s="20">
        <v>35200</v>
      </c>
      <c r="E78" s="34"/>
      <c r="F78" s="20">
        <f t="shared" si="1"/>
        <v>2348306</v>
      </c>
    </row>
    <row r="79" spans="1:7" s="7" customFormat="1" ht="15.75" x14ac:dyDescent="0.25">
      <c r="A79" s="116">
        <v>45131</v>
      </c>
      <c r="B79" s="21" t="s">
        <v>10698</v>
      </c>
      <c r="C79" s="1104"/>
      <c r="D79" s="20"/>
      <c r="E79" s="34">
        <v>385000</v>
      </c>
      <c r="F79" s="20">
        <f t="shared" si="1"/>
        <v>1963306</v>
      </c>
    </row>
    <row r="80" spans="1:7" s="7" customFormat="1" ht="15.75" x14ac:dyDescent="0.25">
      <c r="A80" s="116">
        <v>45133</v>
      </c>
      <c r="B80" s="21" t="s">
        <v>9463</v>
      </c>
      <c r="C80" s="1104" t="s">
        <v>10735</v>
      </c>
      <c r="D80" s="33">
        <v>136390</v>
      </c>
      <c r="E80" s="34"/>
      <c r="F80" s="20">
        <f t="shared" si="1"/>
        <v>2099696</v>
      </c>
    </row>
    <row r="81" spans="1:9" s="7" customFormat="1" ht="15.75" x14ac:dyDescent="0.25">
      <c r="A81" s="116">
        <v>45133</v>
      </c>
      <c r="B81" s="21" t="s">
        <v>10096</v>
      </c>
      <c r="C81" s="1104" t="s">
        <v>10736</v>
      </c>
      <c r="D81" s="20">
        <v>10125</v>
      </c>
      <c r="E81" s="34"/>
      <c r="F81" s="20">
        <f t="shared" si="1"/>
        <v>2109821</v>
      </c>
    </row>
    <row r="82" spans="1:9" s="7" customFormat="1" ht="15.75" x14ac:dyDescent="0.25">
      <c r="A82" s="116">
        <v>45141</v>
      </c>
      <c r="B82" s="21" t="s">
        <v>10683</v>
      </c>
      <c r="C82" s="1104" t="s">
        <v>10797</v>
      </c>
      <c r="D82" s="20">
        <v>752630</v>
      </c>
      <c r="E82" s="34"/>
      <c r="F82" s="20">
        <f t="shared" si="1"/>
        <v>2862451</v>
      </c>
    </row>
    <row r="83" spans="1:9" s="7" customFormat="1" ht="15.75" x14ac:dyDescent="0.25">
      <c r="A83" s="116">
        <v>45143</v>
      </c>
      <c r="B83" s="21" t="s">
        <v>9463</v>
      </c>
      <c r="C83" s="1104" t="s">
        <v>10798</v>
      </c>
      <c r="D83" s="20">
        <v>153990</v>
      </c>
      <c r="E83" s="34"/>
      <c r="F83" s="20">
        <f t="shared" si="1"/>
        <v>3016441</v>
      </c>
    </row>
    <row r="84" spans="1:9" s="7" customFormat="1" ht="15.75" x14ac:dyDescent="0.25">
      <c r="A84" s="116">
        <v>45149</v>
      </c>
      <c r="B84" s="21" t="s">
        <v>10342</v>
      </c>
      <c r="C84" s="1104" t="s">
        <v>10958</v>
      </c>
      <c r="D84" s="20">
        <v>67956</v>
      </c>
      <c r="E84" s="34"/>
      <c r="F84" s="20">
        <f t="shared" si="1"/>
        <v>3084397</v>
      </c>
    </row>
    <row r="85" spans="1:9" s="7" customFormat="1" ht="15.75" customHeight="1" x14ac:dyDescent="0.25">
      <c r="A85" s="116">
        <v>45153</v>
      </c>
      <c r="B85" s="21" t="s">
        <v>11708</v>
      </c>
      <c r="C85" s="1104"/>
      <c r="D85" s="20"/>
      <c r="E85" s="34">
        <v>1350000</v>
      </c>
      <c r="F85" s="20">
        <f t="shared" si="1"/>
        <v>1734397</v>
      </c>
      <c r="G85" s="1103"/>
    </row>
    <row r="86" spans="1:9" s="7" customFormat="1" ht="17.25" customHeight="1" x14ac:dyDescent="0.25">
      <c r="A86" s="116">
        <v>45161</v>
      </c>
      <c r="B86" s="21" t="s">
        <v>10683</v>
      </c>
      <c r="C86" s="1104" t="s">
        <v>11058</v>
      </c>
      <c r="D86" s="20">
        <v>334758</v>
      </c>
      <c r="E86" s="34"/>
      <c r="F86" s="20">
        <f t="shared" si="1"/>
        <v>2069155</v>
      </c>
      <c r="G86" s="1100"/>
    </row>
    <row r="87" spans="1:9" s="7" customFormat="1" ht="17.25" customHeight="1" x14ac:dyDescent="0.25">
      <c r="A87" s="116">
        <v>45162</v>
      </c>
      <c r="B87" s="21" t="s">
        <v>10406</v>
      </c>
      <c r="C87" s="1104" t="s">
        <v>11059</v>
      </c>
      <c r="D87" s="20">
        <v>82636</v>
      </c>
      <c r="E87" s="34"/>
      <c r="F87" s="20">
        <f t="shared" si="1"/>
        <v>2151791</v>
      </c>
      <c r="G87" s="1100"/>
    </row>
    <row r="88" spans="1:9" s="7" customFormat="1" ht="15.75" x14ac:dyDescent="0.25">
      <c r="A88" s="116">
        <v>45168</v>
      </c>
      <c r="B88" s="21" t="s">
        <v>10683</v>
      </c>
      <c r="C88" s="1104" t="s">
        <v>11044</v>
      </c>
      <c r="D88" s="20">
        <v>32000</v>
      </c>
      <c r="E88" s="34"/>
      <c r="F88" s="20">
        <f t="shared" si="1"/>
        <v>2183791</v>
      </c>
    </row>
    <row r="89" spans="1:9" s="7" customFormat="1" ht="15.75" x14ac:dyDescent="0.25">
      <c r="A89" s="116">
        <v>45169</v>
      </c>
      <c r="B89" s="21" t="s">
        <v>9463</v>
      </c>
      <c r="C89" s="1104" t="s">
        <v>11129</v>
      </c>
      <c r="D89" s="20">
        <v>119294</v>
      </c>
      <c r="E89" s="34"/>
      <c r="F89" s="20">
        <f t="shared" si="1"/>
        <v>2303085</v>
      </c>
    </row>
    <row r="90" spans="1:9" s="7" customFormat="1" ht="15.75" x14ac:dyDescent="0.25">
      <c r="A90" s="116">
        <v>45173</v>
      </c>
      <c r="B90" s="21" t="s">
        <v>9463</v>
      </c>
      <c r="C90" s="1104" t="s">
        <v>11130</v>
      </c>
      <c r="D90" s="20">
        <v>119296</v>
      </c>
      <c r="E90" s="34"/>
      <c r="F90" s="20">
        <f t="shared" si="1"/>
        <v>2422381</v>
      </c>
    </row>
    <row r="91" spans="1:9" s="7" customFormat="1" ht="16.5" customHeight="1" x14ac:dyDescent="0.25">
      <c r="A91" s="116">
        <v>45178</v>
      </c>
      <c r="B91" s="21" t="s">
        <v>9463</v>
      </c>
      <c r="C91" s="1104" t="s">
        <v>11131</v>
      </c>
      <c r="D91" s="20">
        <v>222592</v>
      </c>
      <c r="E91" s="34"/>
      <c r="F91" s="20">
        <f t="shared" si="1"/>
        <v>2644973</v>
      </c>
      <c r="I91" s="134"/>
    </row>
    <row r="92" spans="1:9" s="7" customFormat="1" ht="15.75" x14ac:dyDescent="0.25">
      <c r="A92" s="116">
        <v>45178</v>
      </c>
      <c r="B92" s="21" t="s">
        <v>10688</v>
      </c>
      <c r="C92" s="1104" t="s">
        <v>11191</v>
      </c>
      <c r="D92" s="20">
        <v>804137</v>
      </c>
      <c r="E92" s="34"/>
      <c r="F92" s="20">
        <f t="shared" si="1"/>
        <v>3449110</v>
      </c>
    </row>
    <row r="93" spans="1:9" s="7" customFormat="1" ht="15.75" x14ac:dyDescent="0.25">
      <c r="A93" s="116">
        <v>45180</v>
      </c>
      <c r="B93" s="21" t="s">
        <v>9463</v>
      </c>
      <c r="C93" s="1104" t="s">
        <v>11192</v>
      </c>
      <c r="D93" s="20">
        <v>119296</v>
      </c>
      <c r="E93" s="34"/>
      <c r="F93" s="20">
        <f t="shared" si="1"/>
        <v>3568406</v>
      </c>
    </row>
    <row r="94" spans="1:9" s="7" customFormat="1" ht="15.75" x14ac:dyDescent="0.25">
      <c r="A94" s="116">
        <v>45180</v>
      </c>
      <c r="B94" s="21" t="s">
        <v>10688</v>
      </c>
      <c r="C94" s="1104" t="s">
        <v>11195</v>
      </c>
      <c r="D94" s="20">
        <v>891939</v>
      </c>
      <c r="E94" s="34"/>
      <c r="F94" s="20">
        <f t="shared" si="1"/>
        <v>4460345</v>
      </c>
    </row>
    <row r="95" spans="1:9" s="7" customFormat="1" ht="15.75" x14ac:dyDescent="0.25">
      <c r="A95" s="116">
        <v>45180</v>
      </c>
      <c r="B95" s="21" t="s">
        <v>11193</v>
      </c>
      <c r="C95" s="1104" t="s">
        <v>11194</v>
      </c>
      <c r="D95" s="20">
        <v>235504</v>
      </c>
      <c r="E95" s="34"/>
      <c r="F95" s="20">
        <f t="shared" si="1"/>
        <v>4695849</v>
      </c>
    </row>
    <row r="96" spans="1:9" s="7" customFormat="1" ht="15.75" x14ac:dyDescent="0.25">
      <c r="A96" s="116">
        <v>45184</v>
      </c>
      <c r="B96" s="21" t="s">
        <v>9463</v>
      </c>
      <c r="C96" s="1104" t="s">
        <v>11324</v>
      </c>
      <c r="D96" s="20">
        <v>103296</v>
      </c>
      <c r="E96" s="34"/>
      <c r="F96" s="20">
        <f t="shared" si="1"/>
        <v>4799145</v>
      </c>
    </row>
    <row r="97" spans="1:7" s="7" customFormat="1" ht="15.75" x14ac:dyDescent="0.25">
      <c r="A97" s="116">
        <v>45184</v>
      </c>
      <c r="B97" s="21" t="s">
        <v>10688</v>
      </c>
      <c r="C97" s="1104" t="s">
        <v>11325</v>
      </c>
      <c r="D97" s="20">
        <v>804137</v>
      </c>
      <c r="E97" s="34"/>
      <c r="F97" s="20">
        <f t="shared" si="1"/>
        <v>5603282</v>
      </c>
    </row>
    <row r="98" spans="1:7" s="7" customFormat="1" ht="15.75" x14ac:dyDescent="0.25">
      <c r="A98" s="116">
        <v>45187</v>
      </c>
      <c r="B98" s="21" t="s">
        <v>10688</v>
      </c>
      <c r="C98" s="1104" t="s">
        <v>11326</v>
      </c>
      <c r="D98" s="20">
        <v>1011740</v>
      </c>
      <c r="E98" s="34"/>
      <c r="F98" s="20">
        <f t="shared" si="1"/>
        <v>6615022</v>
      </c>
    </row>
    <row r="99" spans="1:7" s="7" customFormat="1" ht="15.75" x14ac:dyDescent="0.25">
      <c r="A99" s="116">
        <v>45190</v>
      </c>
      <c r="B99" s="21" t="s">
        <v>9463</v>
      </c>
      <c r="C99" s="1104" t="s">
        <v>11328</v>
      </c>
      <c r="D99" s="20">
        <v>113296</v>
      </c>
      <c r="E99" s="34"/>
      <c r="F99" s="20">
        <f t="shared" si="1"/>
        <v>6728318</v>
      </c>
    </row>
    <row r="100" spans="1:7" s="7" customFormat="1" ht="15.75" x14ac:dyDescent="0.25">
      <c r="A100" s="116">
        <v>45191</v>
      </c>
      <c r="B100" s="21" t="s">
        <v>9463</v>
      </c>
      <c r="C100" s="1104" t="s">
        <v>11329</v>
      </c>
      <c r="D100" s="20">
        <v>16000</v>
      </c>
      <c r="E100" s="34"/>
      <c r="F100" s="20">
        <f t="shared" si="1"/>
        <v>6744318</v>
      </c>
    </row>
    <row r="101" spans="1:7" s="7" customFormat="1" ht="15.75" x14ac:dyDescent="0.25">
      <c r="A101" s="116">
        <v>45191</v>
      </c>
      <c r="B101" s="21" t="s">
        <v>10342</v>
      </c>
      <c r="C101" s="1104" t="s">
        <v>11327</v>
      </c>
      <c r="D101" s="20">
        <v>684336</v>
      </c>
      <c r="E101" s="34"/>
      <c r="F101" s="20">
        <f t="shared" si="1"/>
        <v>7428654</v>
      </c>
    </row>
    <row r="102" spans="1:7" s="7" customFormat="1" ht="15.75" x14ac:dyDescent="0.25">
      <c r="A102" s="116">
        <v>45191</v>
      </c>
      <c r="B102" s="21" t="s">
        <v>10261</v>
      </c>
      <c r="C102" s="1104" t="s">
        <v>11332</v>
      </c>
      <c r="D102" s="20">
        <v>43900</v>
      </c>
      <c r="E102" s="34"/>
      <c r="F102" s="20">
        <f t="shared" si="1"/>
        <v>7472554</v>
      </c>
    </row>
    <row r="103" spans="1:7" s="7" customFormat="1" ht="15.75" x14ac:dyDescent="0.25">
      <c r="A103" s="116">
        <v>45191</v>
      </c>
      <c r="B103" s="21" t="s">
        <v>9463</v>
      </c>
      <c r="C103" s="1104" t="s">
        <v>11331</v>
      </c>
      <c r="D103" s="20">
        <v>67648</v>
      </c>
      <c r="E103" s="34"/>
      <c r="F103" s="20">
        <f t="shared" si="1"/>
        <v>7540202</v>
      </c>
    </row>
    <row r="104" spans="1:7" s="7" customFormat="1" ht="15.75" x14ac:dyDescent="0.25">
      <c r="A104" s="116">
        <v>45191</v>
      </c>
      <c r="B104" s="21" t="s">
        <v>10688</v>
      </c>
      <c r="C104" s="1104" t="s">
        <v>11330</v>
      </c>
      <c r="D104" s="20">
        <v>804137</v>
      </c>
      <c r="E104" s="34"/>
      <c r="F104" s="20">
        <f t="shared" si="1"/>
        <v>8344339</v>
      </c>
    </row>
    <row r="105" spans="1:7" s="7" customFormat="1" ht="15.75" x14ac:dyDescent="0.25">
      <c r="A105" s="116">
        <v>45192</v>
      </c>
      <c r="B105" s="21" t="s">
        <v>9463</v>
      </c>
      <c r="C105" s="1104" t="s">
        <v>11372</v>
      </c>
      <c r="D105" s="20">
        <v>16000</v>
      </c>
      <c r="E105" s="34"/>
      <c r="F105" s="20">
        <f t="shared" si="1"/>
        <v>8360339</v>
      </c>
    </row>
    <row r="106" spans="1:7" s="7" customFormat="1" ht="15.75" x14ac:dyDescent="0.25">
      <c r="A106" s="116">
        <v>45194</v>
      </c>
      <c r="B106" s="13" t="s">
        <v>11293</v>
      </c>
      <c r="C106" s="1104"/>
      <c r="D106" s="20"/>
      <c r="E106" s="34">
        <v>500000</v>
      </c>
      <c r="F106" s="20">
        <f t="shared" si="1"/>
        <v>7860339</v>
      </c>
    </row>
    <row r="107" spans="1:7" s="7" customFormat="1" ht="15.75" x14ac:dyDescent="0.25">
      <c r="A107" s="116">
        <v>45195</v>
      </c>
      <c r="B107" s="13" t="s">
        <v>11293</v>
      </c>
      <c r="C107" s="1104"/>
      <c r="D107" s="20"/>
      <c r="E107" s="34">
        <v>800000</v>
      </c>
      <c r="F107" s="20">
        <f t="shared" si="1"/>
        <v>7060339</v>
      </c>
      <c r="G107" s="744"/>
    </row>
    <row r="108" spans="1:7" s="7" customFormat="1" ht="15.75" x14ac:dyDescent="0.25">
      <c r="A108" s="116">
        <v>45195</v>
      </c>
      <c r="B108" s="21" t="s">
        <v>10342</v>
      </c>
      <c r="C108" s="1104" t="s">
        <v>11373</v>
      </c>
      <c r="D108" s="20">
        <v>716336</v>
      </c>
      <c r="E108" s="34"/>
      <c r="F108" s="20">
        <f t="shared" si="1"/>
        <v>7776675</v>
      </c>
      <c r="G108" s="1097"/>
    </row>
    <row r="109" spans="1:7" s="7" customFormat="1" ht="15.75" x14ac:dyDescent="0.25">
      <c r="A109" s="116">
        <v>45197</v>
      </c>
      <c r="B109" s="21" t="s">
        <v>11193</v>
      </c>
      <c r="C109" s="1104" t="s">
        <v>11374</v>
      </c>
      <c r="D109" s="20">
        <v>147702</v>
      </c>
      <c r="E109" s="34"/>
      <c r="F109" s="20">
        <f t="shared" si="1"/>
        <v>7924377</v>
      </c>
      <c r="G109" s="1097"/>
    </row>
    <row r="110" spans="1:7" s="7" customFormat="1" ht="15.75" x14ac:dyDescent="0.25">
      <c r="A110" s="116">
        <v>45195</v>
      </c>
      <c r="B110" s="13" t="s">
        <v>11293</v>
      </c>
      <c r="C110" s="1104"/>
      <c r="D110" s="20"/>
      <c r="E110" s="34">
        <v>500000</v>
      </c>
      <c r="F110" s="20">
        <f t="shared" si="1"/>
        <v>7424377</v>
      </c>
      <c r="G110" s="744"/>
    </row>
    <row r="111" spans="1:7" s="7" customFormat="1" ht="21" x14ac:dyDescent="0.25">
      <c r="A111" s="116">
        <v>45197</v>
      </c>
      <c r="B111" s="21" t="s">
        <v>11384</v>
      </c>
      <c r="C111" s="1104"/>
      <c r="D111" s="20"/>
      <c r="E111" s="34">
        <v>50000</v>
      </c>
      <c r="F111" s="20">
        <f t="shared" si="1"/>
        <v>7374377</v>
      </c>
      <c r="G111" s="1101"/>
    </row>
    <row r="112" spans="1:7" s="7" customFormat="1" ht="15.75" x14ac:dyDescent="0.25">
      <c r="A112" s="116">
        <v>45202</v>
      </c>
      <c r="B112" s="21" t="s">
        <v>10688</v>
      </c>
      <c r="C112" s="1104" t="s">
        <v>11375</v>
      </c>
      <c r="D112" s="20">
        <v>64000</v>
      </c>
      <c r="E112" s="34"/>
      <c r="F112" s="20">
        <f t="shared" si="1"/>
        <v>7438377</v>
      </c>
    </row>
    <row r="113" spans="1:7" s="7" customFormat="1" ht="15.75" x14ac:dyDescent="0.25">
      <c r="A113" s="116">
        <v>45202</v>
      </c>
      <c r="B113" s="21" t="s">
        <v>10342</v>
      </c>
      <c r="C113" s="1104" t="s">
        <v>11376</v>
      </c>
      <c r="D113" s="20">
        <v>683270</v>
      </c>
      <c r="E113" s="34"/>
      <c r="F113" s="20">
        <f t="shared" si="1"/>
        <v>8121647</v>
      </c>
    </row>
    <row r="114" spans="1:7" s="7" customFormat="1" ht="15.75" x14ac:dyDescent="0.25">
      <c r="A114" s="116">
        <v>45202</v>
      </c>
      <c r="B114" s="13" t="s">
        <v>11293</v>
      </c>
      <c r="C114" s="1104"/>
      <c r="D114" s="20"/>
      <c r="E114" s="34">
        <v>200000</v>
      </c>
      <c r="F114" s="20">
        <f t="shared" si="1"/>
        <v>7921647</v>
      </c>
    </row>
    <row r="115" spans="1:7" s="7" customFormat="1" ht="15.75" x14ac:dyDescent="0.25">
      <c r="A115" s="116">
        <v>45205</v>
      </c>
      <c r="B115" s="21" t="s">
        <v>10342</v>
      </c>
      <c r="C115" s="1104" t="s">
        <v>11474</v>
      </c>
      <c r="D115" s="20">
        <v>461969</v>
      </c>
      <c r="E115" s="34"/>
      <c r="F115" s="20">
        <f t="shared" si="1"/>
        <v>8383616</v>
      </c>
    </row>
    <row r="116" spans="1:7" s="7" customFormat="1" ht="15.75" x14ac:dyDescent="0.25">
      <c r="A116" s="116">
        <v>45205</v>
      </c>
      <c r="B116" s="21" t="s">
        <v>10688</v>
      </c>
      <c r="C116" s="1104" t="s">
        <v>11475</v>
      </c>
      <c r="D116" s="20">
        <v>461969</v>
      </c>
      <c r="E116" s="34"/>
      <c r="F116" s="20">
        <f t="shared" si="1"/>
        <v>8845585</v>
      </c>
    </row>
    <row r="117" spans="1:7" s="7" customFormat="1" ht="15.75" x14ac:dyDescent="0.25">
      <c r="A117" s="116">
        <v>45213</v>
      </c>
      <c r="B117" s="21" t="s">
        <v>10342</v>
      </c>
      <c r="C117" s="1104" t="s">
        <v>11533</v>
      </c>
      <c r="D117" s="20">
        <v>48000</v>
      </c>
      <c r="E117" s="34"/>
      <c r="F117" s="20">
        <f t="shared" si="1"/>
        <v>8893585</v>
      </c>
    </row>
    <row r="118" spans="1:7" s="7" customFormat="1" ht="15.75" x14ac:dyDescent="0.25">
      <c r="A118" s="116">
        <v>45213</v>
      </c>
      <c r="B118" s="21" t="s">
        <v>10688</v>
      </c>
      <c r="C118" s="1104" t="s">
        <v>11534</v>
      </c>
      <c r="D118" s="20">
        <v>374168</v>
      </c>
      <c r="E118" s="34"/>
      <c r="F118" s="20">
        <f t="shared" si="1"/>
        <v>9267753</v>
      </c>
    </row>
    <row r="119" spans="1:7" s="7" customFormat="1" ht="15.75" x14ac:dyDescent="0.25">
      <c r="A119" s="116">
        <v>45217</v>
      </c>
      <c r="B119" s="21" t="s">
        <v>10342</v>
      </c>
      <c r="C119" s="1104" t="s">
        <v>11535</v>
      </c>
      <c r="D119" s="20">
        <v>374168</v>
      </c>
      <c r="E119" s="34"/>
      <c r="F119" s="20">
        <f t="shared" si="1"/>
        <v>9641921</v>
      </c>
    </row>
    <row r="120" spans="1:7" s="7" customFormat="1" ht="15.75" x14ac:dyDescent="0.25">
      <c r="A120" s="116">
        <v>45217</v>
      </c>
      <c r="B120" s="21" t="s">
        <v>10688</v>
      </c>
      <c r="C120" s="1104" t="s">
        <v>11536</v>
      </c>
      <c r="D120" s="20">
        <v>374168</v>
      </c>
      <c r="E120" s="34"/>
      <c r="F120" s="20">
        <f t="shared" si="1"/>
        <v>10016089</v>
      </c>
    </row>
    <row r="121" spans="1:7" s="7" customFormat="1" ht="15.75" x14ac:dyDescent="0.25">
      <c r="A121" s="116">
        <v>45229</v>
      </c>
      <c r="B121" s="21" t="s">
        <v>10342</v>
      </c>
      <c r="C121" s="1104" t="s">
        <v>11695</v>
      </c>
      <c r="D121" s="20">
        <v>437436</v>
      </c>
      <c r="E121" s="34"/>
      <c r="F121" s="20">
        <f t="shared" si="1"/>
        <v>10453525</v>
      </c>
    </row>
    <row r="122" spans="1:7" s="7" customFormat="1" ht="15.75" x14ac:dyDescent="0.25">
      <c r="A122" s="116">
        <v>45230</v>
      </c>
      <c r="B122" s="21" t="s">
        <v>11193</v>
      </c>
      <c r="C122" s="1104" t="s">
        <v>11696</v>
      </c>
      <c r="D122" s="20">
        <v>43900</v>
      </c>
      <c r="E122" s="34"/>
      <c r="F122" s="20">
        <f t="shared" si="1"/>
        <v>10497425</v>
      </c>
    </row>
    <row r="123" spans="1:7" s="7" customFormat="1" ht="15.75" x14ac:dyDescent="0.25">
      <c r="A123" s="116">
        <v>45231</v>
      </c>
      <c r="B123" s="13" t="s">
        <v>11662</v>
      </c>
      <c r="C123" s="1104"/>
      <c r="D123" s="20"/>
      <c r="E123" s="34">
        <v>350000</v>
      </c>
      <c r="F123" s="20">
        <f t="shared" si="1"/>
        <v>10147425</v>
      </c>
    </row>
    <row r="124" spans="1:7" s="7" customFormat="1" ht="15.75" x14ac:dyDescent="0.25">
      <c r="A124" s="116">
        <v>45231</v>
      </c>
      <c r="B124" s="13" t="s">
        <v>11663</v>
      </c>
      <c r="C124" s="1104"/>
      <c r="D124" s="20"/>
      <c r="E124" s="34">
        <v>350000</v>
      </c>
      <c r="F124" s="20">
        <f t="shared" si="1"/>
        <v>9797425</v>
      </c>
    </row>
    <row r="125" spans="1:7" s="7" customFormat="1" ht="15.75" x14ac:dyDescent="0.25">
      <c r="A125" s="116">
        <v>45231</v>
      </c>
      <c r="B125" s="21" t="s">
        <v>10688</v>
      </c>
      <c r="C125" s="1104" t="s">
        <v>11698</v>
      </c>
      <c r="D125" s="20">
        <v>168867</v>
      </c>
      <c r="E125" s="34"/>
      <c r="F125" s="20">
        <f t="shared" si="1"/>
        <v>9966292</v>
      </c>
    </row>
    <row r="126" spans="1:7" s="7" customFormat="1" ht="15.75" x14ac:dyDescent="0.25">
      <c r="A126" s="116">
        <v>45233</v>
      </c>
      <c r="B126" s="13" t="s">
        <v>11669</v>
      </c>
      <c r="C126" s="1104"/>
      <c r="D126" s="20"/>
      <c r="E126" s="34">
        <v>350000</v>
      </c>
      <c r="F126" s="20">
        <f t="shared" si="1"/>
        <v>9616292</v>
      </c>
    </row>
    <row r="127" spans="1:7" s="7" customFormat="1" ht="15.75" x14ac:dyDescent="0.25">
      <c r="A127" s="116">
        <v>45233</v>
      </c>
      <c r="B127" s="21" t="s">
        <v>11670</v>
      </c>
      <c r="C127" s="1104"/>
      <c r="D127" s="20"/>
      <c r="E127" s="34">
        <v>350000</v>
      </c>
      <c r="F127" s="20">
        <f t="shared" si="1"/>
        <v>9266292</v>
      </c>
      <c r="G127" s="1097"/>
    </row>
    <row r="128" spans="1:7" s="7" customFormat="1" ht="15.75" x14ac:dyDescent="0.25">
      <c r="A128" s="116">
        <v>45233</v>
      </c>
      <c r="B128" s="21" t="s">
        <v>10688</v>
      </c>
      <c r="C128" s="1104" t="s">
        <v>11699</v>
      </c>
      <c r="D128" s="20">
        <v>224668</v>
      </c>
      <c r="E128" s="34"/>
      <c r="F128" s="20">
        <f t="shared" si="1"/>
        <v>9490960</v>
      </c>
    </row>
    <row r="129" spans="1:6" s="7" customFormat="1" ht="15.75" x14ac:dyDescent="0.25">
      <c r="A129" s="116">
        <v>45233</v>
      </c>
      <c r="B129" s="21" t="s">
        <v>10342</v>
      </c>
      <c r="C129" s="1104" t="s">
        <v>11697</v>
      </c>
      <c r="D129" s="20">
        <v>32000</v>
      </c>
      <c r="E129" s="34"/>
      <c r="F129" s="20">
        <f t="shared" si="1"/>
        <v>9522960</v>
      </c>
    </row>
    <row r="130" spans="1:6" ht="15.75" x14ac:dyDescent="0.25">
      <c r="A130" s="116">
        <v>45236</v>
      </c>
      <c r="B130" s="2" t="s">
        <v>10342</v>
      </c>
      <c r="C130" s="1104" t="s">
        <v>11773</v>
      </c>
      <c r="D130" s="20">
        <v>32000</v>
      </c>
      <c r="E130" s="2"/>
      <c r="F130" s="20">
        <f t="shared" si="1"/>
        <v>9554960</v>
      </c>
    </row>
    <row r="131" spans="1:6" ht="15.75" x14ac:dyDescent="0.25">
      <c r="A131" s="116">
        <v>45237</v>
      </c>
      <c r="B131" s="2" t="s">
        <v>11023</v>
      </c>
      <c r="C131" s="1104" t="s">
        <v>11774</v>
      </c>
      <c r="D131" s="20">
        <v>32600</v>
      </c>
      <c r="E131" s="2"/>
      <c r="F131" s="20">
        <f t="shared" si="1"/>
        <v>9587560</v>
      </c>
    </row>
    <row r="132" spans="1:6" ht="15.75" x14ac:dyDescent="0.25">
      <c r="A132" s="116">
        <v>45237</v>
      </c>
      <c r="B132" s="2" t="s">
        <v>11772</v>
      </c>
      <c r="C132" s="2"/>
      <c r="D132" s="2"/>
      <c r="E132" s="34">
        <v>350000</v>
      </c>
      <c r="F132" s="20">
        <f t="shared" si="1"/>
        <v>9237560</v>
      </c>
    </row>
    <row r="133" spans="1:6" ht="15.75" x14ac:dyDescent="0.25">
      <c r="A133" s="116">
        <v>45237</v>
      </c>
      <c r="B133" s="2" t="s">
        <v>11771</v>
      </c>
      <c r="C133" s="2"/>
      <c r="D133" s="2"/>
      <c r="E133" s="34">
        <v>350000</v>
      </c>
      <c r="F133" s="20">
        <f t="shared" si="1"/>
        <v>8887560</v>
      </c>
    </row>
    <row r="134" spans="1:6" ht="15.75" x14ac:dyDescent="0.25">
      <c r="A134" s="116">
        <v>45241</v>
      </c>
      <c r="B134" s="2" t="s">
        <v>10406</v>
      </c>
      <c r="C134" s="1104" t="s">
        <v>11775</v>
      </c>
      <c r="D134" s="20">
        <v>43900</v>
      </c>
      <c r="E134" s="2"/>
      <c r="F134" s="20">
        <f t="shared" si="1"/>
        <v>8931460</v>
      </c>
    </row>
    <row r="135" spans="1:6" ht="15.75" x14ac:dyDescent="0.25">
      <c r="A135" s="116">
        <v>45244</v>
      </c>
      <c r="B135" s="21" t="s">
        <v>10688</v>
      </c>
      <c r="C135" s="1104"/>
      <c r="D135" s="20">
        <v>152867</v>
      </c>
      <c r="E135" s="2"/>
      <c r="F135" s="20">
        <f t="shared" si="1"/>
        <v>9084327</v>
      </c>
    </row>
    <row r="136" spans="1:6" ht="15.75" x14ac:dyDescent="0.25">
      <c r="A136" s="116">
        <v>45245</v>
      </c>
      <c r="B136" s="2" t="s">
        <v>11803</v>
      </c>
      <c r="C136" s="2"/>
      <c r="D136" s="15"/>
      <c r="E136" s="34">
        <v>350000</v>
      </c>
      <c r="F136" s="20">
        <f t="shared" si="1"/>
        <v>8734327</v>
      </c>
    </row>
    <row r="137" spans="1:6" ht="15.75" x14ac:dyDescent="0.25">
      <c r="A137" s="116">
        <v>45245</v>
      </c>
      <c r="B137" s="2" t="s">
        <v>11804</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11831</v>
      </c>
      <c r="C139" s="2"/>
      <c r="D139" s="15"/>
      <c r="E139" s="34">
        <v>500000</v>
      </c>
      <c r="F139" s="20">
        <f t="shared" si="1"/>
        <v>7918617</v>
      </c>
    </row>
    <row r="140" spans="1:6" ht="15.75" x14ac:dyDescent="0.25">
      <c r="A140" s="116">
        <v>45247</v>
      </c>
      <c r="B140" s="2" t="s">
        <v>11832</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11927</v>
      </c>
      <c r="C144" s="2"/>
      <c r="D144" s="15"/>
      <c r="E144" s="15">
        <v>850000</v>
      </c>
      <c r="F144" s="20">
        <f t="shared" si="1"/>
        <v>7062585</v>
      </c>
    </row>
    <row r="145" spans="1:6" ht="15.75" x14ac:dyDescent="0.25">
      <c r="A145" s="116">
        <v>45262</v>
      </c>
      <c r="B145" s="2" t="s">
        <v>11967</v>
      </c>
      <c r="C145" s="2"/>
      <c r="D145" s="2"/>
      <c r="E145" s="15">
        <v>1000000</v>
      </c>
      <c r="F145" s="20">
        <f t="shared" si="1"/>
        <v>6062585</v>
      </c>
    </row>
    <row r="146" spans="1:6" ht="15.75" x14ac:dyDescent="0.25">
      <c r="A146" s="116">
        <v>45264</v>
      </c>
      <c r="B146" s="2" t="s">
        <v>11293</v>
      </c>
      <c r="C146" s="2"/>
      <c r="D146" s="2"/>
      <c r="E146" s="15">
        <v>600000</v>
      </c>
      <c r="F146" s="20">
        <f t="shared" ref="F146:F148" si="2">F145+D146-E146</f>
        <v>5462585</v>
      </c>
    </row>
    <row r="147" spans="1:6" ht="15.75" x14ac:dyDescent="0.25">
      <c r="A147" s="116">
        <v>45265</v>
      </c>
      <c r="B147" s="2" t="s">
        <v>10342</v>
      </c>
      <c r="C147" s="2">
        <v>1777</v>
      </c>
      <c r="D147" s="2">
        <v>144334</v>
      </c>
      <c r="E147" s="15"/>
      <c r="F147" s="20">
        <f t="shared" si="2"/>
        <v>5606919</v>
      </c>
    </row>
    <row r="148" spans="1:6" s="946" customFormat="1" ht="30" x14ac:dyDescent="0.25">
      <c r="A148" s="116">
        <v>45275</v>
      </c>
      <c r="B148" s="726" t="s">
        <v>12063</v>
      </c>
      <c r="C148" s="122"/>
      <c r="D148" s="122"/>
      <c r="E148" s="375">
        <v>1000000</v>
      </c>
      <c r="F148" s="1106">
        <f t="shared" si="2"/>
        <v>4606919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I581"/>
  <sheetViews>
    <sheetView workbookViewId="0">
      <selection activeCell="D19" sqref="D19"/>
    </sheetView>
  </sheetViews>
  <sheetFormatPr defaultRowHeight="15" x14ac:dyDescent="0.25"/>
  <cols>
    <col min="1" max="1" width="44.5703125" bestFit="1" customWidth="1"/>
    <col min="2" max="3" width="17.5703125" style="939" hidden="1" customWidth="1"/>
    <col min="4" max="4" width="22.85546875" style="939" bestFit="1" customWidth="1"/>
    <col min="5" max="5" width="12.5703125" customWidth="1"/>
    <col min="6" max="6" width="26.7109375" customWidth="1"/>
    <col min="7" max="8" width="16" customWidth="1"/>
    <col min="9" max="9" width="15.5703125" customWidth="1"/>
  </cols>
  <sheetData>
    <row r="1" spans="1:5" ht="8.4499999999999993" customHeight="1" x14ac:dyDescent="0.25">
      <c r="B1"/>
    </row>
    <row r="2" spans="1:5" x14ac:dyDescent="0.25">
      <c r="B2"/>
    </row>
    <row r="3" spans="1:5" ht="19.5" thickBot="1" x14ac:dyDescent="0.35">
      <c r="A3" s="1388" t="s">
        <v>0</v>
      </c>
      <c r="B3" s="1389" t="s">
        <v>47</v>
      </c>
      <c r="C3" s="940" t="s">
        <v>158</v>
      </c>
      <c r="D3" s="940" t="s">
        <v>5</v>
      </c>
    </row>
    <row r="4" spans="1:5" ht="15.75" hidden="1" thickBot="1" x14ac:dyDescent="0.3">
      <c r="B4"/>
      <c r="C4"/>
      <c r="D4"/>
    </row>
    <row r="5" spans="1:5" ht="21.75" thickBot="1" x14ac:dyDescent="0.4">
      <c r="A5" s="1390" t="s">
        <v>10303</v>
      </c>
      <c r="B5" s="1391" t="s">
        <v>1707</v>
      </c>
      <c r="C5" s="1392" t="s">
        <v>1815</v>
      </c>
      <c r="D5" s="1393" t="s">
        <v>46</v>
      </c>
      <c r="E5" s="1033" t="s">
        <v>10974</v>
      </c>
    </row>
    <row r="6" spans="1:5" ht="23.25" x14ac:dyDescent="0.35">
      <c r="A6" s="1394" t="s">
        <v>7538</v>
      </c>
      <c r="B6" s="1395">
        <v>22082781</v>
      </c>
      <c r="C6" s="1395">
        <v>17475862</v>
      </c>
      <c r="D6" s="1396">
        <v>4606919</v>
      </c>
    </row>
    <row r="7" spans="1:5" ht="23.25" x14ac:dyDescent="0.35">
      <c r="A7" s="1394" t="s">
        <v>168</v>
      </c>
      <c r="B7" s="1398">
        <v>33316685</v>
      </c>
      <c r="C7" s="1398">
        <v>30420462</v>
      </c>
      <c r="D7" s="1396">
        <v>2896223</v>
      </c>
    </row>
    <row r="8" spans="1:5" ht="23.25" x14ac:dyDescent="0.35">
      <c r="A8" s="1394" t="s">
        <v>8170</v>
      </c>
      <c r="B8" s="1395">
        <v>9250000</v>
      </c>
      <c r="C8" s="1395">
        <v>7750000</v>
      </c>
      <c r="D8" s="1397">
        <v>1500000</v>
      </c>
    </row>
    <row r="9" spans="1:5" ht="23.25" x14ac:dyDescent="0.35">
      <c r="A9" s="1394" t="s">
        <v>8033</v>
      </c>
      <c r="B9" s="1395">
        <v>4770000</v>
      </c>
      <c r="C9" s="1395">
        <v>3395000</v>
      </c>
      <c r="D9" s="1397">
        <v>1375000</v>
      </c>
    </row>
    <row r="10" spans="1:5" ht="23.25" x14ac:dyDescent="0.35">
      <c r="A10" s="1394" t="s">
        <v>8483</v>
      </c>
      <c r="B10" s="1395">
        <v>24892303</v>
      </c>
      <c r="C10" s="1395">
        <v>23625797</v>
      </c>
      <c r="D10" s="1396">
        <v>1266506</v>
      </c>
    </row>
    <row r="11" spans="1:5" ht="23.25" x14ac:dyDescent="0.35">
      <c r="A11" s="1394" t="s">
        <v>5731</v>
      </c>
      <c r="B11" s="1398">
        <v>5331532</v>
      </c>
      <c r="C11" s="1398">
        <v>4411680</v>
      </c>
      <c r="D11" s="1397">
        <v>919852</v>
      </c>
    </row>
    <row r="12" spans="1:5" ht="23.25" x14ac:dyDescent="0.35">
      <c r="A12" s="1394" t="s">
        <v>7309</v>
      </c>
      <c r="B12" s="1395">
        <v>14794457</v>
      </c>
      <c r="C12" s="1395">
        <v>14003087</v>
      </c>
      <c r="D12" s="1397">
        <v>791370</v>
      </c>
    </row>
    <row r="13" spans="1:5" ht="23.25" x14ac:dyDescent="0.35">
      <c r="A13" s="1394" t="s">
        <v>166</v>
      </c>
      <c r="B13" s="1398">
        <v>20018924</v>
      </c>
      <c r="C13" s="1398">
        <v>19279034</v>
      </c>
      <c r="D13" s="1396">
        <v>739890</v>
      </c>
    </row>
    <row r="14" spans="1:5" s="4" customFormat="1" ht="23.25" x14ac:dyDescent="0.35">
      <c r="A14" s="1394" t="s">
        <v>12084</v>
      </c>
      <c r="B14" s="1395">
        <v>1600298</v>
      </c>
      <c r="C14" s="1395">
        <v>938219</v>
      </c>
      <c r="D14" s="1397">
        <v>662079</v>
      </c>
    </row>
    <row r="15" spans="1:5" ht="23.25" x14ac:dyDescent="0.35">
      <c r="A15" s="1394" t="s">
        <v>169</v>
      </c>
      <c r="B15" s="1398">
        <v>7440327</v>
      </c>
      <c r="C15" s="1398">
        <v>6818204</v>
      </c>
      <c r="D15" s="1397">
        <v>622123</v>
      </c>
    </row>
    <row r="16" spans="1:5" s="4" customFormat="1" ht="23.25" x14ac:dyDescent="0.35">
      <c r="A16" s="1394" t="s">
        <v>1816</v>
      </c>
      <c r="B16" s="1398">
        <v>15297184</v>
      </c>
      <c r="C16" s="1398">
        <v>15018691</v>
      </c>
      <c r="D16" s="1396">
        <v>278493</v>
      </c>
    </row>
    <row r="17" spans="1:5" ht="23.25" x14ac:dyDescent="0.35">
      <c r="A17" s="1394" t="s">
        <v>11444</v>
      </c>
      <c r="B17" s="1395">
        <v>4226000</v>
      </c>
      <c r="C17" s="1395">
        <v>3960000</v>
      </c>
      <c r="D17" s="1396">
        <v>266000</v>
      </c>
    </row>
    <row r="18" spans="1:5" ht="23.25" x14ac:dyDescent="0.35">
      <c r="A18" s="1394" t="s">
        <v>1828</v>
      </c>
      <c r="B18" s="1398">
        <v>11639548</v>
      </c>
      <c r="C18" s="1398">
        <v>11438414</v>
      </c>
      <c r="D18" s="1397">
        <v>201134</v>
      </c>
      <c r="E18" s="4"/>
    </row>
    <row r="19" spans="1:5" ht="23.25" x14ac:dyDescent="0.35">
      <c r="A19" s="1394" t="s">
        <v>164</v>
      </c>
      <c r="B19" s="1398">
        <v>5539565</v>
      </c>
      <c r="C19" s="1398">
        <v>5370271</v>
      </c>
      <c r="D19" s="1397">
        <v>169294</v>
      </c>
    </row>
    <row r="20" spans="1:5" ht="23.25" x14ac:dyDescent="0.35">
      <c r="A20" s="1394" t="s">
        <v>2212</v>
      </c>
      <c r="B20" s="1398">
        <v>910728</v>
      </c>
      <c r="C20" s="1398">
        <v>769328</v>
      </c>
      <c r="D20" s="1397">
        <v>141400</v>
      </c>
    </row>
    <row r="21" spans="1:5" ht="23.25" x14ac:dyDescent="0.35">
      <c r="A21" s="1394" t="s">
        <v>11448</v>
      </c>
      <c r="B21" s="1395">
        <v>140000</v>
      </c>
      <c r="C21" s="1395"/>
      <c r="D21" s="1397">
        <v>140000</v>
      </c>
    </row>
    <row r="22" spans="1:5" s="4" customFormat="1" ht="23.25" x14ac:dyDescent="0.35">
      <c r="A22" s="1394" t="s">
        <v>6826</v>
      </c>
      <c r="B22" s="1398">
        <v>137550</v>
      </c>
      <c r="C22" s="1398">
        <v>61200</v>
      </c>
      <c r="D22" s="1397">
        <v>76350</v>
      </c>
    </row>
    <row r="23" spans="1:5" ht="23.25" x14ac:dyDescent="0.35">
      <c r="A23" s="1394" t="s">
        <v>3039</v>
      </c>
      <c r="B23" s="1398">
        <v>3121578</v>
      </c>
      <c r="C23" s="1398">
        <v>3065056</v>
      </c>
      <c r="D23" s="1397">
        <v>56522</v>
      </c>
    </row>
    <row r="24" spans="1:5" s="4" customFormat="1" ht="23.25" x14ac:dyDescent="0.35">
      <c r="A24" s="1394" t="s">
        <v>8166</v>
      </c>
      <c r="B24" s="1395">
        <v>40800</v>
      </c>
      <c r="C24" s="1395"/>
      <c r="D24" s="1397">
        <v>40800</v>
      </c>
    </row>
    <row r="25" spans="1:5" ht="23.25" x14ac:dyDescent="0.35">
      <c r="A25" s="1394" t="s">
        <v>161</v>
      </c>
      <c r="B25" s="1398">
        <v>5122182</v>
      </c>
      <c r="C25" s="1398">
        <v>5088969</v>
      </c>
      <c r="D25" s="1397">
        <v>33213</v>
      </c>
    </row>
    <row r="26" spans="1:5" s="4" customFormat="1" ht="23.25" x14ac:dyDescent="0.35">
      <c r="A26" s="1394" t="s">
        <v>8545</v>
      </c>
      <c r="B26" s="1395">
        <v>1063000</v>
      </c>
      <c r="C26" s="1395">
        <v>1039000</v>
      </c>
      <c r="D26" s="1396">
        <v>24000</v>
      </c>
    </row>
    <row r="27" spans="1:5" ht="23.25" x14ac:dyDescent="0.35">
      <c r="A27" s="1394" t="s">
        <v>440</v>
      </c>
      <c r="B27" s="1398">
        <v>2807432</v>
      </c>
      <c r="C27" s="1398">
        <v>2798262</v>
      </c>
      <c r="D27" s="1397">
        <v>9170</v>
      </c>
    </row>
    <row r="28" spans="1:5" ht="23.25" x14ac:dyDescent="0.35">
      <c r="A28" s="1394" t="s">
        <v>7748</v>
      </c>
      <c r="B28" s="1395">
        <v>72000</v>
      </c>
      <c r="C28" s="1395">
        <v>68000</v>
      </c>
      <c r="D28" s="1397">
        <v>4000</v>
      </c>
    </row>
    <row r="29" spans="1:5" s="4" customFormat="1" ht="23.25" x14ac:dyDescent="0.35">
      <c r="A29" s="1394" t="s">
        <v>8301</v>
      </c>
      <c r="B29" s="1395">
        <v>75857</v>
      </c>
      <c r="C29" s="1395">
        <v>75857</v>
      </c>
      <c r="D29" s="1397">
        <v>0</v>
      </c>
    </row>
    <row r="30" spans="1:5" ht="23.25" x14ac:dyDescent="0.35">
      <c r="A30" s="1394" t="s">
        <v>7854</v>
      </c>
      <c r="B30" s="1395">
        <v>55000</v>
      </c>
      <c r="C30" s="1395">
        <v>55000</v>
      </c>
      <c r="D30" s="1397">
        <v>0</v>
      </c>
    </row>
    <row r="31" spans="1:5" s="4" customFormat="1" ht="23.25" x14ac:dyDescent="0.35">
      <c r="A31" s="1394" t="s">
        <v>8479</v>
      </c>
      <c r="B31" s="1395">
        <v>929240</v>
      </c>
      <c r="C31" s="1395">
        <v>929240</v>
      </c>
      <c r="D31" s="1396">
        <v>0</v>
      </c>
    </row>
    <row r="32" spans="1:5" ht="23.25" x14ac:dyDescent="0.35">
      <c r="A32" s="1394" t="s">
        <v>6868</v>
      </c>
      <c r="B32" s="1395">
        <v>401680</v>
      </c>
      <c r="C32" s="1395">
        <v>401680</v>
      </c>
      <c r="D32" s="1397">
        <v>0</v>
      </c>
    </row>
    <row r="33" spans="1:4" s="4" customFormat="1" ht="23.25" x14ac:dyDescent="0.35">
      <c r="A33" s="1394" t="s">
        <v>2281</v>
      </c>
      <c r="B33" s="1398">
        <v>7994136</v>
      </c>
      <c r="C33" s="1398">
        <v>7994136</v>
      </c>
      <c r="D33" s="1397">
        <v>0</v>
      </c>
    </row>
    <row r="34" spans="1:4" ht="23.25" x14ac:dyDescent="0.35">
      <c r="A34" s="1394" t="s">
        <v>7246</v>
      </c>
      <c r="B34" s="1395">
        <v>107110</v>
      </c>
      <c r="C34" s="1395">
        <v>107110</v>
      </c>
      <c r="D34" s="1397">
        <v>0</v>
      </c>
    </row>
    <row r="35" spans="1:4" ht="23.25" x14ac:dyDescent="0.35">
      <c r="A35" s="1394" t="s">
        <v>7985</v>
      </c>
      <c r="B35" s="1395">
        <v>213963</v>
      </c>
      <c r="C35" s="1395">
        <v>213963</v>
      </c>
      <c r="D35" s="1396">
        <v>0</v>
      </c>
    </row>
    <row r="36" spans="1:4" s="4" customFormat="1" ht="23.25" x14ac:dyDescent="0.35">
      <c r="A36" s="1394" t="s">
        <v>7248</v>
      </c>
      <c r="B36" s="1395">
        <v>45000</v>
      </c>
      <c r="C36" s="1395">
        <v>45000</v>
      </c>
      <c r="D36" s="1396">
        <v>0</v>
      </c>
    </row>
    <row r="37" spans="1:4" ht="23.25" x14ac:dyDescent="0.35">
      <c r="A37" s="1394" t="s">
        <v>5113</v>
      </c>
      <c r="B37" s="1398">
        <v>1683890</v>
      </c>
      <c r="C37" s="1398">
        <v>1683890</v>
      </c>
      <c r="D37" s="1397">
        <v>0</v>
      </c>
    </row>
    <row r="38" spans="1:4" ht="23.25" x14ac:dyDescent="0.35">
      <c r="A38" s="1394" t="s">
        <v>2609</v>
      </c>
      <c r="B38" s="1395">
        <v>269000</v>
      </c>
      <c r="C38" s="1395">
        <v>269000</v>
      </c>
      <c r="D38" s="1396">
        <v>0</v>
      </c>
    </row>
    <row r="39" spans="1:4" ht="23.25" x14ac:dyDescent="0.35">
      <c r="A39" s="1394" t="s">
        <v>4853</v>
      </c>
      <c r="B39" s="1398">
        <v>1173409</v>
      </c>
      <c r="C39" s="1398">
        <v>1173409</v>
      </c>
      <c r="D39" s="1397">
        <v>0</v>
      </c>
    </row>
    <row r="40" spans="1:4" s="4" customFormat="1" ht="23.25" x14ac:dyDescent="0.35">
      <c r="A40" s="1394" t="s">
        <v>3255</v>
      </c>
      <c r="B40" s="1398">
        <v>8500000</v>
      </c>
      <c r="C40" s="1398">
        <v>8500000</v>
      </c>
      <c r="D40" s="1397">
        <v>0</v>
      </c>
    </row>
    <row r="41" spans="1:4" ht="23.25" x14ac:dyDescent="0.35">
      <c r="A41" s="1394" t="s">
        <v>2327</v>
      </c>
      <c r="B41" s="1398">
        <v>1318169</v>
      </c>
      <c r="C41" s="1398">
        <v>1318169</v>
      </c>
      <c r="D41" s="1397">
        <v>0</v>
      </c>
    </row>
    <row r="42" spans="1:4" ht="23.25" x14ac:dyDescent="0.35">
      <c r="A42" s="1394" t="s">
        <v>9186</v>
      </c>
      <c r="B42" s="1395">
        <v>885000</v>
      </c>
      <c r="C42" s="1395">
        <v>885000</v>
      </c>
      <c r="D42" s="1396">
        <v>0</v>
      </c>
    </row>
    <row r="43" spans="1:4" ht="23.25" x14ac:dyDescent="0.35">
      <c r="A43" s="1394" t="s">
        <v>8329</v>
      </c>
      <c r="B43" s="1395">
        <v>884054</v>
      </c>
      <c r="C43" s="1395">
        <v>884054</v>
      </c>
      <c r="D43" s="1397">
        <v>0</v>
      </c>
    </row>
    <row r="44" spans="1:4" s="4" customFormat="1" ht="23.25" x14ac:dyDescent="0.35">
      <c r="A44" s="1394" t="s">
        <v>3696</v>
      </c>
      <c r="B44" s="1398">
        <v>1711621</v>
      </c>
      <c r="C44" s="1398">
        <v>1711621</v>
      </c>
      <c r="D44" s="1397">
        <v>0</v>
      </c>
    </row>
    <row r="45" spans="1:4" ht="23.25" x14ac:dyDescent="0.35">
      <c r="A45" s="1394" t="s">
        <v>8477</v>
      </c>
      <c r="B45" s="1395">
        <v>975000</v>
      </c>
      <c r="C45" s="1395">
        <v>975000</v>
      </c>
      <c r="D45" s="1397">
        <v>0</v>
      </c>
    </row>
    <row r="46" spans="1:4" ht="23.25" x14ac:dyDescent="0.35">
      <c r="A46" s="1394" t="s">
        <v>3738</v>
      </c>
      <c r="B46" s="1398">
        <v>4508400</v>
      </c>
      <c r="C46" s="1398">
        <v>4508400</v>
      </c>
      <c r="D46" s="1397">
        <v>0</v>
      </c>
    </row>
    <row r="47" spans="1:4" s="4" customFormat="1" ht="23.25" x14ac:dyDescent="0.35">
      <c r="A47" s="1394" t="s">
        <v>4445</v>
      </c>
      <c r="B47" s="1398">
        <v>2404759</v>
      </c>
      <c r="C47" s="1398">
        <v>2404759</v>
      </c>
      <c r="D47" s="1397">
        <v>0</v>
      </c>
    </row>
    <row r="48" spans="1:4" ht="23.25" x14ac:dyDescent="0.35">
      <c r="A48" s="1394" t="s">
        <v>6556</v>
      </c>
      <c r="B48" s="1395">
        <v>18000</v>
      </c>
      <c r="C48" s="1395">
        <v>18000</v>
      </c>
      <c r="D48" s="1397">
        <v>0</v>
      </c>
    </row>
    <row r="49" spans="1:4" s="4" customFormat="1" ht="23.25" x14ac:dyDescent="0.35">
      <c r="A49" s="1394" t="s">
        <v>8803</v>
      </c>
      <c r="B49" s="1395">
        <v>300000</v>
      </c>
      <c r="C49" s="1395">
        <v>300000</v>
      </c>
      <c r="D49" s="1396">
        <v>0</v>
      </c>
    </row>
    <row r="50" spans="1:4" ht="23.25" x14ac:dyDescent="0.35">
      <c r="A50" s="1394" t="s">
        <v>162</v>
      </c>
      <c r="B50" s="1398">
        <v>1123152</v>
      </c>
      <c r="C50" s="1398">
        <v>1123152</v>
      </c>
      <c r="D50" s="1397">
        <v>0</v>
      </c>
    </row>
    <row r="51" spans="1:4" ht="23.25" x14ac:dyDescent="0.35">
      <c r="A51" s="1394" t="s">
        <v>6867</v>
      </c>
      <c r="B51" s="1395">
        <v>836000</v>
      </c>
      <c r="C51" s="1395">
        <v>836000</v>
      </c>
      <c r="D51" s="1397">
        <v>0</v>
      </c>
    </row>
    <row r="52" spans="1:4" ht="23.25" x14ac:dyDescent="0.35">
      <c r="A52" s="1394" t="s">
        <v>9006</v>
      </c>
      <c r="B52" s="1395">
        <v>300000</v>
      </c>
      <c r="C52" s="1395">
        <v>300000</v>
      </c>
      <c r="D52" s="1397">
        <v>0</v>
      </c>
    </row>
    <row r="53" spans="1:4" ht="23.25" x14ac:dyDescent="0.35">
      <c r="A53" s="1394" t="s">
        <v>75</v>
      </c>
      <c r="B53" s="1398"/>
      <c r="C53" s="1398"/>
      <c r="D53" s="1397">
        <v>0</v>
      </c>
    </row>
    <row r="54" spans="1:4" ht="23.25" x14ac:dyDescent="0.35">
      <c r="A54" s="1394" t="s">
        <v>7828</v>
      </c>
      <c r="B54" s="1395">
        <v>135950</v>
      </c>
      <c r="C54" s="1395">
        <v>135950</v>
      </c>
      <c r="D54" s="1396">
        <v>0</v>
      </c>
    </row>
    <row r="55" spans="1:4" ht="23.25" x14ac:dyDescent="0.35">
      <c r="A55" s="1394" t="s">
        <v>11450</v>
      </c>
      <c r="B55" s="1395">
        <v>1061510</v>
      </c>
      <c r="C55" s="1395">
        <v>1061510</v>
      </c>
      <c r="D55" s="1396">
        <v>0</v>
      </c>
    </row>
    <row r="56" spans="1:4" s="4" customFormat="1" ht="23.25" x14ac:dyDescent="0.35">
      <c r="A56" s="1394" t="s">
        <v>7943</v>
      </c>
      <c r="B56" s="1395">
        <v>110000</v>
      </c>
      <c r="C56" s="1395">
        <v>110000</v>
      </c>
      <c r="D56" s="1396">
        <v>0</v>
      </c>
    </row>
    <row r="57" spans="1:4" ht="23.25" x14ac:dyDescent="0.35">
      <c r="A57" s="1394" t="s">
        <v>1535</v>
      </c>
      <c r="B57" s="1395">
        <v>253832</v>
      </c>
      <c r="C57" s="1395">
        <v>253832</v>
      </c>
      <c r="D57" s="1397">
        <v>0</v>
      </c>
    </row>
    <row r="58" spans="1:4" ht="23.25" x14ac:dyDescent="0.35">
      <c r="A58" s="1394" t="s">
        <v>7634</v>
      </c>
      <c r="B58" s="1398">
        <v>44807</v>
      </c>
      <c r="C58" s="1398">
        <v>44807</v>
      </c>
      <c r="D58" s="1397">
        <v>0</v>
      </c>
    </row>
    <row r="59" spans="1:4" ht="23.25" x14ac:dyDescent="0.35">
      <c r="A59" s="1394" t="s">
        <v>7560</v>
      </c>
      <c r="B59" s="1395">
        <v>121505</v>
      </c>
      <c r="C59" s="1395">
        <v>121505</v>
      </c>
      <c r="D59" s="1397">
        <v>0</v>
      </c>
    </row>
    <row r="60" spans="1:4" ht="23.25" x14ac:dyDescent="0.35">
      <c r="A60" s="1394" t="s">
        <v>7587</v>
      </c>
      <c r="B60" s="1395">
        <v>556000</v>
      </c>
      <c r="C60" s="1395">
        <v>556000</v>
      </c>
      <c r="D60" s="1396">
        <v>0</v>
      </c>
    </row>
    <row r="61" spans="1:4" s="4" customFormat="1" ht="23.25" x14ac:dyDescent="0.35">
      <c r="A61" s="1394" t="s">
        <v>12086</v>
      </c>
      <c r="B61" s="1395">
        <v>2952685</v>
      </c>
      <c r="C61" s="1395">
        <v>3000000</v>
      </c>
      <c r="D61" s="1397">
        <v>-47315</v>
      </c>
    </row>
    <row r="62" spans="1:4" ht="23.25" x14ac:dyDescent="0.35">
      <c r="A62" s="1394" t="s">
        <v>5234</v>
      </c>
      <c r="B62" s="1395">
        <v>2977420</v>
      </c>
      <c r="C62" s="1395">
        <v>3305962</v>
      </c>
      <c r="D62" s="1397">
        <v>-328542</v>
      </c>
    </row>
    <row r="63" spans="1:4" ht="23.25" x14ac:dyDescent="0.35">
      <c r="A63" s="1394" t="s">
        <v>180</v>
      </c>
      <c r="B63" s="1398">
        <v>21900056</v>
      </c>
      <c r="C63" s="1398">
        <v>23205516</v>
      </c>
      <c r="D63" s="1397">
        <v>-1305460</v>
      </c>
    </row>
    <row r="64" spans="1:4" s="4" customFormat="1" ht="24" thickBot="1" x14ac:dyDescent="0.4">
      <c r="A64" s="1394" t="s">
        <v>12083</v>
      </c>
      <c r="B64" s="1395">
        <v>6563280</v>
      </c>
      <c r="C64" s="1395">
        <v>11000000</v>
      </c>
      <c r="D64" s="1397">
        <v>-4436720</v>
      </c>
    </row>
    <row r="65" spans="1:9" ht="19.5" thickBot="1" x14ac:dyDescent="0.35">
      <c r="A65" s="1399" t="s">
        <v>45</v>
      </c>
      <c r="B65" s="1400">
        <v>267004359</v>
      </c>
      <c r="C65" s="1401">
        <v>256302058</v>
      </c>
      <c r="D65" s="1402">
        <v>10702301</v>
      </c>
    </row>
    <row r="66" spans="1:9" x14ac:dyDescent="0.25">
      <c r="B66"/>
      <c r="C66"/>
      <c r="D66"/>
    </row>
    <row r="67" spans="1:9" x14ac:dyDescent="0.25">
      <c r="B67"/>
      <c r="C67"/>
      <c r="D67"/>
    </row>
    <row r="68" spans="1:9" x14ac:dyDescent="0.25">
      <c r="B68"/>
      <c r="C68"/>
      <c r="D68"/>
    </row>
    <row r="69" spans="1:9" x14ac:dyDescent="0.25">
      <c r="B69"/>
      <c r="C69"/>
      <c r="D69"/>
    </row>
    <row r="70" spans="1:9" s="4" customFormat="1" ht="18.75" x14ac:dyDescent="0.3">
      <c r="A70"/>
      <c r="B70"/>
      <c r="C70"/>
      <c r="D70"/>
      <c r="F70" s="4" t="s">
        <v>769</v>
      </c>
      <c r="G70" s="251"/>
      <c r="H70" s="251"/>
      <c r="I70" s="251">
        <f ca="1">SUMIF($A:$D,$F$70,D:D)</f>
        <v>2896223</v>
      </c>
    </row>
    <row r="71" spans="1:9" ht="18.75" x14ac:dyDescent="0.3">
      <c r="B71"/>
      <c r="C71"/>
      <c r="D71"/>
      <c r="F71" s="4" t="s">
        <v>12087</v>
      </c>
      <c r="G71" s="251">
        <f ca="1">SUMIF($A:$B,F71,B:B)</f>
        <v>1600298</v>
      </c>
      <c r="H71" s="251">
        <f ca="1">SUMIF($A:$C,F71,C:C)</f>
        <v>938219</v>
      </c>
      <c r="I71" s="251">
        <f ca="1">SUMIF(A:D,F71,D:D)</f>
        <v>662079</v>
      </c>
    </row>
    <row r="72" spans="1:9" ht="18.75" x14ac:dyDescent="0.3">
      <c r="B72"/>
      <c r="C72"/>
      <c r="D72"/>
      <c r="F72" s="4" t="s">
        <v>12088</v>
      </c>
      <c r="G72" s="251">
        <f ca="1">SUMIF($A:$B,F72,B:B)</f>
        <v>6563280</v>
      </c>
      <c r="H72" s="251">
        <f ca="1">SUMIF($A:$C,F72,C:C)</f>
        <v>11000000</v>
      </c>
      <c r="I72" s="251">
        <f ca="1">SUMIF(A:D,F72,D:D)</f>
        <v>-4436720</v>
      </c>
    </row>
    <row r="73" spans="1:9" ht="18.75" x14ac:dyDescent="0.3">
      <c r="B73"/>
      <c r="C73"/>
      <c r="D73"/>
      <c r="F73" s="4" t="s">
        <v>12089</v>
      </c>
      <c r="G73" s="251">
        <f ca="1">SUMIF($A:$B,F73,B:B)</f>
        <v>2952685</v>
      </c>
      <c r="H73" s="251">
        <f ca="1">SUMIF($A:$C,F73,C:C)</f>
        <v>3000000</v>
      </c>
      <c r="I73" s="251">
        <f ca="1">SUMIF(A:D,F73,D:D)</f>
        <v>-47315</v>
      </c>
    </row>
    <row r="74" spans="1:9" s="5" customFormat="1" ht="18.75" x14ac:dyDescent="0.3">
      <c r="A74"/>
      <c r="B74"/>
      <c r="C74"/>
      <c r="D74"/>
      <c r="I74" s="1405">
        <f ca="1">SUM(I70:I73)</f>
        <v>-925733</v>
      </c>
    </row>
    <row r="75" spans="1:9" x14ac:dyDescent="0.25">
      <c r="B75"/>
      <c r="C75"/>
      <c r="D75"/>
    </row>
    <row r="76" spans="1:9" x14ac:dyDescent="0.25">
      <c r="B76"/>
      <c r="C76"/>
      <c r="D76"/>
    </row>
    <row r="77" spans="1:9" x14ac:dyDescent="0.25">
      <c r="B77"/>
      <c r="C77"/>
      <c r="D77"/>
    </row>
    <row r="78" spans="1:9" x14ac:dyDescent="0.25">
      <c r="B78"/>
      <c r="C78"/>
      <c r="D78"/>
    </row>
    <row r="79" spans="1:9" x14ac:dyDescent="0.25">
      <c r="B79"/>
      <c r="C79"/>
      <c r="D79"/>
    </row>
    <row r="80" spans="1:9" x14ac:dyDescent="0.25">
      <c r="B80"/>
      <c r="C80"/>
      <c r="D80"/>
    </row>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9" sqref="A9"/>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25"/>
      <c r="I4" s="1125"/>
      <c r="J4" s="1125"/>
    </row>
    <row r="5" spans="1:10" ht="24" thickBot="1" x14ac:dyDescent="0.35">
      <c r="A5" s="294" t="s">
        <v>4172</v>
      </c>
      <c r="B5" s="295" t="s">
        <v>4169</v>
      </c>
      <c r="C5" s="295" t="s">
        <v>4170</v>
      </c>
      <c r="D5" s="295" t="s">
        <v>4171</v>
      </c>
      <c r="E5" s="1033" t="s">
        <v>10974</v>
      </c>
      <c r="H5" s="1125"/>
      <c r="I5" s="1125"/>
      <c r="J5" s="1125"/>
    </row>
    <row r="6" spans="1:10" x14ac:dyDescent="0.3">
      <c r="A6" s="338" t="s">
        <v>11682</v>
      </c>
      <c r="B6" s="297">
        <v>209300</v>
      </c>
      <c r="C6" s="297"/>
      <c r="D6" s="297">
        <v>-209300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11899</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2327000</v>
      </c>
      <c r="C19" s="297"/>
      <c r="D19" s="297">
        <v>-2327000</v>
      </c>
    </row>
    <row r="20" spans="1:4" x14ac:dyDescent="0.3">
      <c r="A20" s="338" t="s">
        <v>6478</v>
      </c>
      <c r="B20" s="297">
        <v>1532400</v>
      </c>
      <c r="C20" s="297"/>
      <c r="D20" s="297">
        <v>-1532400</v>
      </c>
    </row>
    <row r="21" spans="1:4" x14ac:dyDescent="0.3">
      <c r="A21" s="338" t="s">
        <v>9568</v>
      </c>
      <c r="B21" s="297">
        <v>2127200</v>
      </c>
      <c r="C21" s="297"/>
      <c r="D21" s="297">
        <v>-2127200</v>
      </c>
    </row>
    <row r="22" spans="1:4" x14ac:dyDescent="0.3">
      <c r="A22" s="338" t="s">
        <v>11658</v>
      </c>
      <c r="B22" s="297">
        <v>700000</v>
      </c>
      <c r="C22" s="297"/>
      <c r="D22" s="297">
        <v>-700000</v>
      </c>
    </row>
    <row r="23" spans="1:4" x14ac:dyDescent="0.3">
      <c r="A23" s="338" t="s">
        <v>10689</v>
      </c>
      <c r="B23" s="297">
        <v>770000</v>
      </c>
      <c r="C23" s="297"/>
      <c r="D23" s="297">
        <v>-770000</v>
      </c>
    </row>
    <row r="24" spans="1:4" x14ac:dyDescent="0.3">
      <c r="A24" s="338" t="s">
        <v>11508</v>
      </c>
      <c r="B24" s="297">
        <v>879000</v>
      </c>
      <c r="C24" s="297"/>
      <c r="D24" s="297">
        <v>-879000</v>
      </c>
    </row>
    <row r="25" spans="1:4" x14ac:dyDescent="0.3">
      <c r="A25" s="338" t="s">
        <v>8150</v>
      </c>
      <c r="B25" s="297">
        <v>1791000</v>
      </c>
      <c r="C25" s="297"/>
      <c r="D25" s="297">
        <v>-1791000</v>
      </c>
    </row>
    <row r="26" spans="1:4" x14ac:dyDescent="0.3">
      <c r="A26" s="338" t="s">
        <v>9006</v>
      </c>
      <c r="B26" s="297">
        <v>2556400</v>
      </c>
      <c r="C26" s="297"/>
      <c r="D26" s="297">
        <v>-2556400</v>
      </c>
    </row>
    <row r="27" spans="1:4" x14ac:dyDescent="0.3">
      <c r="A27" s="338" t="s">
        <v>11408</v>
      </c>
      <c r="B27" s="297">
        <v>105000</v>
      </c>
      <c r="C27" s="297"/>
      <c r="D27" s="297">
        <v>-105000</v>
      </c>
    </row>
    <row r="28" spans="1:4" x14ac:dyDescent="0.3">
      <c r="A28" s="338" t="s">
        <v>11144</v>
      </c>
      <c r="B28" s="297">
        <v>290000</v>
      </c>
      <c r="C28" s="297"/>
      <c r="D28" s="297">
        <v>-290000</v>
      </c>
    </row>
    <row r="29" spans="1:4" x14ac:dyDescent="0.3">
      <c r="A29" s="338" t="s">
        <v>3458</v>
      </c>
      <c r="B29" s="297">
        <v>4619800</v>
      </c>
      <c r="C29" s="297"/>
      <c r="D29" s="297">
        <v>-4619800</v>
      </c>
    </row>
    <row r="30" spans="1:4" x14ac:dyDescent="0.3">
      <c r="A30" s="296" t="s">
        <v>45</v>
      </c>
      <c r="B30" s="297">
        <v>31226340</v>
      </c>
      <c r="C30" s="297"/>
      <c r="D30" s="297">
        <v>-31226340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6" customWidth="1"/>
    <col min="56" max="56" width="11.42578125" style="261" customWidth="1"/>
  </cols>
  <sheetData>
    <row r="1" spans="1:56" s="1007" customFormat="1" ht="57" customHeight="1" x14ac:dyDescent="0.25">
      <c r="B1" s="1011" t="s">
        <v>10688</v>
      </c>
      <c r="C1" s="1011" t="s">
        <v>10490</v>
      </c>
      <c r="D1" s="1012" t="s">
        <v>10273</v>
      </c>
      <c r="E1" s="1011" t="s">
        <v>10449</v>
      </c>
      <c r="F1" s="1011" t="s">
        <v>10406</v>
      </c>
      <c r="G1" s="1011" t="s">
        <v>10342</v>
      </c>
      <c r="H1" s="1011" t="s">
        <v>10254</v>
      </c>
      <c r="I1" s="1011" t="s">
        <v>10232</v>
      </c>
      <c r="J1" s="1011" t="s">
        <v>10133</v>
      </c>
      <c r="K1" s="1011" t="s">
        <v>9940</v>
      </c>
      <c r="L1" s="1011" t="s">
        <v>9877</v>
      </c>
      <c r="M1" s="1011" t="s">
        <v>9769</v>
      </c>
      <c r="N1" s="1011" t="s">
        <v>9572</v>
      </c>
      <c r="O1" s="1011" t="s">
        <v>9615</v>
      </c>
      <c r="P1" s="1011" t="s">
        <v>9516</v>
      </c>
      <c r="Q1" s="1011" t="s">
        <v>9509</v>
      </c>
      <c r="R1" s="1011" t="s">
        <v>9463</v>
      </c>
      <c r="S1" s="1011" t="s">
        <v>8974</v>
      </c>
      <c r="T1" s="1011" t="s">
        <v>8982</v>
      </c>
      <c r="U1" s="1011" t="s">
        <v>8653</v>
      </c>
      <c r="V1" s="1011" t="s">
        <v>8752</v>
      </c>
      <c r="W1" s="1011" t="s">
        <v>8625</v>
      </c>
      <c r="X1" s="1011" t="s">
        <v>8156</v>
      </c>
      <c r="Y1" s="1011" t="s">
        <v>8426</v>
      </c>
      <c r="Z1" s="1011" t="s">
        <v>8000</v>
      </c>
      <c r="AA1" s="1011" t="s">
        <v>8122</v>
      </c>
      <c r="AB1" s="1013" t="s">
        <v>6565</v>
      </c>
      <c r="AC1" s="1013" t="s">
        <v>6568</v>
      </c>
      <c r="AD1" s="1013" t="s">
        <v>7191</v>
      </c>
      <c r="AE1" s="1013" t="s">
        <v>6463</v>
      </c>
      <c r="AF1" s="1013" t="s">
        <v>18</v>
      </c>
      <c r="AG1" s="1013" t="s">
        <v>7886</v>
      </c>
      <c r="AH1" s="1013" t="s">
        <v>8032</v>
      </c>
      <c r="AI1" s="1013" t="s">
        <v>4760</v>
      </c>
      <c r="AJ1" s="1013" t="s">
        <v>5862</v>
      </c>
      <c r="AK1" s="1008" t="s">
        <v>3979</v>
      </c>
      <c r="AL1" s="1008" t="s">
        <v>3978</v>
      </c>
      <c r="AM1" s="1008" t="s">
        <v>6157</v>
      </c>
      <c r="AN1" s="1008" t="s">
        <v>1407</v>
      </c>
      <c r="AO1" s="1008" t="s">
        <v>2957</v>
      </c>
      <c r="AP1" s="1008" t="s">
        <v>7733</v>
      </c>
      <c r="AQ1" s="1008" t="s">
        <v>6562</v>
      </c>
      <c r="AR1" s="1008" t="s">
        <v>7627</v>
      </c>
      <c r="AS1" s="1008" t="s">
        <v>7015</v>
      </c>
      <c r="AT1" s="1008" t="s">
        <v>6575</v>
      </c>
      <c r="AU1" s="1008" t="s">
        <v>82</v>
      </c>
      <c r="AV1" s="1008" t="s">
        <v>1502</v>
      </c>
      <c r="AW1" s="1008" t="s">
        <v>37</v>
      </c>
      <c r="AX1" s="1008" t="s">
        <v>22</v>
      </c>
      <c r="AY1" s="1008" t="s">
        <v>2680</v>
      </c>
      <c r="AZ1" s="1008" t="s">
        <v>7843</v>
      </c>
      <c r="BA1" s="1008" t="s">
        <v>40</v>
      </c>
      <c r="BB1" s="1008" t="s">
        <v>3765</v>
      </c>
      <c r="BC1" s="1008" t="s">
        <v>9827</v>
      </c>
      <c r="BD1" s="1009"/>
    </row>
    <row r="2" spans="1:56" ht="26.25" x14ac:dyDescent="0.4">
      <c r="A2" s="1010" t="s">
        <v>10406</v>
      </c>
      <c r="B2" s="1015">
        <f>SUMIFS(Supplier!E3661:E3689,Supplier!C3661:C3689,s!A2,Supplier!B3661:B3689,s!$B$1)</f>
        <v>0</v>
      </c>
      <c r="C2" s="1015">
        <f>SUMIFS(Supplier!F3661:F3689,Supplier!D3661:D3689,s!B2,Supplier!C3661:C3689,s!$B$1)</f>
        <v>0</v>
      </c>
      <c r="D2" s="1015">
        <f>SUMIFS(Supplier!G3661:G3689,Supplier!E3661:E3689,s!C2,Supplier!D3661:D3689,s!$B$1)</f>
        <v>0</v>
      </c>
      <c r="E2" s="1015">
        <f>SUMIFS(Supplier!H3661:H3689,Supplier!F3661:F3689,s!D2,Supplier!E3661:E3689,s!$B$1)</f>
        <v>0</v>
      </c>
      <c r="F2" s="1015">
        <f>SUMIFS(Supplier!I3661:I3689,Supplier!G3661:G3689,s!E2,Supplier!F3661:F3689,s!$B$1)</f>
        <v>0</v>
      </c>
      <c r="G2" s="1015">
        <f>SUMIFS(Supplier!J3661:J3689,Supplier!H3661:H3689,s!F2,Supplier!G3661:G3689,s!$B$1)</f>
        <v>0</v>
      </c>
      <c r="H2" s="1015">
        <f ca="1">SUMIFS(Supplier!K3661:K3689,Supplier!I3661:I3689,s!G2,Supplier!H3661:H3689,s!$B$1)</f>
        <v>0</v>
      </c>
      <c r="I2" s="1015">
        <f ca="1">SUMIFS(Supplier!L3661:L3689,Supplier!J3661:J3689,s!H2,Supplier!I3661:I3689,s!$B$1)</f>
        <v>0</v>
      </c>
      <c r="J2" s="1015">
        <f ca="1">SUMIFS(Supplier!M3661:M3689,Supplier!K3661:K3689,s!I2,Supplier!J3661:J3689,s!$B$1)</f>
        <v>0</v>
      </c>
      <c r="K2" s="1015">
        <f ca="1">SUMIFS(Supplier!N3661:N3689,Supplier!L3661:L3689,s!J2,Supplier!K3661:K3689,s!$B$1)</f>
        <v>0</v>
      </c>
      <c r="L2" s="1015">
        <f ca="1">SUMIF(Supplier!$A$3661:$E$3689,s!K2,Supplier!$E$3661:$E$3689)</f>
        <v>0</v>
      </c>
      <c r="M2" s="1015">
        <f ca="1">SUMIF(Supplier!$A$3661:$E$3689,s!L2,Supplier!$E$3661:$E$3689)</f>
        <v>0</v>
      </c>
      <c r="N2" s="1015">
        <f ca="1">SUMIF(Supplier!$A$3661:$E$3689,s!M2,Supplier!$E$3661:$E$3689)</f>
        <v>0</v>
      </c>
      <c r="O2" s="1015">
        <f ca="1">SUMIF(Supplier!$A$3661:$E$3689,s!N2,Supplier!$E$3661:$E$3689)</f>
        <v>0</v>
      </c>
      <c r="P2" s="1015">
        <f ca="1">SUMIF(Supplier!$A$3661:$E$3689,s!O2,Supplier!$E$3661:$E$3689)</f>
        <v>0</v>
      </c>
      <c r="Q2" s="1015">
        <f ca="1">SUMIF(Supplier!$A$3661:$E$3689,s!P2,Supplier!$E$3661:$E$3689)</f>
        <v>0</v>
      </c>
      <c r="R2" s="1014"/>
      <c r="S2" s="1014"/>
      <c r="T2" s="1014"/>
      <c r="U2" s="1014"/>
      <c r="V2" s="1014"/>
      <c r="W2" s="1014"/>
      <c r="X2" s="1014"/>
      <c r="Y2" s="1014"/>
      <c r="Z2" s="1014"/>
      <c r="AA2" s="1014"/>
      <c r="AB2" s="1014"/>
      <c r="AC2" s="1014"/>
      <c r="AD2" s="1014"/>
      <c r="AE2" s="1014"/>
      <c r="AF2" s="1014"/>
      <c r="AG2" s="1014"/>
      <c r="AH2" s="1014"/>
      <c r="AI2" s="1014"/>
      <c r="AJ2" s="1014"/>
    </row>
    <row r="3" spans="1:56" ht="26.25" x14ac:dyDescent="0.4">
      <c r="A3" s="1010" t="s">
        <v>10077</v>
      </c>
      <c r="B3" s="1015">
        <f>SUMIFS(Supplier!E3662:E3695,Supplier!C3662:C3695,s!A3,Supplier!B3662:B3695,s!$B$1)</f>
        <v>0</v>
      </c>
      <c r="C3" s="1015">
        <f>SUMIFS(Supplier!F3662:F3695,Supplier!D3662:D3695,s!B3,Supplier!C3662:C3695,s!$B$1)</f>
        <v>0</v>
      </c>
      <c r="D3" s="1015">
        <f>SUMIFS(Supplier!G3662:G3695,Supplier!E3662:E3695,s!C3,Supplier!D3662:D3695,s!$B$1)</f>
        <v>0</v>
      </c>
      <c r="E3" s="1015">
        <f>SUMIFS(Supplier!H3662:H3695,Supplier!F3662:F3695,s!D3,Supplier!E3662:E3695,s!$B$1)</f>
        <v>0</v>
      </c>
      <c r="F3" s="1015">
        <f>SUMIFS(Supplier!I3662:I3695,Supplier!G3662:G3695,s!E3,Supplier!F3662:F3695,s!$B$1)</f>
        <v>0</v>
      </c>
      <c r="G3" s="1015">
        <f>SUMIFS(Supplier!J3662:J3695,Supplier!H3662:H3695,s!F3,Supplier!G3662:G3695,s!$B$1)</f>
        <v>0</v>
      </c>
      <c r="H3" s="1015">
        <f ca="1">SUMIFS(Supplier!K3662:K3695,Supplier!I3662:I3695,s!G3,Supplier!H3662:H3695,s!$B$1)</f>
        <v>0</v>
      </c>
      <c r="I3" s="1015">
        <f ca="1">SUMIFS(Supplier!L3662:L3695,Supplier!J3662:J3695,s!H3,Supplier!I3662:I3695,s!$B$1)</f>
        <v>0</v>
      </c>
      <c r="J3" s="1015">
        <f ca="1">SUMIFS(Supplier!M3662:M3695,Supplier!K3662:K3695,s!I3,Supplier!J3662:J3695,s!$B$1)</f>
        <v>0</v>
      </c>
      <c r="K3" s="1015">
        <f ca="1">SUMIFS(Supplier!N3662:N3695,Supplier!L3662:L3695,s!J3,Supplier!K3662:K3695,s!$B$1)</f>
        <v>0</v>
      </c>
      <c r="L3" s="1015">
        <f ca="1">SUMIF(Supplier!$A$3661:$E$3689,s!K3,Supplier!$E$3661:$E$3689)</f>
        <v>0</v>
      </c>
      <c r="M3" s="1015">
        <f ca="1">SUMIF(Supplier!$A$3661:$E$3689,s!L3,Supplier!$E$3661:$E$3689)</f>
        <v>0</v>
      </c>
      <c r="N3" s="1015">
        <f ca="1">SUMIF(Supplier!$A$3661:$E$3689,s!M3,Supplier!$E$3661:$E$3689)</f>
        <v>0</v>
      </c>
      <c r="O3" s="1015">
        <f ca="1">SUMIF(Supplier!$A$3661:$E$3689,s!N3,Supplier!$E$3661:$E$3689)</f>
        <v>0</v>
      </c>
      <c r="P3" s="1015">
        <f ca="1">SUMIF(Supplier!$A$3661:$E$3689,s!O3,Supplier!$E$3661:$E$3689)</f>
        <v>0</v>
      </c>
      <c r="Q3" s="1015">
        <f ca="1">SUMIF(Supplier!$A$3661:$E$3689,s!P3,Supplier!$E$3661:$E$3689)</f>
        <v>0</v>
      </c>
      <c r="R3" s="1014"/>
      <c r="S3" s="1014"/>
      <c r="T3" s="1014"/>
      <c r="U3" s="1014"/>
      <c r="V3" s="1014"/>
      <c r="W3" s="1014"/>
      <c r="X3" s="1014"/>
      <c r="Y3" s="1014"/>
      <c r="Z3" s="1014"/>
      <c r="AA3" s="1014"/>
      <c r="AB3" s="1014"/>
      <c r="AC3" s="1014"/>
      <c r="AD3" s="1014"/>
      <c r="AE3" s="1014"/>
      <c r="AF3" s="1014"/>
      <c r="AG3" s="1014"/>
      <c r="AH3" s="1014"/>
      <c r="AI3" s="1014"/>
      <c r="AJ3" s="1014"/>
    </row>
    <row r="4" spans="1:56" ht="26.25" x14ac:dyDescent="0.4">
      <c r="A4" s="1010" t="s">
        <v>10261</v>
      </c>
      <c r="B4" s="1015">
        <f>SUMIFS(Supplier!E3663:E3698,Supplier!C3663:C3698,s!A4,Supplier!B3663:B3698,s!$B$1)</f>
        <v>0</v>
      </c>
      <c r="C4" s="1015">
        <f>SUMIFS(Supplier!F3663:F3698,Supplier!D3663:D3698,s!B4,Supplier!C3663:C3698,s!$B$1)</f>
        <v>0</v>
      </c>
      <c r="D4" s="1015">
        <f>SUMIFS(Supplier!G3663:G3698,Supplier!E3663:E3698,s!C4,Supplier!D3663:D3698,s!$B$1)</f>
        <v>0</v>
      </c>
      <c r="E4" s="1015">
        <f>SUMIFS(Supplier!H3663:H3698,Supplier!F3663:F3698,s!D4,Supplier!E3663:E3698,s!$B$1)</f>
        <v>0</v>
      </c>
      <c r="F4" s="1015">
        <f>SUMIFS(Supplier!I3663:I3698,Supplier!G3663:G3698,s!E4,Supplier!F3663:F3698,s!$B$1)</f>
        <v>0</v>
      </c>
      <c r="G4" s="1015">
        <f>SUMIFS(Supplier!J3663:J3698,Supplier!H3663:H3698,s!F4,Supplier!G3663:G3698,s!$B$1)</f>
        <v>0</v>
      </c>
      <c r="H4" s="1015">
        <f ca="1">SUMIFS(Supplier!K3663:K3698,Supplier!I3663:I3698,s!G4,Supplier!H3663:H3698,s!$B$1)</f>
        <v>0</v>
      </c>
      <c r="I4" s="1015">
        <f ca="1">SUMIFS(Supplier!L3663:L3698,Supplier!J3663:J3698,s!H4,Supplier!I3663:I3698,s!$B$1)</f>
        <v>0</v>
      </c>
      <c r="J4" s="1015">
        <f ca="1">SUMIFS(Supplier!M3663:M3698,Supplier!K3663:K3698,s!I4,Supplier!J3663:J3698,s!$B$1)</f>
        <v>0</v>
      </c>
      <c r="K4" s="1015">
        <f ca="1">SUMIFS(Supplier!N3663:N3698,Supplier!L3663:L3698,s!J4,Supplier!K3663:K3698,s!$B$1)</f>
        <v>0</v>
      </c>
      <c r="L4" s="1015">
        <f ca="1">SUMIF(Supplier!$A$3661:$E$3689,s!K4,Supplier!$E$3661:$E$3689)</f>
        <v>0</v>
      </c>
      <c r="M4" s="1015">
        <f ca="1">SUMIF(Supplier!$A$3661:$E$3689,s!L4,Supplier!$E$3661:$E$3689)</f>
        <v>0</v>
      </c>
      <c r="N4" s="1015">
        <f ca="1">SUMIF(Supplier!$A$3661:$E$3689,s!M4,Supplier!$E$3661:$E$3689)</f>
        <v>0</v>
      </c>
      <c r="O4" s="1015">
        <f ca="1">SUMIF(Supplier!$A$3661:$E$3689,s!N4,Supplier!$E$3661:$E$3689)</f>
        <v>0</v>
      </c>
      <c r="P4" s="1015">
        <f ca="1">SUMIF(Supplier!$A$3661:$E$3689,s!O4,Supplier!$E$3661:$E$3689)</f>
        <v>0</v>
      </c>
      <c r="Q4" s="1015">
        <f ca="1">SUMIF(Supplier!$A$3661:$E$3689,s!P4,Supplier!$E$3661:$E$3689)</f>
        <v>0</v>
      </c>
      <c r="R4" s="1014"/>
      <c r="S4" s="1014"/>
      <c r="T4" s="1014"/>
      <c r="U4" s="1014"/>
      <c r="V4" s="1014"/>
      <c r="W4" s="1014"/>
      <c r="X4" s="1014"/>
      <c r="Y4" s="1014"/>
      <c r="Z4" s="1014"/>
      <c r="AA4" s="1014"/>
      <c r="AB4" s="1014"/>
      <c r="AC4" s="1014"/>
      <c r="AD4" s="1014"/>
      <c r="AE4" s="1014"/>
      <c r="AF4" s="1014"/>
      <c r="AG4" s="1014"/>
      <c r="AH4" s="1014"/>
      <c r="AI4" s="1014"/>
      <c r="AJ4" s="1014"/>
    </row>
    <row r="5" spans="1:56" ht="26.25" x14ac:dyDescent="0.4">
      <c r="A5" s="1010" t="s">
        <v>10606</v>
      </c>
      <c r="B5" s="1015">
        <f>SUMIFS(Supplier!E3664:E3699,Supplier!C3664:C3699,s!A5,Supplier!B3664:B3699,s!$B$1)</f>
        <v>0</v>
      </c>
      <c r="C5" s="1015">
        <f>SUMIFS(Supplier!F3664:F3699,Supplier!D3664:D3699,s!B5,Supplier!C3664:C3699,s!$B$1)</f>
        <v>0</v>
      </c>
      <c r="D5" s="1015">
        <f>SUMIFS(Supplier!G3664:G3699,Supplier!E3664:E3699,s!C5,Supplier!D3664:D3699,s!$B$1)</f>
        <v>0</v>
      </c>
      <c r="E5" s="1015">
        <f>SUMIFS(Supplier!H3664:H3699,Supplier!F3664:F3699,s!D5,Supplier!E3664:E3699,s!$B$1)</f>
        <v>0</v>
      </c>
      <c r="F5" s="1015">
        <f>SUMIFS(Supplier!I3664:I3699,Supplier!G3664:G3699,s!E5,Supplier!F3664:F3699,s!$B$1)</f>
        <v>0</v>
      </c>
      <c r="G5" s="1015">
        <f>SUMIFS(Supplier!J3664:J3699,Supplier!H3664:H3699,s!F5,Supplier!G3664:G3699,s!$B$1)</f>
        <v>0</v>
      </c>
      <c r="H5" s="1015">
        <f ca="1">SUMIFS(Supplier!K3664:K3699,Supplier!I3664:I3699,s!G5,Supplier!H3664:H3699,s!$B$1)</f>
        <v>0</v>
      </c>
      <c r="I5" s="1015">
        <f ca="1">SUMIFS(Supplier!L3664:L3699,Supplier!J3664:J3699,s!H5,Supplier!I3664:I3699,s!$B$1)</f>
        <v>0</v>
      </c>
      <c r="J5" s="1015">
        <f ca="1">SUMIFS(Supplier!M3664:M3699,Supplier!K3664:K3699,s!I5,Supplier!J3664:J3699,s!$B$1)</f>
        <v>0</v>
      </c>
      <c r="K5" s="1015">
        <f ca="1">SUMIFS(Supplier!N3664:N3699,Supplier!L3664:L3699,s!J5,Supplier!K3664:K3699,s!$B$1)</f>
        <v>0</v>
      </c>
      <c r="L5" s="1015">
        <f ca="1">SUMIF(Supplier!$A$3661:$E$3689,s!K5,Supplier!$E$3661:$E$3689)</f>
        <v>0</v>
      </c>
      <c r="M5" s="1015">
        <f ca="1">SUMIF(Supplier!$A$3661:$E$3689,s!L5,Supplier!$E$3661:$E$3689)</f>
        <v>0</v>
      </c>
      <c r="N5" s="1015">
        <f ca="1">SUMIF(Supplier!$A$3661:$E$3689,s!M5,Supplier!$E$3661:$E$3689)</f>
        <v>0</v>
      </c>
      <c r="O5" s="1015">
        <f ca="1">SUMIF(Supplier!$A$3661:$E$3689,s!N5,Supplier!$E$3661:$E$3689)</f>
        <v>0</v>
      </c>
      <c r="P5" s="1015">
        <f ca="1">SUMIF(Supplier!$A$3661:$E$3689,s!O5,Supplier!$E$3661:$E$3689)</f>
        <v>0</v>
      </c>
      <c r="Q5" s="1015">
        <f ca="1">SUMIF(Supplier!$A$3661:$E$3689,s!P5,Supplier!$E$3661:$E$3689)</f>
        <v>0</v>
      </c>
      <c r="R5" s="1014"/>
      <c r="S5" s="1014"/>
      <c r="T5" s="1014"/>
      <c r="U5" s="1014"/>
      <c r="V5" s="1014"/>
      <c r="W5" s="1014"/>
      <c r="X5" s="1014"/>
      <c r="Y5" s="1014"/>
      <c r="Z5" s="1014"/>
      <c r="AA5" s="1014"/>
      <c r="AB5" s="1014"/>
      <c r="AC5" s="1014"/>
      <c r="AD5" s="1014"/>
      <c r="AE5" s="1014"/>
      <c r="AF5" s="1014"/>
      <c r="AG5" s="1014"/>
      <c r="AH5" s="1014"/>
      <c r="AI5" s="1014"/>
      <c r="AJ5" s="1014"/>
    </row>
    <row r="6" spans="1:56" ht="26.25" x14ac:dyDescent="0.4">
      <c r="A6" s="1010" t="s">
        <v>8752</v>
      </c>
      <c r="B6" s="1015">
        <f>SUMIFS(Supplier!E3665:E3700,Supplier!C3665:C3700,s!A6,Supplier!B3665:B3700,s!$B$1)</f>
        <v>0</v>
      </c>
      <c r="C6" s="1015">
        <f>SUMIFS(Supplier!F3665:F3700,Supplier!D3665:D3700,s!B6,Supplier!C3665:C3700,s!$B$1)</f>
        <v>0</v>
      </c>
      <c r="D6" s="1015">
        <f>SUMIFS(Supplier!G3665:G3700,Supplier!E3665:E3700,s!C6,Supplier!D3665:D3700,s!$B$1)</f>
        <v>0</v>
      </c>
      <c r="E6" s="1015">
        <f>SUMIFS(Supplier!H3665:H3700,Supplier!F3665:F3700,s!D6,Supplier!E3665:E3700,s!$B$1)</f>
        <v>0</v>
      </c>
      <c r="F6" s="1015">
        <f>SUMIFS(Supplier!I3665:I3700,Supplier!G3665:G3700,s!E6,Supplier!F3665:F3700,s!$B$1)</f>
        <v>0</v>
      </c>
      <c r="G6" s="1015">
        <f>SUMIFS(Supplier!J3665:J3700,Supplier!H3665:H3700,s!F6,Supplier!G3665:G3700,s!$B$1)</f>
        <v>0</v>
      </c>
      <c r="H6" s="1015">
        <f ca="1">SUMIFS(Supplier!K3665:K3700,Supplier!I3665:I3700,s!G6,Supplier!H3665:H3700,s!$B$1)</f>
        <v>0</v>
      </c>
      <c r="I6" s="1015">
        <f ca="1">SUMIFS(Supplier!L3665:L3700,Supplier!J3665:J3700,s!H6,Supplier!I3665:I3700,s!$B$1)</f>
        <v>0</v>
      </c>
      <c r="J6" s="1015">
        <f ca="1">SUMIFS(Supplier!M3665:M3700,Supplier!K3665:K3700,s!I6,Supplier!J3665:J3700,s!$B$1)</f>
        <v>0</v>
      </c>
      <c r="K6" s="1015">
        <f ca="1">SUMIFS(Supplier!N3665:N3700,Supplier!L3665:L3700,s!J6,Supplier!K3665:K3700,s!$B$1)</f>
        <v>0</v>
      </c>
      <c r="L6" s="1015">
        <f ca="1">SUMIF(Supplier!$A$3661:$E$3689,s!K6,Supplier!$E$3661:$E$3689)</f>
        <v>0</v>
      </c>
      <c r="M6" s="1015">
        <f ca="1">SUMIF(Supplier!$A$3661:$E$3689,s!L6,Supplier!$E$3661:$E$3689)</f>
        <v>0</v>
      </c>
      <c r="N6" s="1015">
        <f ca="1">SUMIF(Supplier!$A$3661:$E$3689,s!M6,Supplier!$E$3661:$E$3689)</f>
        <v>0</v>
      </c>
      <c r="O6" s="1015">
        <f ca="1">SUMIF(Supplier!$A$3661:$E$3689,s!N6,Supplier!$E$3661:$E$3689)</f>
        <v>0</v>
      </c>
      <c r="P6" s="1015">
        <f ca="1">SUMIF(Supplier!$A$3661:$E$3689,s!O6,Supplier!$E$3661:$E$3689)</f>
        <v>0</v>
      </c>
      <c r="Q6" s="1015">
        <f ca="1">SUMIF(Supplier!$A$3661:$E$3689,s!P6,Supplier!$E$3661:$E$3689)</f>
        <v>0</v>
      </c>
      <c r="R6" s="1014"/>
      <c r="S6" s="1014"/>
      <c r="T6" s="1014"/>
      <c r="U6" s="1014"/>
      <c r="V6" s="1014"/>
      <c r="W6" s="1014"/>
      <c r="X6" s="1014"/>
      <c r="Y6" s="1014"/>
      <c r="Z6" s="1014"/>
      <c r="AA6" s="1014"/>
      <c r="AB6" s="1014"/>
      <c r="AC6" s="1014"/>
      <c r="AD6" s="1014"/>
      <c r="AE6" s="1014"/>
      <c r="AF6" s="1014"/>
      <c r="AG6" s="1014"/>
      <c r="AH6" s="1014"/>
      <c r="AI6" s="1014"/>
      <c r="AJ6" s="1014"/>
    </row>
    <row r="7" spans="1:56" ht="26.25" x14ac:dyDescent="0.4">
      <c r="A7" s="1010" t="s">
        <v>8974</v>
      </c>
      <c r="B7" s="1015">
        <f>SUMIFS(Supplier!E3666:E3701,Supplier!C3666:C3701,s!A7,Supplier!B3666:B3701,s!$B$1)</f>
        <v>0</v>
      </c>
      <c r="C7" s="1015">
        <f>SUMIFS(Supplier!F3666:F3701,Supplier!D3666:D3701,s!B7,Supplier!C3666:C3701,s!$B$1)</f>
        <v>0</v>
      </c>
      <c r="D7" s="1015">
        <f>SUMIFS(Supplier!G3666:G3701,Supplier!E3666:E3701,s!C7,Supplier!D3666:D3701,s!$B$1)</f>
        <v>0</v>
      </c>
      <c r="E7" s="1015">
        <f>SUMIFS(Supplier!H3666:H3701,Supplier!F3666:F3701,s!D7,Supplier!E3666:E3701,s!$B$1)</f>
        <v>0</v>
      </c>
      <c r="F7" s="1015">
        <f>SUMIFS(Supplier!I3666:I3701,Supplier!G3666:G3701,s!E7,Supplier!F3666:F3701,s!$B$1)</f>
        <v>0</v>
      </c>
      <c r="G7" s="1015">
        <f>SUMIFS(Supplier!J3666:J3701,Supplier!H3666:H3701,s!F7,Supplier!G3666:G3701,s!$B$1)</f>
        <v>0</v>
      </c>
      <c r="H7" s="1015">
        <f ca="1">SUMIFS(Supplier!K3666:K3701,Supplier!I3666:I3701,s!G7,Supplier!H3666:H3701,s!$B$1)</f>
        <v>0</v>
      </c>
      <c r="I7" s="1015">
        <f ca="1">SUMIFS(Supplier!L3666:L3701,Supplier!J3666:J3701,s!H7,Supplier!I3666:I3701,s!$B$1)</f>
        <v>0</v>
      </c>
      <c r="J7" s="1015">
        <f ca="1">SUMIFS(Supplier!M3666:M3701,Supplier!K3666:K3701,s!I7,Supplier!J3666:J3701,s!$B$1)</f>
        <v>0</v>
      </c>
      <c r="K7" s="1015">
        <f ca="1">SUMIFS(Supplier!N3666:N3701,Supplier!L3666:L3701,s!J7,Supplier!K3666:K3701,s!$B$1)</f>
        <v>0</v>
      </c>
      <c r="L7" s="1015">
        <f ca="1">SUMIF(Supplier!$A$3661:$E$3689,s!K7,Supplier!$E$3661:$E$3689)</f>
        <v>0</v>
      </c>
      <c r="M7" s="1015">
        <f ca="1">SUMIF(Supplier!$A$3661:$E$3689,s!L7,Supplier!$E$3661:$E$3689)</f>
        <v>0</v>
      </c>
      <c r="N7" s="1015">
        <f ca="1">SUMIF(Supplier!$A$3661:$E$3689,s!M7,Supplier!$E$3661:$E$3689)</f>
        <v>0</v>
      </c>
      <c r="O7" s="1015">
        <f ca="1">SUMIF(Supplier!$A$3661:$E$3689,s!N7,Supplier!$E$3661:$E$3689)</f>
        <v>0</v>
      </c>
      <c r="P7" s="1015">
        <f ca="1">SUMIF(Supplier!$A$3661:$E$3689,s!O7,Supplier!$E$3661:$E$3689)</f>
        <v>0</v>
      </c>
      <c r="Q7" s="1015">
        <f ca="1">SUMIF(Supplier!$A$3661:$E$3689,s!P7,Supplier!$E$3661:$E$3689)</f>
        <v>0</v>
      </c>
      <c r="R7" s="1014"/>
      <c r="S7" s="1014"/>
      <c r="T7" s="1014"/>
      <c r="U7" s="1014"/>
      <c r="V7" s="1014"/>
      <c r="W7" s="1014"/>
      <c r="X7" s="1014"/>
      <c r="Y7" s="1014"/>
      <c r="Z7" s="1014"/>
      <c r="AA7" s="1014"/>
      <c r="AB7" s="1014"/>
      <c r="AC7" s="1014"/>
      <c r="AD7" s="1014"/>
      <c r="AE7" s="1014"/>
      <c r="AF7" s="1014"/>
      <c r="AG7" s="1014"/>
      <c r="AH7" s="1014"/>
      <c r="AI7" s="1014"/>
      <c r="AJ7" s="1014"/>
    </row>
    <row r="8" spans="1:56" ht="26.25" x14ac:dyDescent="0.4">
      <c r="A8" s="1010" t="s">
        <v>10261</v>
      </c>
      <c r="B8" s="1015">
        <f>SUMIFS(Supplier!E3667:E3702,Supplier!C3667:C3702,s!A8,Supplier!B3667:B3702,s!$B$1)</f>
        <v>0</v>
      </c>
      <c r="C8" s="1015">
        <f>SUMIFS(Supplier!F3667:F3702,Supplier!D3667:D3702,s!B8,Supplier!C3667:C3702,s!$B$1)</f>
        <v>0</v>
      </c>
      <c r="D8" s="1015">
        <f>SUMIFS(Supplier!G3667:G3702,Supplier!E3667:E3702,s!C8,Supplier!D3667:D3702,s!$B$1)</f>
        <v>0</v>
      </c>
      <c r="E8" s="1015">
        <f>SUMIFS(Supplier!H3667:H3702,Supplier!F3667:F3702,s!D8,Supplier!E3667:E3702,s!$B$1)</f>
        <v>0</v>
      </c>
      <c r="F8" s="1015">
        <f>SUMIFS(Supplier!I3667:I3702,Supplier!G3667:G3702,s!E8,Supplier!F3667:F3702,s!$B$1)</f>
        <v>0</v>
      </c>
      <c r="G8" s="1015">
        <f>SUMIFS(Supplier!J3667:J3702,Supplier!H3667:H3702,s!F8,Supplier!G3667:G3702,s!$B$1)</f>
        <v>0</v>
      </c>
      <c r="H8" s="1015">
        <f ca="1">SUMIFS(Supplier!K3667:K3702,Supplier!I3667:I3702,s!G8,Supplier!H3667:H3702,s!$B$1)</f>
        <v>0</v>
      </c>
      <c r="I8" s="1015">
        <f ca="1">SUMIFS(Supplier!L3667:L3702,Supplier!J3667:J3702,s!H8,Supplier!I3667:I3702,s!$B$1)</f>
        <v>0</v>
      </c>
      <c r="J8" s="1015">
        <f ca="1">SUMIFS(Supplier!M3667:M3702,Supplier!K3667:K3702,s!I8,Supplier!J3667:J3702,s!$B$1)</f>
        <v>0</v>
      </c>
      <c r="K8" s="1015">
        <f ca="1">SUMIFS(Supplier!N3667:N3702,Supplier!L3667:L3702,s!J8,Supplier!K3667:K3702,s!$B$1)</f>
        <v>0</v>
      </c>
      <c r="L8" s="1015">
        <f ca="1">SUMIF(Supplier!$A$3661:$E$3689,s!K8,Supplier!$E$3661:$E$3689)</f>
        <v>0</v>
      </c>
      <c r="M8" s="1015">
        <f ca="1">SUMIF(Supplier!$A$3661:$E$3689,s!L8,Supplier!$E$3661:$E$3689)</f>
        <v>0</v>
      </c>
      <c r="N8" s="1015">
        <f ca="1">SUMIF(Supplier!$A$3661:$E$3689,s!M8,Supplier!$E$3661:$E$3689)</f>
        <v>0</v>
      </c>
      <c r="O8" s="1015">
        <f ca="1">SUMIF(Supplier!$A$3661:$E$3689,s!N8,Supplier!$E$3661:$E$3689)</f>
        <v>0</v>
      </c>
      <c r="P8" s="1015">
        <f ca="1">SUMIF(Supplier!$A$3661:$E$3689,s!O8,Supplier!$E$3661:$E$3689)</f>
        <v>0</v>
      </c>
      <c r="Q8" s="1015">
        <f ca="1">SUMIF(Supplier!$A$3661:$E$3689,s!P8,Supplier!$E$3661:$E$3689)</f>
        <v>0</v>
      </c>
      <c r="R8" s="1014"/>
      <c r="S8" s="1014"/>
      <c r="T8" s="1014"/>
      <c r="U8" s="1014"/>
      <c r="V8" s="1014"/>
      <c r="W8" s="1014"/>
      <c r="X8" s="1014"/>
      <c r="Y8" s="1014"/>
      <c r="Z8" s="1014"/>
      <c r="AA8" s="1014"/>
      <c r="AB8" s="1014"/>
      <c r="AC8" s="1014"/>
      <c r="AD8" s="1014"/>
      <c r="AE8" s="1014"/>
      <c r="AF8" s="1014"/>
      <c r="AG8" s="1014"/>
      <c r="AH8" s="1014"/>
      <c r="AI8" s="1014"/>
      <c r="AJ8" s="1014"/>
    </row>
    <row r="9" spans="1:56" ht="26.25" x14ac:dyDescent="0.4">
      <c r="A9" s="1010" t="s">
        <v>10582</v>
      </c>
      <c r="B9" s="1015">
        <f>SUMIFS(Supplier!E3668:E3703,Supplier!C3668:C3703,s!A9,Supplier!B3668:B3703,s!$B$1)</f>
        <v>0</v>
      </c>
      <c r="C9" s="1015">
        <f>SUMIFS(Supplier!F3668:F3703,Supplier!D3668:D3703,s!B9,Supplier!C3668:C3703,s!$B$1)</f>
        <v>0</v>
      </c>
      <c r="D9" s="1015">
        <f>SUMIFS(Supplier!G3668:G3703,Supplier!E3668:E3703,s!C9,Supplier!D3668:D3703,s!$B$1)</f>
        <v>0</v>
      </c>
      <c r="E9" s="1015">
        <f>SUMIFS(Supplier!H3668:H3703,Supplier!F3668:F3703,s!D9,Supplier!E3668:E3703,s!$B$1)</f>
        <v>0</v>
      </c>
      <c r="F9" s="1015">
        <f>SUMIFS(Supplier!I3668:I3703,Supplier!G3668:G3703,s!E9,Supplier!F3668:F3703,s!$B$1)</f>
        <v>0</v>
      </c>
      <c r="G9" s="1015">
        <f>SUMIFS(Supplier!J3668:J3703,Supplier!H3668:H3703,s!F9,Supplier!G3668:G3703,s!$B$1)</f>
        <v>0</v>
      </c>
      <c r="H9" s="1015">
        <f ca="1">SUMIFS(Supplier!K3668:K3703,Supplier!I3668:I3703,s!G9,Supplier!H3668:H3703,s!$B$1)</f>
        <v>0</v>
      </c>
      <c r="I9" s="1015">
        <f ca="1">SUMIFS(Supplier!L3668:L3703,Supplier!J3668:J3703,s!H9,Supplier!I3668:I3703,s!$B$1)</f>
        <v>0</v>
      </c>
      <c r="J9" s="1015">
        <f ca="1">SUMIFS(Supplier!M3668:M3703,Supplier!K3668:K3703,s!I9,Supplier!J3668:J3703,s!$B$1)</f>
        <v>0</v>
      </c>
      <c r="K9" s="1015">
        <f ca="1">SUMIFS(Supplier!N3668:N3703,Supplier!L3668:L3703,s!J9,Supplier!K3668:K3703,s!$B$1)</f>
        <v>0</v>
      </c>
      <c r="L9" s="1015">
        <f ca="1">SUMIF(Supplier!$A$3661:$E$3689,s!K9,Supplier!$E$3661:$E$3689)</f>
        <v>0</v>
      </c>
      <c r="M9" s="1015">
        <f ca="1">SUMIF(Supplier!$A$3661:$E$3689,s!L9,Supplier!$E$3661:$E$3689)</f>
        <v>0</v>
      </c>
      <c r="N9" s="1015">
        <f ca="1">SUMIF(Supplier!$A$3661:$E$3689,s!M9,Supplier!$E$3661:$E$3689)</f>
        <v>0</v>
      </c>
      <c r="O9" s="1015">
        <f ca="1">SUMIF(Supplier!$A$3661:$E$3689,s!N9,Supplier!$E$3661:$E$3689)</f>
        <v>0</v>
      </c>
      <c r="P9" s="1015">
        <f ca="1">SUMIF(Supplier!$A$3661:$E$3689,s!O9,Supplier!$E$3661:$E$3689)</f>
        <v>0</v>
      </c>
      <c r="Q9" s="1015">
        <f ca="1">SUMIF(Supplier!$A$3661:$E$3689,s!P9,Supplier!$E$3661:$E$3689)</f>
        <v>0</v>
      </c>
      <c r="R9" s="1014"/>
      <c r="S9" s="1014"/>
      <c r="T9" s="1014"/>
      <c r="U9" s="1014"/>
      <c r="V9" s="1014"/>
      <c r="W9" s="1014"/>
      <c r="X9" s="1014"/>
      <c r="Y9" s="1014"/>
      <c r="Z9" s="1014"/>
      <c r="AA9" s="1014"/>
      <c r="AB9" s="1014"/>
      <c r="AC9" s="1014"/>
      <c r="AD9" s="1014"/>
      <c r="AE9" s="1014"/>
      <c r="AF9" s="1014"/>
      <c r="AG9" s="1014"/>
      <c r="AH9" s="1014"/>
      <c r="AI9" s="1014"/>
      <c r="AJ9" s="1014"/>
    </row>
    <row r="10" spans="1:56" ht="26.25" x14ac:dyDescent="0.4">
      <c r="A10" s="1010" t="s">
        <v>10606</v>
      </c>
      <c r="B10" s="1015">
        <f>SUMIFS(Supplier!E3669:E3704,Supplier!C3669:C3704,s!A10,Supplier!B3669:B3704,s!$B$1)</f>
        <v>0</v>
      </c>
      <c r="C10" s="1015">
        <f>SUMIFS(Supplier!F3669:F3704,Supplier!D3669:D3704,s!B10,Supplier!C3669:C3704,s!$B$1)</f>
        <v>0</v>
      </c>
      <c r="D10" s="1015">
        <f>SUMIFS(Supplier!G3669:G3704,Supplier!E3669:E3704,s!C10,Supplier!D3669:D3704,s!$B$1)</f>
        <v>0</v>
      </c>
      <c r="E10" s="1015">
        <f>SUMIFS(Supplier!H3669:H3704,Supplier!F3669:F3704,s!D10,Supplier!E3669:E3704,s!$B$1)</f>
        <v>0</v>
      </c>
      <c r="F10" s="1015">
        <f>SUMIFS(Supplier!I3669:I3704,Supplier!G3669:G3704,s!E10,Supplier!F3669:F3704,s!$B$1)</f>
        <v>0</v>
      </c>
      <c r="G10" s="1015">
        <f>SUMIFS(Supplier!J3669:J3704,Supplier!H3669:H3704,s!F10,Supplier!G3669:G3704,s!$B$1)</f>
        <v>0</v>
      </c>
      <c r="H10" s="1015">
        <f ca="1">SUMIFS(Supplier!K3669:K3704,Supplier!I3669:I3704,s!G10,Supplier!H3669:H3704,s!$B$1)</f>
        <v>0</v>
      </c>
      <c r="I10" s="1015">
        <f ca="1">SUMIFS(Supplier!L3669:L3704,Supplier!J3669:J3704,s!H10,Supplier!I3669:I3704,s!$B$1)</f>
        <v>0</v>
      </c>
      <c r="J10" s="1015">
        <f ca="1">SUMIFS(Supplier!M3669:M3704,Supplier!K3669:K3704,s!I10,Supplier!J3669:J3704,s!$B$1)</f>
        <v>0</v>
      </c>
      <c r="K10" s="1015">
        <f ca="1">SUMIFS(Supplier!N3669:N3704,Supplier!L3669:L3704,s!J10,Supplier!K3669:K3704,s!$B$1)</f>
        <v>0</v>
      </c>
      <c r="L10" s="1015">
        <f ca="1">SUMIF(Supplier!$A$3661:$E$3689,s!K10,Supplier!$E$3661:$E$3689)</f>
        <v>0</v>
      </c>
      <c r="M10" s="1015">
        <f ca="1">SUMIF(Supplier!$A$3661:$E$3689,s!L10,Supplier!$E$3661:$E$3689)</f>
        <v>0</v>
      </c>
      <c r="N10" s="1015">
        <f ca="1">SUMIF(Supplier!$A$3661:$E$3689,s!M10,Supplier!$E$3661:$E$3689)</f>
        <v>0</v>
      </c>
      <c r="O10" s="1015">
        <f ca="1">SUMIF(Supplier!$A$3661:$E$3689,s!N10,Supplier!$E$3661:$E$3689)</f>
        <v>0</v>
      </c>
      <c r="P10" s="1015">
        <f ca="1">SUMIF(Supplier!$A$3661:$E$3689,s!O10,Supplier!$E$3661:$E$3689)</f>
        <v>0</v>
      </c>
      <c r="Q10" s="1015">
        <f ca="1">SUMIF(Supplier!$A$3661:$E$3689,s!P10,Supplier!$E$3661:$E$3689)</f>
        <v>0</v>
      </c>
      <c r="R10" s="1014"/>
      <c r="S10" s="1014"/>
      <c r="T10" s="1014"/>
      <c r="U10" s="1014"/>
      <c r="V10" s="1014"/>
      <c r="W10" s="1014"/>
      <c r="X10" s="1014"/>
      <c r="Y10" s="1014"/>
      <c r="Z10" s="1014"/>
      <c r="AA10" s="1014"/>
      <c r="AB10" s="1014"/>
      <c r="AC10" s="1014"/>
      <c r="AD10" s="1014"/>
      <c r="AE10" s="1014"/>
      <c r="AF10" s="1014"/>
      <c r="AG10" s="1014"/>
      <c r="AH10" s="1014"/>
      <c r="AI10" s="1014"/>
      <c r="AJ10" s="1014"/>
    </row>
    <row r="11" spans="1:56" ht="26.25" x14ac:dyDescent="0.4">
      <c r="A11" s="1010" t="s">
        <v>10077</v>
      </c>
      <c r="B11" s="1015">
        <f>SUMIFS(Supplier!E3670:E3705,Supplier!C3670:C3705,s!A11,Supplier!B3670:B3705,s!$B$1)</f>
        <v>0</v>
      </c>
      <c r="C11" s="1015">
        <f>SUMIFS(Supplier!F3670:F3705,Supplier!D3670:D3705,s!B11,Supplier!C3670:C3705,s!$B$1)</f>
        <v>0</v>
      </c>
      <c r="D11" s="1015">
        <f>SUMIFS(Supplier!G3670:G3705,Supplier!E3670:E3705,s!C11,Supplier!D3670:D3705,s!$B$1)</f>
        <v>0</v>
      </c>
      <c r="E11" s="1015">
        <f>SUMIFS(Supplier!H3670:H3705,Supplier!F3670:F3705,s!D11,Supplier!E3670:E3705,s!$B$1)</f>
        <v>0</v>
      </c>
      <c r="F11" s="1015">
        <f>SUMIFS(Supplier!I3670:I3705,Supplier!G3670:G3705,s!E11,Supplier!F3670:F3705,s!$B$1)</f>
        <v>0</v>
      </c>
      <c r="G11" s="1015">
        <f>SUMIFS(Supplier!J3670:J3705,Supplier!H3670:H3705,s!F11,Supplier!G3670:G3705,s!$B$1)</f>
        <v>0</v>
      </c>
      <c r="H11" s="1015">
        <f ca="1">SUMIFS(Supplier!K3670:K3705,Supplier!I3670:I3705,s!G11,Supplier!H3670:H3705,s!$B$1)</f>
        <v>0</v>
      </c>
      <c r="I11" s="1015">
        <f ca="1">SUMIFS(Supplier!L3670:L3705,Supplier!J3670:J3705,s!H11,Supplier!I3670:I3705,s!$B$1)</f>
        <v>0</v>
      </c>
      <c r="J11" s="1015">
        <f ca="1">SUMIFS(Supplier!M3670:M3705,Supplier!K3670:K3705,s!I11,Supplier!J3670:J3705,s!$B$1)</f>
        <v>0</v>
      </c>
      <c r="K11" s="1015">
        <f ca="1">SUMIFS(Supplier!N3670:N3705,Supplier!L3670:L3705,s!J11,Supplier!K3670:K3705,s!$B$1)</f>
        <v>0</v>
      </c>
      <c r="L11" s="1015">
        <f ca="1">SUMIF(Supplier!$A$3661:$E$3689,s!K11,Supplier!$E$3661:$E$3689)</f>
        <v>0</v>
      </c>
      <c r="M11" s="1015">
        <f ca="1">SUMIF(Supplier!$A$3661:$E$3689,s!L11,Supplier!$E$3661:$E$3689)</f>
        <v>0</v>
      </c>
      <c r="N11" s="1015">
        <f ca="1">SUMIF(Supplier!$A$3661:$E$3689,s!M11,Supplier!$E$3661:$E$3689)</f>
        <v>0</v>
      </c>
      <c r="O11" s="1015">
        <f ca="1">SUMIF(Supplier!$A$3661:$E$3689,s!N11,Supplier!$E$3661:$E$3689)</f>
        <v>0</v>
      </c>
      <c r="P11" s="1015">
        <f ca="1">SUMIF(Supplier!$A$3661:$E$3689,s!O11,Supplier!$E$3661:$E$3689)</f>
        <v>0</v>
      </c>
      <c r="Q11" s="1015">
        <f ca="1">SUMIF(Supplier!$A$3661:$E$3689,s!P11,Supplier!$E$3661:$E$3689)</f>
        <v>0</v>
      </c>
      <c r="R11" s="1014"/>
      <c r="S11" s="1014"/>
      <c r="T11" s="1014"/>
      <c r="U11" s="1014"/>
      <c r="V11" s="1014"/>
      <c r="W11" s="1014"/>
      <c r="X11" s="1014"/>
      <c r="Y11" s="1014"/>
      <c r="Z11" s="1014"/>
      <c r="AA11" s="1014"/>
      <c r="AB11" s="1014"/>
      <c r="AC11" s="1014"/>
      <c r="AD11" s="1014"/>
      <c r="AE11" s="1014"/>
      <c r="AF11" s="1014"/>
      <c r="AG11" s="1014"/>
      <c r="AH11" s="1014"/>
      <c r="AI11" s="1014"/>
      <c r="AJ11" s="1014"/>
    </row>
    <row r="12" spans="1:56" ht="26.25" x14ac:dyDescent="0.4">
      <c r="A12" s="1010" t="s">
        <v>7886</v>
      </c>
      <c r="B12" s="1015">
        <f>SUMIFS(Supplier!E3671:E3706,Supplier!C3671:C3706,s!A12,Supplier!B3671:B3706,s!$B$1)</f>
        <v>0</v>
      </c>
      <c r="C12" s="1015">
        <f>SUMIFS(Supplier!F3671:F3706,Supplier!D3671:D3706,s!B12,Supplier!C3671:C3706,s!$B$1)</f>
        <v>0</v>
      </c>
      <c r="D12" s="1015">
        <f>SUMIFS(Supplier!G3671:G3706,Supplier!E3671:E3706,s!C12,Supplier!D3671:D3706,s!$B$1)</f>
        <v>0</v>
      </c>
      <c r="E12" s="1015">
        <f>SUMIFS(Supplier!H3671:H3706,Supplier!F3671:F3706,s!D12,Supplier!E3671:E3706,s!$B$1)</f>
        <v>0</v>
      </c>
      <c r="F12" s="1015">
        <f>SUMIFS(Supplier!I3671:I3706,Supplier!G3671:G3706,s!E12,Supplier!F3671:F3706,s!$B$1)</f>
        <v>0</v>
      </c>
      <c r="G12" s="1015">
        <f>SUMIFS(Supplier!J3671:J3706,Supplier!H3671:H3706,s!F12,Supplier!G3671:G3706,s!$B$1)</f>
        <v>0</v>
      </c>
      <c r="H12" s="1015">
        <f ca="1">SUMIFS(Supplier!K3671:K3706,Supplier!I3671:I3706,s!G12,Supplier!H3671:H3706,s!$B$1)</f>
        <v>0</v>
      </c>
      <c r="I12" s="1015">
        <f ca="1">SUMIFS(Supplier!L3671:L3706,Supplier!J3671:J3706,s!H12,Supplier!I3671:I3706,s!$B$1)</f>
        <v>0</v>
      </c>
      <c r="J12" s="1015">
        <f ca="1">SUMIFS(Supplier!M3671:M3706,Supplier!K3671:K3706,s!I12,Supplier!J3671:J3706,s!$B$1)</f>
        <v>0</v>
      </c>
      <c r="K12" s="1015">
        <f ca="1">SUMIFS(Supplier!N3671:N3706,Supplier!L3671:L3706,s!J12,Supplier!K3671:K3706,s!$B$1)</f>
        <v>0</v>
      </c>
      <c r="L12" s="1015">
        <f ca="1">SUMIF(Supplier!$A$3661:$E$3689,s!K12,Supplier!$E$3661:$E$3689)</f>
        <v>0</v>
      </c>
      <c r="M12" s="1015">
        <f ca="1">SUMIF(Supplier!$A$3661:$E$3689,s!L12,Supplier!$E$3661:$E$3689)</f>
        <v>0</v>
      </c>
      <c r="N12" s="1015">
        <f ca="1">SUMIF(Supplier!$A$3661:$E$3689,s!M12,Supplier!$E$3661:$E$3689)</f>
        <v>0</v>
      </c>
      <c r="O12" s="1015">
        <f ca="1">SUMIF(Supplier!$A$3661:$E$3689,s!N12,Supplier!$E$3661:$E$3689)</f>
        <v>0</v>
      </c>
      <c r="P12" s="1015">
        <f ca="1">SUMIF(Supplier!$A$3661:$E$3689,s!O12,Supplier!$E$3661:$E$3689)</f>
        <v>0</v>
      </c>
      <c r="Q12" s="1015">
        <f ca="1">SUMIF(Supplier!$A$3661:$E$3689,s!P12,Supplier!$E$3661:$E$3689)</f>
        <v>0</v>
      </c>
      <c r="R12" s="1014"/>
      <c r="S12" s="1014"/>
      <c r="T12" s="1014"/>
      <c r="U12" s="1014"/>
      <c r="V12" s="1014"/>
      <c r="W12" s="1014"/>
      <c r="X12" s="1014"/>
      <c r="Y12" s="1014"/>
      <c r="Z12" s="1014"/>
      <c r="AA12" s="1014"/>
      <c r="AB12" s="1014"/>
      <c r="AC12" s="1014"/>
      <c r="AD12" s="1014"/>
      <c r="AE12" s="1014"/>
      <c r="AF12" s="1014"/>
      <c r="AG12" s="1014"/>
      <c r="AH12" s="1014"/>
      <c r="AI12" s="1014"/>
      <c r="AJ12" s="1014"/>
    </row>
    <row r="13" spans="1:56" ht="26.25" x14ac:dyDescent="0.4">
      <c r="A13" s="1010" t="s">
        <v>9516</v>
      </c>
      <c r="B13" s="1015">
        <f>SUMIFS(Supplier!E3672:E3719,Supplier!C3672:C3719,s!A13,Supplier!B3672:B3719,s!$B$1)</f>
        <v>0</v>
      </c>
      <c r="C13" s="1015">
        <f>SUMIFS(Supplier!F3672:F3719,Supplier!D3672:D3719,s!B13,Supplier!C3672:C3719,s!$B$1)</f>
        <v>0</v>
      </c>
      <c r="D13" s="1015">
        <f>SUMIFS(Supplier!G3672:G3719,Supplier!E3672:E3719,s!C13,Supplier!D3672:D3719,s!$B$1)</f>
        <v>0</v>
      </c>
      <c r="E13" s="1015">
        <f>SUMIFS(Supplier!H3672:H3719,Supplier!F3672:F3719,s!D13,Supplier!E3672:E3719,s!$B$1)</f>
        <v>0</v>
      </c>
      <c r="F13" s="1015">
        <f>SUMIFS(Supplier!I3672:I3719,Supplier!G3672:G3719,s!E13,Supplier!F3672:F3719,s!$B$1)</f>
        <v>0</v>
      </c>
      <c r="G13" s="1015">
        <f>SUMIFS(Supplier!J3672:J3719,Supplier!H3672:H3719,s!F13,Supplier!G3672:G3719,s!$B$1)</f>
        <v>0</v>
      </c>
      <c r="H13" s="1015">
        <f ca="1">SUMIFS(Supplier!K3672:K3719,Supplier!I3672:I3719,s!G13,Supplier!H3672:H3719,s!$B$1)</f>
        <v>0</v>
      </c>
      <c r="I13" s="1015">
        <f ca="1">SUMIFS(Supplier!L3672:L3719,Supplier!J3672:J3719,s!H13,Supplier!I3672:I3719,s!$B$1)</f>
        <v>0</v>
      </c>
      <c r="J13" s="1015">
        <f ca="1">SUMIFS(Supplier!M3672:M3719,Supplier!K3672:K3719,s!I13,Supplier!J3672:J3719,s!$B$1)</f>
        <v>0</v>
      </c>
      <c r="K13" s="1015">
        <f ca="1">SUMIFS(Supplier!N3672:N3719,Supplier!L3672:L3719,s!J13,Supplier!K3672:K3719,s!$B$1)</f>
        <v>0</v>
      </c>
      <c r="L13" s="1015">
        <f ca="1">SUMIF(Supplier!$A$3661:$E$3689,s!K13,Supplier!$E$3661:$E$3689)</f>
        <v>0</v>
      </c>
      <c r="M13" s="1015">
        <f ca="1">SUMIF(Supplier!$A$3661:$E$3689,s!L13,Supplier!$E$3661:$E$3689)</f>
        <v>0</v>
      </c>
      <c r="N13" s="1015">
        <f ca="1">SUMIF(Supplier!$A$3661:$E$3689,s!M13,Supplier!$E$3661:$E$3689)</f>
        <v>0</v>
      </c>
      <c r="O13" s="1015">
        <f ca="1">SUMIF(Supplier!$A$3661:$E$3689,s!N13,Supplier!$E$3661:$E$3689)</f>
        <v>0</v>
      </c>
      <c r="P13" s="1015">
        <f ca="1">SUMIF(Supplier!$A$3661:$E$3689,s!O13,Supplier!$E$3661:$E$3689)</f>
        <v>0</v>
      </c>
      <c r="Q13" s="1015">
        <f ca="1">SUMIF(Supplier!$A$3661:$E$3689,s!P13,Supplier!$E$3661:$E$3689)</f>
        <v>0</v>
      </c>
      <c r="R13" s="1014"/>
      <c r="S13" s="1014"/>
      <c r="T13" s="1014"/>
      <c r="U13" s="1014"/>
      <c r="V13" s="1014"/>
      <c r="W13" s="1014"/>
      <c r="X13" s="1014"/>
      <c r="Y13" s="1014"/>
      <c r="Z13" s="1014"/>
      <c r="AA13" s="1014"/>
      <c r="AB13" s="1014"/>
      <c r="AC13" s="1014"/>
      <c r="AD13" s="1014"/>
      <c r="AE13" s="1014"/>
      <c r="AF13" s="1014"/>
      <c r="AG13" s="1014"/>
      <c r="AH13" s="1014"/>
      <c r="AI13" s="1014"/>
      <c r="AJ13" s="1014"/>
    </row>
    <row r="14" spans="1:56" ht="26.25" x14ac:dyDescent="0.4">
      <c r="A14" s="1010" t="s">
        <v>10261</v>
      </c>
      <c r="B14" s="1015">
        <f>SUMIFS(Supplier!E3673:E3720,Supplier!C3673:C3720,s!A14,Supplier!B3673:B3720,s!$B$1)</f>
        <v>0</v>
      </c>
      <c r="C14" s="1015">
        <f>SUMIFS(Supplier!F3673:F3720,Supplier!D3673:D3720,s!B14,Supplier!C3673:C3720,s!$B$1)</f>
        <v>0</v>
      </c>
      <c r="D14" s="1015">
        <f>SUMIFS(Supplier!G3673:G3720,Supplier!E3673:E3720,s!C14,Supplier!D3673:D3720,s!$B$1)</f>
        <v>0</v>
      </c>
      <c r="E14" s="1015">
        <f>SUMIFS(Supplier!H3673:H3720,Supplier!F3673:F3720,s!D14,Supplier!E3673:E3720,s!$B$1)</f>
        <v>0</v>
      </c>
      <c r="F14" s="1015">
        <f>SUMIFS(Supplier!I3673:I3720,Supplier!G3673:G3720,s!E14,Supplier!F3673:F3720,s!$B$1)</f>
        <v>0</v>
      </c>
      <c r="G14" s="1015">
        <f>SUMIFS(Supplier!J3673:J3720,Supplier!H3673:H3720,s!F14,Supplier!G3673:G3720,s!$B$1)</f>
        <v>0</v>
      </c>
      <c r="H14" s="1015">
        <f ca="1">SUMIFS(Supplier!K3673:K3720,Supplier!I3673:I3720,s!G14,Supplier!H3673:H3720,s!$B$1)</f>
        <v>0</v>
      </c>
      <c r="I14" s="1015">
        <f ca="1">SUMIFS(Supplier!L3673:L3720,Supplier!J3673:J3720,s!H14,Supplier!I3673:I3720,s!$B$1)</f>
        <v>0</v>
      </c>
      <c r="J14" s="1015">
        <f ca="1">SUMIFS(Supplier!M3673:M3720,Supplier!K3673:K3720,s!I14,Supplier!J3673:J3720,s!$B$1)</f>
        <v>0</v>
      </c>
      <c r="K14" s="1015">
        <f ca="1">SUMIFS(Supplier!N3673:N3720,Supplier!L3673:L3720,s!J14,Supplier!K3673:K3720,s!$B$1)</f>
        <v>0</v>
      </c>
      <c r="L14" s="1015">
        <f ca="1">SUMIF(Supplier!$A$3661:$E$3689,s!K14,Supplier!$E$3661:$E$3689)</f>
        <v>0</v>
      </c>
      <c r="M14" s="1015">
        <f ca="1">SUMIF(Supplier!$A$3661:$E$3689,s!L14,Supplier!$E$3661:$E$3689)</f>
        <v>0</v>
      </c>
      <c r="N14" s="1015">
        <f ca="1">SUMIF(Supplier!$A$3661:$E$3689,s!M14,Supplier!$E$3661:$E$3689)</f>
        <v>0</v>
      </c>
      <c r="O14" s="1015">
        <f ca="1">SUMIF(Supplier!$A$3661:$E$3689,s!N14,Supplier!$E$3661:$E$3689)</f>
        <v>0</v>
      </c>
      <c r="P14" s="1015">
        <f ca="1">SUMIF(Supplier!$A$3661:$E$3689,s!O14,Supplier!$E$3661:$E$3689)</f>
        <v>0</v>
      </c>
      <c r="Q14" s="1015">
        <f ca="1">SUMIF(Supplier!$A$3661:$E$3689,s!P14,Supplier!$E$3661:$E$3689)</f>
        <v>0</v>
      </c>
      <c r="R14" s="1014"/>
      <c r="S14" s="1014"/>
      <c r="T14" s="1014"/>
      <c r="U14" s="1014"/>
      <c r="V14" s="1014"/>
      <c r="W14" s="1014"/>
      <c r="X14" s="1014"/>
      <c r="Y14" s="1014"/>
      <c r="Z14" s="1014"/>
      <c r="AA14" s="1014"/>
      <c r="AB14" s="1014"/>
      <c r="AC14" s="1014"/>
      <c r="AD14" s="1014"/>
      <c r="AE14" s="1014"/>
      <c r="AF14" s="1014"/>
      <c r="AG14" s="1014"/>
      <c r="AH14" s="1014"/>
      <c r="AI14" s="1014"/>
      <c r="AJ14" s="1014"/>
    </row>
    <row r="15" spans="1:56" ht="26.25" x14ac:dyDescent="0.4">
      <c r="A15" s="1010" t="s">
        <v>10606</v>
      </c>
      <c r="B15" s="1015">
        <f>SUMIFS(Supplier!E3674:E3721,Supplier!C3674:C3721,s!A15,Supplier!B3674:B3721,s!$B$1)</f>
        <v>0</v>
      </c>
      <c r="C15" s="1015">
        <f>SUMIFS(Supplier!F3674:F3721,Supplier!D3674:D3721,s!B15,Supplier!C3674:C3721,s!$B$1)</f>
        <v>0</v>
      </c>
      <c r="D15" s="1015">
        <f>SUMIFS(Supplier!G3674:G3721,Supplier!E3674:E3721,s!C15,Supplier!D3674:D3721,s!$B$1)</f>
        <v>0</v>
      </c>
      <c r="E15" s="1015">
        <f>SUMIFS(Supplier!H3674:H3721,Supplier!F3674:F3721,s!D15,Supplier!E3674:E3721,s!$B$1)</f>
        <v>0</v>
      </c>
      <c r="F15" s="1015">
        <f>SUMIFS(Supplier!I3674:I3721,Supplier!G3674:G3721,s!E15,Supplier!F3674:F3721,s!$B$1)</f>
        <v>0</v>
      </c>
      <c r="G15" s="1015">
        <f>SUMIFS(Supplier!J3674:J3721,Supplier!H3674:H3721,s!F15,Supplier!G3674:G3721,s!$B$1)</f>
        <v>0</v>
      </c>
      <c r="H15" s="1015">
        <f ca="1">SUMIFS(Supplier!K3674:K3721,Supplier!I3674:I3721,s!G15,Supplier!H3674:H3721,s!$B$1)</f>
        <v>0</v>
      </c>
      <c r="I15" s="1015">
        <f ca="1">SUMIFS(Supplier!L3674:L3721,Supplier!J3674:J3721,s!H15,Supplier!I3674:I3721,s!$B$1)</f>
        <v>0</v>
      </c>
      <c r="J15" s="1015">
        <f ca="1">SUMIFS(Supplier!M3674:M3721,Supplier!K3674:K3721,s!I15,Supplier!J3674:J3721,s!$B$1)</f>
        <v>0</v>
      </c>
      <c r="K15" s="1015">
        <f ca="1">SUMIFS(Supplier!N3674:N3721,Supplier!L3674:L3721,s!J15,Supplier!K3674:K3721,s!$B$1)</f>
        <v>0</v>
      </c>
      <c r="L15" s="1015">
        <f ca="1">SUMIF(Supplier!$A$3661:$E$3689,s!K15,Supplier!$E$3661:$E$3689)</f>
        <v>0</v>
      </c>
      <c r="M15" s="1015">
        <f ca="1">SUMIF(Supplier!$A$3661:$E$3689,s!L15,Supplier!$E$3661:$E$3689)</f>
        <v>0</v>
      </c>
      <c r="N15" s="1015">
        <f ca="1">SUMIF(Supplier!$A$3661:$E$3689,s!M15,Supplier!$E$3661:$E$3689)</f>
        <v>0</v>
      </c>
      <c r="O15" s="1015">
        <f ca="1">SUMIF(Supplier!$A$3661:$E$3689,s!N15,Supplier!$E$3661:$E$3689)</f>
        <v>0</v>
      </c>
      <c r="P15" s="1015">
        <f ca="1">SUMIF(Supplier!$A$3661:$E$3689,s!O15,Supplier!$E$3661:$E$3689)</f>
        <v>0</v>
      </c>
      <c r="Q15" s="1015">
        <f ca="1">SUMIF(Supplier!$A$3661:$E$3689,s!P15,Supplier!$E$3661:$E$3689)</f>
        <v>0</v>
      </c>
      <c r="R15" s="1014"/>
      <c r="S15" s="1014"/>
      <c r="T15" s="1014"/>
      <c r="U15" s="1014"/>
      <c r="V15" s="1014"/>
      <c r="W15" s="1014"/>
      <c r="X15" s="1014"/>
      <c r="Y15" s="1014"/>
      <c r="Z15" s="1014"/>
      <c r="AA15" s="1014"/>
      <c r="AB15" s="1014"/>
      <c r="AC15" s="1014"/>
      <c r="AD15" s="1014"/>
      <c r="AE15" s="1014"/>
      <c r="AF15" s="1014"/>
      <c r="AG15" s="1014"/>
      <c r="AH15" s="1014"/>
      <c r="AI15" s="1014"/>
      <c r="AJ15" s="1014"/>
    </row>
    <row r="16" spans="1:56" ht="26.25" x14ac:dyDescent="0.4">
      <c r="A16" s="1010" t="s">
        <v>10406</v>
      </c>
      <c r="B16" s="1015">
        <f>SUMIFS(Supplier!E3675:E3722,Supplier!C3675:C3722,s!A16,Supplier!B3675:B3722,s!$B$1)</f>
        <v>0</v>
      </c>
      <c r="C16" s="1015">
        <f>SUMIFS(Supplier!F3675:F3722,Supplier!D3675:D3722,s!B16,Supplier!C3675:C3722,s!$B$1)</f>
        <v>0</v>
      </c>
      <c r="D16" s="1015">
        <f>SUMIFS(Supplier!G3675:G3722,Supplier!E3675:E3722,s!C16,Supplier!D3675:D3722,s!$B$1)</f>
        <v>0</v>
      </c>
      <c r="E16" s="1015">
        <f>SUMIFS(Supplier!H3675:H3722,Supplier!F3675:F3722,s!D16,Supplier!E3675:E3722,s!$B$1)</f>
        <v>0</v>
      </c>
      <c r="F16" s="1015">
        <f>SUMIFS(Supplier!I3675:I3722,Supplier!G3675:G3722,s!E16,Supplier!F3675:F3722,s!$B$1)</f>
        <v>0</v>
      </c>
      <c r="G16" s="1015">
        <f>SUMIFS(Supplier!J3675:J3722,Supplier!H3675:H3722,s!F16,Supplier!G3675:G3722,s!$B$1)</f>
        <v>0</v>
      </c>
      <c r="H16" s="1015">
        <f ca="1">SUMIFS(Supplier!K3675:K3722,Supplier!I3675:I3722,s!G16,Supplier!H3675:H3722,s!$B$1)</f>
        <v>0</v>
      </c>
      <c r="I16" s="1015">
        <f ca="1">SUMIFS(Supplier!L3675:L3722,Supplier!J3675:J3722,s!H16,Supplier!I3675:I3722,s!$B$1)</f>
        <v>0</v>
      </c>
      <c r="J16" s="1015">
        <f ca="1">SUMIFS(Supplier!M3675:M3722,Supplier!K3675:K3722,s!I16,Supplier!J3675:J3722,s!$B$1)</f>
        <v>0</v>
      </c>
      <c r="K16" s="1015">
        <f ca="1">SUMIFS(Supplier!N3675:N3722,Supplier!L3675:L3722,s!J16,Supplier!K3675:K3722,s!$B$1)</f>
        <v>0</v>
      </c>
      <c r="L16" s="1015">
        <f ca="1">SUMIF(Supplier!$A$3661:$E$3689,s!K16,Supplier!$E$3661:$E$3689)</f>
        <v>0</v>
      </c>
      <c r="M16" s="1015">
        <f ca="1">SUMIF(Supplier!$A$3661:$E$3689,s!L16,Supplier!$E$3661:$E$3689)</f>
        <v>0</v>
      </c>
      <c r="N16" s="1015">
        <f ca="1">SUMIF(Supplier!$A$3661:$E$3689,s!M16,Supplier!$E$3661:$E$3689)</f>
        <v>0</v>
      </c>
      <c r="O16" s="1015">
        <f ca="1">SUMIF(Supplier!$A$3661:$E$3689,s!N16,Supplier!$E$3661:$E$3689)</f>
        <v>0</v>
      </c>
      <c r="P16" s="1015">
        <f ca="1">SUMIF(Supplier!$A$3661:$E$3689,s!O16,Supplier!$E$3661:$E$3689)</f>
        <v>0</v>
      </c>
      <c r="Q16" s="1015">
        <f ca="1">SUMIF(Supplier!$A$3661:$E$3689,s!P16,Supplier!$E$3661:$E$3689)</f>
        <v>0</v>
      </c>
      <c r="R16" s="1014"/>
      <c r="S16" s="1014"/>
      <c r="T16" s="1014"/>
      <c r="U16" s="1014"/>
      <c r="V16" s="1014"/>
      <c r="W16" s="1014"/>
      <c r="X16" s="1014"/>
      <c r="Y16" s="1014"/>
      <c r="Z16" s="1014"/>
      <c r="AA16" s="1014"/>
      <c r="AB16" s="1014"/>
      <c r="AC16" s="1014"/>
      <c r="AD16" s="1014"/>
      <c r="AE16" s="1014"/>
      <c r="AF16" s="1014"/>
      <c r="AG16" s="1014"/>
      <c r="AH16" s="1014"/>
      <c r="AI16" s="1014"/>
      <c r="AJ16" s="1014"/>
    </row>
    <row r="17" spans="1:36" ht="26.25" x14ac:dyDescent="0.4">
      <c r="A17" s="1010" t="s">
        <v>10342</v>
      </c>
      <c r="B17" s="1015">
        <f>SUMIFS(Supplier!E3676:E3725,Supplier!C3676:C3725,s!A17,Supplier!B3676:B3725,s!$B$1)</f>
        <v>0</v>
      </c>
      <c r="C17" s="1015">
        <f>SUMIFS(Supplier!F3676:F3725,Supplier!D3676:D3725,s!B17,Supplier!C3676:C3725,s!$B$1)</f>
        <v>0</v>
      </c>
      <c r="D17" s="1015">
        <f>SUMIFS(Supplier!G3676:G3725,Supplier!E3676:E3725,s!C17,Supplier!D3676:D3725,s!$B$1)</f>
        <v>0</v>
      </c>
      <c r="E17" s="1015">
        <f>SUMIFS(Supplier!H3676:H3725,Supplier!F3676:F3725,s!D17,Supplier!E3676:E3725,s!$B$1)</f>
        <v>0</v>
      </c>
      <c r="F17" s="1015">
        <f>SUMIFS(Supplier!I3676:I3725,Supplier!G3676:G3725,s!E17,Supplier!F3676:F3725,s!$B$1)</f>
        <v>0</v>
      </c>
      <c r="G17" s="1015">
        <f>SUMIFS(Supplier!J3676:J3725,Supplier!H3676:H3725,s!F17,Supplier!G3676:G3725,s!$B$1)</f>
        <v>0</v>
      </c>
      <c r="H17" s="1015">
        <f ca="1">SUMIFS(Supplier!K3676:K3725,Supplier!I3676:I3725,s!G17,Supplier!H3676:H3725,s!$B$1)</f>
        <v>0</v>
      </c>
      <c r="I17" s="1015">
        <f ca="1">SUMIFS(Supplier!L3676:L3725,Supplier!J3676:J3725,s!H17,Supplier!I3676:I3725,s!$B$1)</f>
        <v>0</v>
      </c>
      <c r="J17" s="1015">
        <f ca="1">SUMIFS(Supplier!M3676:M3725,Supplier!K3676:K3725,s!I17,Supplier!J3676:J3725,s!$B$1)</f>
        <v>0</v>
      </c>
      <c r="K17" s="1015">
        <f ca="1">SUMIFS(Supplier!N3676:N3725,Supplier!L3676:L3725,s!J17,Supplier!K3676:K3725,s!$B$1)</f>
        <v>0</v>
      </c>
      <c r="L17" s="1014"/>
      <c r="M17" s="1014"/>
      <c r="N17" s="1014"/>
      <c r="O17" s="1014"/>
      <c r="P17" s="1014"/>
      <c r="Q17" s="1014"/>
      <c r="R17" s="1014"/>
      <c r="S17" s="1014"/>
      <c r="T17" s="1014"/>
      <c r="U17" s="1014"/>
      <c r="V17" s="1014"/>
      <c r="W17" s="1014"/>
      <c r="X17" s="1014"/>
      <c r="Y17" s="1014"/>
      <c r="Z17" s="1014"/>
      <c r="AA17" s="1014"/>
      <c r="AB17" s="1014"/>
      <c r="AC17" s="1014"/>
      <c r="AD17" s="1014"/>
      <c r="AE17" s="1014"/>
      <c r="AF17" s="1014"/>
      <c r="AG17" s="1014"/>
      <c r="AH17" s="1014"/>
      <c r="AI17" s="1014"/>
      <c r="AJ17" s="1014"/>
    </row>
    <row r="18" spans="1:36" ht="26.25" x14ac:dyDescent="0.4">
      <c r="A18" s="1010" t="s">
        <v>9615</v>
      </c>
      <c r="B18" s="1015">
        <f>SUMIFS(Supplier!E3684:E3726,Supplier!B3684:B3726,s!A18,Supplier!C3684:C3726,s!$B$1)</f>
        <v>0</v>
      </c>
      <c r="C18" s="700"/>
      <c r="D18" s="700"/>
      <c r="E18" s="1014"/>
      <c r="F18" s="1014"/>
      <c r="G18" s="1014"/>
      <c r="H18" s="1014"/>
      <c r="I18" s="1014"/>
      <c r="J18" s="1014"/>
      <c r="K18" s="1014"/>
      <c r="L18" s="1014"/>
      <c r="M18" s="1014"/>
      <c r="N18" s="1014"/>
      <c r="O18" s="1014"/>
      <c r="P18" s="1014"/>
      <c r="Q18" s="1014"/>
      <c r="R18" s="1014"/>
      <c r="S18" s="1014"/>
      <c r="T18" s="1014"/>
      <c r="U18" s="1014"/>
      <c r="V18" s="1014"/>
      <c r="W18" s="1014"/>
      <c r="X18" s="1014"/>
      <c r="Y18" s="1014"/>
      <c r="Z18" s="1014"/>
      <c r="AA18" s="1014"/>
      <c r="AB18" s="1014"/>
      <c r="AC18" s="1014"/>
      <c r="AD18" s="1014"/>
      <c r="AE18" s="1014"/>
      <c r="AF18" s="1014"/>
      <c r="AG18" s="1014"/>
      <c r="AH18" s="1014"/>
      <c r="AI18" s="1014"/>
      <c r="AJ18" s="1014"/>
    </row>
    <row r="19" spans="1:36" ht="26.25" x14ac:dyDescent="0.4">
      <c r="A19" s="1010" t="s">
        <v>10406</v>
      </c>
      <c r="B19" s="1015">
        <f>SUMIFS(Supplier!E3685:E3727,Supplier!B3685:B3727,s!A19,Supplier!C3685:C3727,s!$B$1)</f>
        <v>0</v>
      </c>
      <c r="C19" s="700"/>
      <c r="D19" s="700"/>
      <c r="E19" s="1014"/>
      <c r="F19" s="1014"/>
      <c r="G19" s="1014"/>
      <c r="H19" s="1014"/>
      <c r="I19" s="1014"/>
      <c r="J19" s="1014"/>
      <c r="K19" s="1014"/>
      <c r="L19" s="1014"/>
      <c r="M19" s="1014"/>
      <c r="N19" s="1014"/>
      <c r="O19" s="1014"/>
      <c r="P19" s="1014"/>
      <c r="Q19" s="1014"/>
      <c r="R19" s="1014"/>
      <c r="S19" s="1014"/>
      <c r="T19" s="1014"/>
      <c r="U19" s="1014"/>
      <c r="V19" s="1014"/>
      <c r="W19" s="1014"/>
      <c r="X19" s="1014"/>
      <c r="Y19" s="1014"/>
      <c r="Z19" s="1014"/>
      <c r="AA19" s="1014"/>
      <c r="AB19" s="1014"/>
      <c r="AC19" s="1014"/>
      <c r="AD19" s="1014"/>
      <c r="AE19" s="1014"/>
      <c r="AF19" s="1014"/>
      <c r="AG19" s="1014"/>
      <c r="AH19" s="1014"/>
      <c r="AI19" s="1014"/>
      <c r="AJ19" s="1014"/>
    </row>
    <row r="20" spans="1:36" ht="26.25" x14ac:dyDescent="0.4">
      <c r="A20" s="1010" t="s">
        <v>9754</v>
      </c>
      <c r="B20" s="1015">
        <f>SUMIFS(Supplier!E3686:E3730,Supplier!C3686:C3730,s!A20,Supplier!B3686:B3730,s!$B$1)</f>
        <v>0</v>
      </c>
      <c r="C20" s="700"/>
      <c r="D20" s="700"/>
      <c r="E20" s="1014"/>
      <c r="F20" s="1014"/>
      <c r="G20" s="1014"/>
      <c r="H20" s="1014"/>
      <c r="I20" s="1014"/>
      <c r="J20" s="1014"/>
      <c r="K20" s="1014"/>
      <c r="L20" s="1014"/>
      <c r="M20" s="1014"/>
      <c r="N20" s="1014"/>
      <c r="O20" s="1014"/>
      <c r="P20" s="1014"/>
      <c r="Q20" s="1014"/>
      <c r="R20" s="1014"/>
      <c r="S20" s="1014"/>
      <c r="T20" s="1014"/>
      <c r="U20" s="1014"/>
      <c r="V20" s="1014"/>
      <c r="W20" s="1014"/>
      <c r="X20" s="1014"/>
      <c r="Y20" s="1014"/>
      <c r="Z20" s="1014"/>
      <c r="AA20" s="1014"/>
      <c r="AB20" s="1014"/>
      <c r="AC20" s="1014"/>
      <c r="AD20" s="1014"/>
      <c r="AE20" s="1014"/>
      <c r="AF20" s="1014"/>
      <c r="AG20" s="1014"/>
      <c r="AH20" s="1014"/>
      <c r="AI20" s="1014"/>
      <c r="AJ20" s="1014"/>
    </row>
    <row r="21" spans="1:36" ht="26.25" x14ac:dyDescent="0.4">
      <c r="A21" s="1010" t="s">
        <v>10261</v>
      </c>
      <c r="B21" s="1015">
        <f>SUMIFS(Supplier!E3687:E3731,Supplier!C3687:C3731,s!A21,Supplier!B3687:B3731,s!$B$1)</f>
        <v>0</v>
      </c>
      <c r="C21" s="700"/>
      <c r="D21" s="700"/>
      <c r="E21" s="1014"/>
      <c r="F21" s="1014"/>
      <c r="G21" s="1014"/>
      <c r="H21" s="1014"/>
      <c r="I21" s="1014"/>
      <c r="J21" s="1014"/>
      <c r="K21" s="1014"/>
      <c r="L21" s="1014"/>
      <c r="M21" s="1014"/>
      <c r="N21" s="1014"/>
      <c r="O21" s="1014"/>
      <c r="P21" s="1014"/>
      <c r="Q21" s="1014"/>
      <c r="R21" s="1014"/>
      <c r="S21" s="1014"/>
      <c r="T21" s="1014"/>
      <c r="U21" s="1014"/>
      <c r="V21" s="1014"/>
      <c r="W21" s="1014"/>
      <c r="X21" s="1014"/>
      <c r="Y21" s="1014"/>
      <c r="Z21" s="1014"/>
      <c r="AA21" s="1014"/>
      <c r="AB21" s="1014"/>
      <c r="AC21" s="1014"/>
      <c r="AD21" s="1014"/>
      <c r="AE21" s="1014"/>
      <c r="AF21" s="1014"/>
      <c r="AG21" s="1014"/>
      <c r="AH21" s="1014"/>
      <c r="AI21" s="1014"/>
      <c r="AJ21" s="1014"/>
    </row>
    <row r="22" spans="1:36" ht="26.25" x14ac:dyDescent="0.4">
      <c r="A22" s="1010" t="s">
        <v>10606</v>
      </c>
      <c r="B22" s="1015">
        <f>SUMIFS(Supplier!E3688:E3732,Supplier!C3688:C3732,s!A22,Supplier!B3688:B3732,s!$B$1)</f>
        <v>0</v>
      </c>
      <c r="C22" s="700"/>
      <c r="D22" s="700"/>
      <c r="E22" s="1014"/>
      <c r="F22" s="1014"/>
      <c r="G22" s="1014"/>
      <c r="H22" s="1014"/>
      <c r="I22" s="1014"/>
      <c r="J22" s="1014"/>
      <c r="K22" s="1014"/>
      <c r="L22" s="1014"/>
      <c r="M22" s="1014"/>
      <c r="N22" s="1014"/>
      <c r="O22" s="1014"/>
      <c r="P22" s="1014"/>
      <c r="Q22" s="1014"/>
      <c r="R22" s="1014"/>
      <c r="S22" s="1014"/>
      <c r="T22" s="1014"/>
      <c r="U22" s="1014"/>
      <c r="V22" s="1014"/>
      <c r="W22" s="1014"/>
      <c r="X22" s="1014"/>
      <c r="Y22" s="1014"/>
      <c r="Z22" s="1014"/>
      <c r="AA22" s="1014"/>
      <c r="AB22" s="1014"/>
      <c r="AC22" s="1014"/>
      <c r="AD22" s="1014"/>
      <c r="AE22" s="1014"/>
      <c r="AF22" s="1014"/>
      <c r="AG22" s="1014"/>
      <c r="AH22" s="1014"/>
      <c r="AI22" s="1014"/>
      <c r="AJ22" s="1014"/>
    </row>
    <row r="23" spans="1:36" ht="26.25" x14ac:dyDescent="0.4">
      <c r="A23" s="1010" t="s">
        <v>10342</v>
      </c>
      <c r="B23" s="1015">
        <f>SUMIFS(Supplier!E3689:E3740,Supplier!C3689:C3740,s!A23,Supplier!B3689:B3740,s!$B$1)</f>
        <v>0</v>
      </c>
      <c r="C23" s="700"/>
      <c r="D23" s="700"/>
      <c r="E23" s="1014"/>
      <c r="F23" s="1014"/>
      <c r="G23" s="1014"/>
      <c r="H23" s="1014"/>
      <c r="I23" s="1014"/>
      <c r="J23" s="1014"/>
      <c r="K23" s="1014"/>
      <c r="L23" s="1014"/>
      <c r="M23" s="1014"/>
      <c r="N23" s="1014"/>
      <c r="O23" s="1014"/>
      <c r="P23" s="1014"/>
      <c r="Q23" s="1014"/>
      <c r="R23" s="1014"/>
      <c r="S23" s="1014"/>
      <c r="T23" s="1014"/>
      <c r="U23" s="1014"/>
      <c r="V23" s="1014"/>
      <c r="W23" s="1014"/>
      <c r="X23" s="1014"/>
      <c r="Y23" s="1014"/>
      <c r="Z23" s="1014"/>
      <c r="AA23" s="1014"/>
      <c r="AB23" s="1014"/>
      <c r="AC23" s="1014"/>
      <c r="AD23" s="1014"/>
      <c r="AE23" s="1014"/>
      <c r="AF23" s="1014"/>
      <c r="AG23" s="1014"/>
      <c r="AH23" s="1014"/>
      <c r="AI23" s="1014"/>
      <c r="AJ23" s="1014"/>
    </row>
    <row r="24" spans="1:36" ht="26.25" x14ac:dyDescent="0.4">
      <c r="A24" s="1010" t="s">
        <v>2281</v>
      </c>
      <c r="B24" s="1015">
        <f>SUMIFS(Supplier!E3695:E3745,Supplier!C3695:C3745,s!A24,Supplier!B3695:B3745,s!$B$1)</f>
        <v>0</v>
      </c>
      <c r="C24" s="700"/>
      <c r="D24" s="700"/>
      <c r="E24" s="1014"/>
      <c r="F24" s="1014"/>
      <c r="G24" s="1014"/>
      <c r="H24" s="1014"/>
      <c r="I24" s="1014"/>
      <c r="J24" s="1014"/>
      <c r="K24" s="1014"/>
      <c r="L24" s="1014"/>
      <c r="M24" s="1014"/>
      <c r="N24" s="1014"/>
      <c r="O24" s="1014"/>
      <c r="P24" s="1014"/>
      <c r="Q24" s="1014"/>
      <c r="R24" s="1014"/>
      <c r="S24" s="1014"/>
      <c r="T24" s="1014"/>
      <c r="U24" s="1014"/>
      <c r="V24" s="1014"/>
      <c r="W24" s="1014"/>
      <c r="X24" s="1014"/>
      <c r="Y24" s="1014"/>
      <c r="Z24" s="1014"/>
      <c r="AA24" s="1014"/>
      <c r="AB24" s="1014"/>
      <c r="AC24" s="1014"/>
      <c r="AD24" s="1014"/>
      <c r="AE24" s="1014"/>
      <c r="AF24" s="1014"/>
      <c r="AG24" s="1014"/>
      <c r="AH24" s="1014"/>
      <c r="AI24" s="1014"/>
      <c r="AJ24" s="1014"/>
    </row>
    <row r="25" spans="1:36" ht="26.25" x14ac:dyDescent="0.4">
      <c r="A25" s="1010" t="s">
        <v>162</v>
      </c>
      <c r="B25" s="1015">
        <f>SUMIFS(Supplier!E3698:E3745,Supplier!C3698:C3745,s!A25,Supplier!B3698:B3745,s!$B$1)</f>
        <v>0</v>
      </c>
      <c r="C25" s="700"/>
      <c r="D25" s="700"/>
      <c r="E25" s="1014"/>
      <c r="F25" s="1014"/>
      <c r="G25" s="1014"/>
      <c r="H25" s="1014"/>
      <c r="I25" s="1014"/>
      <c r="J25" s="1014"/>
      <c r="K25" s="1014"/>
      <c r="L25" s="1014"/>
      <c r="M25" s="1014"/>
      <c r="N25" s="1014"/>
      <c r="O25" s="1014"/>
      <c r="P25" s="1014"/>
      <c r="Q25" s="1014"/>
      <c r="R25" s="1014"/>
      <c r="S25" s="1014"/>
      <c r="T25" s="1014"/>
      <c r="U25" s="1014"/>
      <c r="V25" s="1014"/>
      <c r="W25" s="1014"/>
      <c r="X25" s="1014"/>
      <c r="Y25" s="1014"/>
      <c r="Z25" s="1014"/>
      <c r="AA25" s="1014"/>
      <c r="AB25" s="1014"/>
      <c r="AC25" s="1014"/>
      <c r="AD25" s="1014"/>
      <c r="AE25" s="1014"/>
      <c r="AF25" s="1014"/>
      <c r="AG25" s="1014"/>
      <c r="AH25" s="1014"/>
      <c r="AI25" s="1014"/>
      <c r="AJ25" s="1014"/>
    </row>
    <row r="26" spans="1:36" ht="26.25" x14ac:dyDescent="0.4">
      <c r="A26" s="1010" t="s">
        <v>7943</v>
      </c>
      <c r="B26" s="1015">
        <f>SUMIFS(Supplier!E3699:E3746,Supplier!C3699:C3746,s!A26,Supplier!B3699:B3746,s!$B$1)</f>
        <v>0</v>
      </c>
      <c r="C26" s="700"/>
      <c r="D26" s="700"/>
      <c r="E26" s="1014"/>
      <c r="F26" s="1014"/>
      <c r="G26" s="1014"/>
      <c r="H26" s="1014"/>
      <c r="I26" s="1014"/>
      <c r="J26" s="1014"/>
      <c r="K26" s="1014"/>
      <c r="L26" s="1014"/>
      <c r="M26" s="1014"/>
      <c r="N26" s="1014"/>
      <c r="O26" s="1014"/>
      <c r="P26" s="1014"/>
      <c r="Q26" s="1014"/>
      <c r="R26" s="1014"/>
      <c r="S26" s="1014"/>
      <c r="T26" s="1014"/>
      <c r="U26" s="1014"/>
      <c r="V26" s="1014"/>
      <c r="W26" s="1014"/>
      <c r="X26" s="1014"/>
      <c r="Y26" s="1014"/>
      <c r="Z26" s="1014"/>
      <c r="AA26" s="1014"/>
      <c r="AB26" s="1014"/>
      <c r="AC26" s="1014"/>
      <c r="AD26" s="1014"/>
      <c r="AE26" s="1014"/>
      <c r="AF26" s="1014"/>
      <c r="AG26" s="1014"/>
      <c r="AH26" s="1014"/>
      <c r="AI26" s="1014"/>
      <c r="AJ26" s="1014"/>
    </row>
    <row r="27" spans="1:36" ht="26.25" x14ac:dyDescent="0.4">
      <c r="A27" s="1010" t="s">
        <v>5113</v>
      </c>
      <c r="B27" s="1015">
        <f>SUMIFS(Supplier!E3700:E3752,Supplier!C3700:C3752,s!A27,Supplier!B3700:B3752,s!$B$1)</f>
        <v>0</v>
      </c>
      <c r="C27" s="700"/>
      <c r="D27" s="700"/>
      <c r="E27" s="1014"/>
      <c r="F27" s="1014"/>
      <c r="G27" s="1014"/>
      <c r="H27" s="1014"/>
      <c r="I27" s="1014"/>
      <c r="J27" s="1014"/>
      <c r="K27" s="1014"/>
      <c r="L27" s="1014"/>
      <c r="M27" s="1014"/>
      <c r="N27" s="1014"/>
      <c r="O27" s="1014"/>
      <c r="P27" s="1014"/>
      <c r="Q27" s="1014"/>
      <c r="R27" s="1014"/>
      <c r="S27" s="1014"/>
      <c r="T27" s="1014"/>
      <c r="U27" s="1014"/>
      <c r="V27" s="1014"/>
      <c r="W27" s="1014"/>
      <c r="X27" s="1014"/>
      <c r="Y27" s="1014"/>
      <c r="Z27" s="1014"/>
      <c r="AA27" s="1014"/>
      <c r="AB27" s="1014"/>
      <c r="AC27" s="1014"/>
      <c r="AD27" s="1014"/>
      <c r="AE27" s="1014"/>
      <c r="AF27" s="1014"/>
      <c r="AG27" s="1014"/>
      <c r="AH27" s="1014"/>
      <c r="AI27" s="1014"/>
      <c r="AJ27" s="1014"/>
    </row>
    <row r="28" spans="1:36" ht="26.25" x14ac:dyDescent="0.4">
      <c r="A28" s="1010" t="s">
        <v>8301</v>
      </c>
      <c r="B28" s="1015">
        <f>SUMIFS(Supplier!E3701:E3755,Supplier!C3701:C3755,s!A28,Supplier!B3701:B3755,s!$B$1)</f>
        <v>0</v>
      </c>
      <c r="C28" s="700"/>
      <c r="D28" s="700"/>
      <c r="E28" s="1014"/>
      <c r="F28" s="1014"/>
      <c r="G28" s="1014"/>
      <c r="H28" s="1014"/>
      <c r="I28" s="1014"/>
      <c r="J28" s="1014"/>
      <c r="K28" s="1014"/>
      <c r="L28" s="1014"/>
      <c r="M28" s="1014"/>
      <c r="N28" s="1014"/>
      <c r="O28" s="1014"/>
      <c r="P28" s="1014"/>
      <c r="Q28" s="1014"/>
      <c r="R28" s="1014"/>
      <c r="S28" s="1014"/>
      <c r="T28" s="1014"/>
      <c r="U28" s="1014"/>
      <c r="V28" s="1014"/>
      <c r="W28" s="1014"/>
      <c r="X28" s="1014"/>
      <c r="Y28" s="1014"/>
      <c r="Z28" s="1014"/>
      <c r="AA28" s="1014"/>
      <c r="AB28" s="1014"/>
      <c r="AC28" s="1014"/>
      <c r="AD28" s="1014"/>
      <c r="AE28" s="1014"/>
      <c r="AF28" s="1014"/>
      <c r="AG28" s="1014"/>
      <c r="AH28" s="1014"/>
      <c r="AI28" s="1014"/>
      <c r="AJ28" s="1014"/>
    </row>
    <row r="29" spans="1:36" ht="26.25" x14ac:dyDescent="0.4">
      <c r="A29" s="1010" t="s">
        <v>8803</v>
      </c>
      <c r="B29" s="1015">
        <f>SUMIFS(Supplier!E3702:E3756,Supplier!C3702:C3756,s!A29,Supplier!B3702:B3756,s!$B$1)</f>
        <v>0</v>
      </c>
      <c r="C29" s="700"/>
      <c r="D29" s="700"/>
      <c r="E29" s="1014"/>
      <c r="F29" s="1014"/>
      <c r="G29" s="1014"/>
      <c r="H29" s="1014"/>
      <c r="I29" s="1014"/>
      <c r="J29" s="1014"/>
      <c r="K29" s="1014"/>
      <c r="L29" s="1014"/>
      <c r="M29" s="1014"/>
      <c r="N29" s="1014"/>
      <c r="O29" s="1014"/>
      <c r="P29" s="1014"/>
      <c r="Q29" s="1014"/>
      <c r="R29" s="1014"/>
      <c r="S29" s="1014"/>
      <c r="T29" s="1014"/>
      <c r="U29" s="1014"/>
      <c r="V29" s="1014"/>
      <c r="W29" s="1014"/>
      <c r="X29" s="1014"/>
      <c r="Y29" s="1014"/>
      <c r="Z29" s="1014"/>
      <c r="AA29" s="1014"/>
      <c r="AB29" s="1014"/>
      <c r="AC29" s="1014"/>
      <c r="AD29" s="1014"/>
      <c r="AE29" s="1014"/>
      <c r="AF29" s="1014"/>
      <c r="AG29" s="1014"/>
      <c r="AH29" s="1014"/>
      <c r="AI29" s="1014"/>
      <c r="AJ29" s="1014"/>
    </row>
    <row r="30" spans="1:36" ht="26.25" x14ac:dyDescent="0.4">
      <c r="A30" s="1010" t="s">
        <v>7634</v>
      </c>
      <c r="B30" s="1015">
        <f>SUMIFS(Supplier!E3703:E3773,Supplier!C3703:C3773,s!A30,Supplier!B3703:B3773,s!$B$1)</f>
        <v>0</v>
      </c>
      <c r="C30" s="700"/>
      <c r="D30" s="700"/>
      <c r="E30" s="1014"/>
      <c r="F30" s="1014"/>
      <c r="G30" s="1014"/>
      <c r="H30" s="1014"/>
      <c r="I30" s="1014"/>
      <c r="J30" s="1014"/>
      <c r="K30" s="1014"/>
      <c r="L30" s="1014"/>
      <c r="M30" s="1014"/>
      <c r="N30" s="1014"/>
      <c r="O30" s="1014"/>
      <c r="P30" s="1014"/>
      <c r="Q30" s="1014"/>
      <c r="R30" s="1014"/>
      <c r="S30" s="1014"/>
      <c r="T30" s="1014"/>
      <c r="U30" s="1014"/>
      <c r="V30" s="1014"/>
      <c r="W30" s="1014"/>
      <c r="X30" s="1014"/>
      <c r="Y30" s="1014"/>
      <c r="Z30" s="1014"/>
      <c r="AA30" s="1014"/>
      <c r="AB30" s="1014"/>
      <c r="AC30" s="1014"/>
      <c r="AD30" s="1014"/>
      <c r="AE30" s="1014"/>
      <c r="AF30" s="1014"/>
      <c r="AG30" s="1014"/>
      <c r="AH30" s="1014"/>
      <c r="AI30" s="1014"/>
      <c r="AJ30" s="1014"/>
    </row>
    <row r="31" spans="1:36" ht="26.25" x14ac:dyDescent="0.4">
      <c r="A31" s="1010" t="s">
        <v>7854</v>
      </c>
      <c r="B31" s="1015">
        <f>SUMIFS(Supplier!E3704:E3774,Supplier!C3704:C3774,s!A31,Supplier!B3704:B3774,s!$B$1)</f>
        <v>0</v>
      </c>
      <c r="C31" s="700"/>
      <c r="D31" s="700"/>
      <c r="E31" s="1014"/>
      <c r="F31" s="1014"/>
      <c r="G31" s="1014"/>
      <c r="H31" s="1014"/>
      <c r="I31" s="1014"/>
      <c r="J31" s="1014"/>
      <c r="K31" s="1014"/>
      <c r="L31" s="1014"/>
      <c r="M31" s="1014"/>
      <c r="N31" s="1014"/>
      <c r="O31" s="1014"/>
      <c r="P31" s="1014"/>
      <c r="Q31" s="1014"/>
      <c r="R31" s="1014"/>
      <c r="S31" s="1014"/>
      <c r="T31" s="1014"/>
      <c r="U31" s="1014"/>
      <c r="V31" s="1014"/>
      <c r="W31" s="1014"/>
      <c r="X31" s="1014"/>
      <c r="Y31" s="1014"/>
      <c r="Z31" s="1014"/>
      <c r="AA31" s="1014"/>
      <c r="AB31" s="1014"/>
      <c r="AC31" s="1014"/>
      <c r="AD31" s="1014"/>
      <c r="AE31" s="1014"/>
      <c r="AF31" s="1014"/>
      <c r="AG31" s="1014"/>
      <c r="AH31" s="1014"/>
      <c r="AI31" s="1014"/>
      <c r="AJ31" s="1014"/>
    </row>
    <row r="32" spans="1:36" ht="26.25" x14ac:dyDescent="0.4">
      <c r="A32" s="1010" t="s">
        <v>7587</v>
      </c>
      <c r="B32" s="700"/>
      <c r="C32" s="700"/>
      <c r="D32" s="700"/>
      <c r="E32" s="1014"/>
      <c r="F32" s="1014"/>
      <c r="G32" s="1014"/>
      <c r="H32" s="1014"/>
      <c r="I32" s="1014"/>
      <c r="J32" s="1014"/>
      <c r="K32" s="1014"/>
      <c r="L32" s="1014"/>
      <c r="M32" s="1014"/>
      <c r="N32" s="1014"/>
      <c r="O32" s="1014"/>
      <c r="P32" s="1014"/>
      <c r="Q32" s="1014"/>
      <c r="R32" s="1014"/>
      <c r="S32" s="1014"/>
      <c r="T32" s="1014"/>
      <c r="U32" s="1014"/>
      <c r="V32" s="1014"/>
      <c r="W32" s="1014"/>
      <c r="X32" s="1014"/>
      <c r="Y32" s="1014"/>
      <c r="Z32" s="1014"/>
      <c r="AA32" s="1014"/>
      <c r="AB32" s="1014"/>
      <c r="AC32" s="1014"/>
      <c r="AD32" s="1014"/>
      <c r="AE32" s="1014"/>
      <c r="AF32" s="1014"/>
      <c r="AG32" s="1014"/>
      <c r="AH32" s="1014"/>
      <c r="AI32" s="1014"/>
      <c r="AJ32" s="1014"/>
    </row>
    <row r="33" spans="1:36" ht="26.25" x14ac:dyDescent="0.4">
      <c r="A33" s="1010" t="s">
        <v>3255</v>
      </c>
      <c r="B33" s="700"/>
      <c r="C33" s="700"/>
      <c r="D33" s="700"/>
      <c r="E33" s="1014"/>
      <c r="F33" s="1014"/>
      <c r="G33" s="1014"/>
      <c r="H33" s="1014"/>
      <c r="I33" s="1014"/>
      <c r="J33" s="1014"/>
      <c r="K33" s="1014"/>
      <c r="L33" s="1014"/>
      <c r="M33" s="1014"/>
      <c r="N33" s="1014"/>
      <c r="O33" s="1014"/>
      <c r="P33" s="1014"/>
      <c r="Q33" s="1014"/>
      <c r="R33" s="1014"/>
      <c r="S33" s="1014"/>
      <c r="T33" s="1014"/>
      <c r="U33" s="1014"/>
      <c r="V33" s="1014"/>
      <c r="W33" s="1014"/>
      <c r="X33" s="1014"/>
      <c r="Y33" s="1014"/>
      <c r="Z33" s="1014"/>
      <c r="AA33" s="1014"/>
      <c r="AB33" s="1014"/>
      <c r="AC33" s="1014"/>
      <c r="AD33" s="1014"/>
      <c r="AE33" s="1014"/>
      <c r="AF33" s="1014"/>
      <c r="AG33" s="1014"/>
      <c r="AH33" s="1014"/>
      <c r="AI33" s="1014"/>
      <c r="AJ33" s="1014"/>
    </row>
    <row r="34" spans="1:36" ht="26.25" x14ac:dyDescent="0.4">
      <c r="A34" s="1010" t="s">
        <v>7828</v>
      </c>
      <c r="B34" s="700"/>
      <c r="C34" s="700"/>
      <c r="D34" s="700"/>
      <c r="E34" s="1014"/>
      <c r="F34" s="1014"/>
      <c r="G34" s="1014"/>
      <c r="H34" s="1014"/>
      <c r="I34" s="1014"/>
      <c r="J34" s="1014"/>
      <c r="K34" s="1014"/>
      <c r="L34" s="1014"/>
      <c r="M34" s="1014"/>
      <c r="N34" s="1014"/>
      <c r="O34" s="1014"/>
      <c r="P34" s="1014"/>
      <c r="Q34" s="1014"/>
      <c r="R34" s="1014"/>
      <c r="S34" s="1014"/>
      <c r="T34" s="1014"/>
      <c r="U34" s="1014"/>
      <c r="V34" s="1014"/>
      <c r="W34" s="1014"/>
      <c r="X34" s="1014"/>
      <c r="Y34" s="1014"/>
      <c r="Z34" s="1014"/>
      <c r="AA34" s="1014"/>
      <c r="AB34" s="1014"/>
      <c r="AC34" s="1014"/>
      <c r="AD34" s="1014"/>
      <c r="AE34" s="1014"/>
      <c r="AF34" s="1014"/>
      <c r="AG34" s="1014"/>
      <c r="AH34" s="1014"/>
      <c r="AI34" s="1014"/>
      <c r="AJ34" s="1014"/>
    </row>
    <row r="35" spans="1:36" ht="26.25" x14ac:dyDescent="0.4">
      <c r="A35" s="1010" t="s">
        <v>6868</v>
      </c>
      <c r="B35" s="700"/>
      <c r="C35" s="700"/>
      <c r="D35" s="700"/>
      <c r="E35" s="1014"/>
      <c r="F35" s="1014"/>
      <c r="G35" s="1014"/>
      <c r="H35" s="1014"/>
      <c r="I35" s="1014"/>
      <c r="J35" s="1014"/>
      <c r="K35" s="1014"/>
      <c r="L35" s="1014"/>
      <c r="M35" s="1014"/>
      <c r="N35" s="1014"/>
      <c r="O35" s="1014"/>
      <c r="P35" s="1014"/>
      <c r="Q35" s="1014"/>
      <c r="R35" s="1014"/>
      <c r="S35" s="1014"/>
      <c r="T35" s="1014"/>
      <c r="U35" s="1014"/>
      <c r="V35" s="1014"/>
      <c r="W35" s="1014"/>
      <c r="X35" s="1014"/>
      <c r="Y35" s="1014"/>
      <c r="Z35" s="1014"/>
      <c r="AA35" s="1014"/>
      <c r="AB35" s="1014"/>
      <c r="AC35" s="1014"/>
      <c r="AD35" s="1014"/>
      <c r="AE35" s="1014"/>
      <c r="AF35" s="1014"/>
      <c r="AG35" s="1014"/>
      <c r="AH35" s="1014"/>
      <c r="AI35" s="1014"/>
      <c r="AJ35" s="1014"/>
    </row>
    <row r="36" spans="1:36" ht="26.25" x14ac:dyDescent="0.4">
      <c r="A36" s="1010" t="s">
        <v>1535</v>
      </c>
      <c r="B36" s="700"/>
      <c r="C36" s="700"/>
      <c r="D36" s="700"/>
      <c r="E36" s="1014"/>
      <c r="F36" s="1014"/>
      <c r="G36" s="1014"/>
      <c r="H36" s="1014"/>
      <c r="I36" s="1014"/>
      <c r="J36" s="1014"/>
      <c r="K36" s="1014"/>
      <c r="L36" s="1014"/>
      <c r="M36" s="1014"/>
      <c r="N36" s="1014"/>
      <c r="O36" s="1014"/>
      <c r="P36" s="1014"/>
      <c r="Q36" s="1014"/>
      <c r="R36" s="1014"/>
      <c r="S36" s="1014"/>
      <c r="T36" s="1014"/>
      <c r="U36" s="1014"/>
      <c r="V36" s="1014"/>
      <c r="W36" s="1014"/>
      <c r="X36" s="1014"/>
      <c r="Y36" s="1014"/>
      <c r="Z36" s="1014"/>
      <c r="AA36" s="1014"/>
      <c r="AB36" s="1014"/>
      <c r="AC36" s="1014"/>
      <c r="AD36" s="1014"/>
      <c r="AE36" s="1014"/>
      <c r="AF36" s="1014"/>
      <c r="AG36" s="1014"/>
      <c r="AH36" s="1014"/>
      <c r="AI36" s="1014"/>
      <c r="AJ36" s="1014"/>
    </row>
    <row r="37" spans="1:36" ht="26.25" x14ac:dyDescent="0.4">
      <c r="A37" s="1010" t="s">
        <v>3738</v>
      </c>
      <c r="B37" s="700"/>
      <c r="C37" s="700"/>
      <c r="D37" s="700"/>
      <c r="E37" s="1014"/>
      <c r="F37" s="1014"/>
      <c r="G37" s="1014"/>
      <c r="H37" s="1014"/>
      <c r="I37" s="1014"/>
      <c r="J37" s="1014"/>
      <c r="K37" s="1014"/>
      <c r="L37" s="1014"/>
      <c r="M37" s="1014"/>
      <c r="N37" s="1014"/>
      <c r="O37" s="1014"/>
      <c r="P37" s="1014"/>
      <c r="Q37" s="1014"/>
      <c r="R37" s="1014"/>
      <c r="S37" s="1014"/>
      <c r="T37" s="1014"/>
      <c r="U37" s="1014"/>
      <c r="V37" s="1014"/>
      <c r="W37" s="1014"/>
      <c r="X37" s="1014"/>
      <c r="Y37" s="1014"/>
      <c r="Z37" s="1014"/>
      <c r="AA37" s="1014"/>
      <c r="AB37" s="1014"/>
      <c r="AC37" s="1014"/>
      <c r="AD37" s="1014"/>
      <c r="AE37" s="1014"/>
      <c r="AF37" s="1014"/>
      <c r="AG37" s="1014"/>
      <c r="AH37" s="1014"/>
      <c r="AI37" s="1014"/>
      <c r="AJ37" s="1014"/>
    </row>
    <row r="38" spans="1:36" ht="26.25" x14ac:dyDescent="0.4">
      <c r="A38" s="1010" t="s">
        <v>8033</v>
      </c>
      <c r="B38" s="700"/>
      <c r="C38" s="700"/>
      <c r="D38" s="700"/>
      <c r="E38" s="1014"/>
      <c r="F38" s="1014"/>
      <c r="G38" s="1014"/>
      <c r="H38" s="1014"/>
      <c r="I38" s="1014"/>
      <c r="J38" s="1014"/>
      <c r="K38" s="1014"/>
      <c r="L38" s="1014"/>
      <c r="M38" s="1014"/>
      <c r="N38" s="1014"/>
      <c r="O38" s="1014"/>
      <c r="P38" s="1014"/>
      <c r="Q38" s="1014"/>
      <c r="R38" s="1014"/>
      <c r="S38" s="1014"/>
      <c r="T38" s="1014"/>
      <c r="U38" s="1014"/>
      <c r="V38" s="1014"/>
      <c r="W38" s="1014"/>
      <c r="X38" s="1014"/>
      <c r="Y38" s="1014"/>
      <c r="Z38" s="1014"/>
      <c r="AA38" s="1014"/>
      <c r="AB38" s="1014"/>
      <c r="AC38" s="1014"/>
      <c r="AD38" s="1014"/>
      <c r="AE38" s="1014"/>
      <c r="AF38" s="1014"/>
      <c r="AG38" s="1014"/>
      <c r="AH38" s="1014"/>
      <c r="AI38" s="1014"/>
      <c r="AJ38" s="1014"/>
    </row>
    <row r="39" spans="1:36" ht="26.25" x14ac:dyDescent="0.4">
      <c r="A39" s="1010" t="s">
        <v>3696</v>
      </c>
      <c r="B39" s="700"/>
      <c r="C39" s="700"/>
      <c r="D39" s="700"/>
      <c r="E39" s="1014"/>
      <c r="F39" s="1014"/>
      <c r="G39" s="1014"/>
      <c r="H39" s="1014"/>
      <c r="I39" s="1014"/>
      <c r="J39" s="1014"/>
      <c r="K39" s="1014"/>
      <c r="L39" s="1014"/>
      <c r="M39" s="1014"/>
      <c r="N39" s="1014"/>
      <c r="O39" s="1014"/>
      <c r="P39" s="1014"/>
      <c r="Q39" s="1014"/>
      <c r="R39" s="1014"/>
      <c r="S39" s="1014"/>
      <c r="T39" s="1014"/>
      <c r="U39" s="1014"/>
      <c r="V39" s="1014"/>
      <c r="W39" s="1014"/>
      <c r="X39" s="1014"/>
      <c r="Y39" s="1014"/>
      <c r="Z39" s="1014"/>
      <c r="AA39" s="1014"/>
      <c r="AB39" s="1014"/>
      <c r="AC39" s="1014"/>
      <c r="AD39" s="1014"/>
      <c r="AE39" s="1014"/>
      <c r="AF39" s="1014"/>
      <c r="AG39" s="1014"/>
      <c r="AH39" s="1014"/>
      <c r="AI39" s="1014"/>
      <c r="AJ39" s="1014"/>
    </row>
    <row r="40" spans="1:36" ht="26.25" x14ac:dyDescent="0.4">
      <c r="A40" s="1010" t="s">
        <v>8329</v>
      </c>
      <c r="B40" s="700"/>
      <c r="C40" s="700"/>
      <c r="D40" s="700"/>
      <c r="E40" s="1014"/>
      <c r="F40" s="1014"/>
      <c r="G40" s="1014"/>
      <c r="H40" s="1014"/>
      <c r="I40" s="1014"/>
      <c r="J40" s="1014"/>
      <c r="K40" s="1014"/>
      <c r="L40" s="1014"/>
      <c r="M40" s="1014"/>
      <c r="N40" s="1014"/>
      <c r="O40" s="1014"/>
      <c r="P40" s="1014"/>
      <c r="Q40" s="1014"/>
      <c r="R40" s="1014"/>
      <c r="S40" s="1014"/>
      <c r="T40" s="1014"/>
      <c r="U40" s="1014"/>
      <c r="V40" s="1014"/>
      <c r="W40" s="1014"/>
      <c r="X40" s="1014"/>
      <c r="Y40" s="1014"/>
      <c r="Z40" s="1014"/>
      <c r="AA40" s="1014"/>
      <c r="AB40" s="1014"/>
      <c r="AC40" s="1014"/>
      <c r="AD40" s="1014"/>
      <c r="AE40" s="1014"/>
      <c r="AF40" s="1014"/>
      <c r="AG40" s="1014"/>
      <c r="AH40" s="1014"/>
      <c r="AI40" s="1014"/>
      <c r="AJ40" s="1014"/>
    </row>
    <row r="41" spans="1:36" ht="26.25" x14ac:dyDescent="0.4">
      <c r="A41" s="1010" t="s">
        <v>2609</v>
      </c>
      <c r="B41" s="700"/>
      <c r="C41" s="700"/>
      <c r="D41" s="700"/>
      <c r="E41" s="1014"/>
      <c r="F41" s="1014"/>
      <c r="G41" s="1014"/>
      <c r="H41" s="1014"/>
      <c r="I41" s="1014"/>
      <c r="J41" s="1014"/>
      <c r="K41" s="1014"/>
      <c r="L41" s="1014"/>
      <c r="M41" s="1014"/>
      <c r="N41" s="1014"/>
      <c r="O41" s="1014"/>
      <c r="P41" s="1014"/>
      <c r="Q41" s="1014"/>
      <c r="R41" s="1014"/>
      <c r="S41" s="1014"/>
      <c r="T41" s="1014"/>
      <c r="U41" s="1014"/>
      <c r="V41" s="1014"/>
      <c r="W41" s="1014"/>
      <c r="X41" s="1014"/>
      <c r="Y41" s="1014"/>
      <c r="Z41" s="1014"/>
      <c r="AA41" s="1014"/>
      <c r="AB41" s="1014"/>
      <c r="AC41" s="1014"/>
      <c r="AD41" s="1014"/>
      <c r="AE41" s="1014"/>
      <c r="AF41" s="1014"/>
      <c r="AG41" s="1014"/>
      <c r="AH41" s="1014"/>
      <c r="AI41" s="1014"/>
      <c r="AJ41" s="1014"/>
    </row>
    <row r="42" spans="1:36" ht="26.25" x14ac:dyDescent="0.4">
      <c r="A42" s="1010" t="s">
        <v>8477</v>
      </c>
      <c r="B42" s="700"/>
      <c r="C42" s="700"/>
      <c r="D42" s="700"/>
      <c r="E42" s="1014"/>
      <c r="F42" s="1014"/>
      <c r="G42" s="1014"/>
      <c r="H42" s="1014"/>
      <c r="I42" s="1014"/>
      <c r="J42" s="1014"/>
      <c r="K42" s="1014"/>
      <c r="L42" s="1014"/>
      <c r="M42" s="1014"/>
      <c r="N42" s="1014"/>
      <c r="O42" s="1014"/>
      <c r="P42" s="1014"/>
      <c r="Q42" s="1014"/>
      <c r="R42" s="1014"/>
      <c r="S42" s="1014"/>
      <c r="T42" s="1014"/>
      <c r="U42" s="1014"/>
      <c r="V42" s="1014"/>
      <c r="W42" s="1014"/>
      <c r="X42" s="1014"/>
      <c r="Y42" s="1014"/>
      <c r="Z42" s="1014"/>
      <c r="AA42" s="1014"/>
      <c r="AB42" s="1014"/>
      <c r="AC42" s="1014"/>
      <c r="AD42" s="1014"/>
      <c r="AE42" s="1014"/>
      <c r="AF42" s="1014"/>
      <c r="AG42" s="1014"/>
      <c r="AH42" s="1014"/>
      <c r="AI42" s="1014"/>
      <c r="AJ42" s="1014"/>
    </row>
    <row r="43" spans="1:36" ht="26.25" x14ac:dyDescent="0.4">
      <c r="A43" s="1010" t="s">
        <v>8479</v>
      </c>
      <c r="B43" s="700"/>
      <c r="C43" s="700"/>
      <c r="D43" s="700"/>
      <c r="E43" s="1014"/>
      <c r="F43" s="1014"/>
      <c r="G43" s="1014"/>
      <c r="H43" s="1014"/>
      <c r="I43" s="1014"/>
      <c r="J43" s="1014"/>
      <c r="K43" s="1014"/>
      <c r="L43" s="1014"/>
      <c r="M43" s="1014"/>
      <c r="N43" s="1014"/>
      <c r="O43" s="1014"/>
      <c r="P43" s="1014"/>
      <c r="Q43" s="1014"/>
      <c r="R43" s="1014"/>
      <c r="S43" s="1014"/>
      <c r="T43" s="1014"/>
      <c r="U43" s="1014"/>
      <c r="V43" s="1014"/>
      <c r="W43" s="1014"/>
      <c r="X43" s="1014"/>
      <c r="Y43" s="1014"/>
      <c r="Z43" s="1014"/>
      <c r="AA43" s="1014"/>
      <c r="AB43" s="1014"/>
      <c r="AC43" s="1014"/>
      <c r="AD43" s="1014"/>
      <c r="AE43" s="1014"/>
      <c r="AF43" s="1014"/>
      <c r="AG43" s="1014"/>
      <c r="AH43" s="1014"/>
      <c r="AI43" s="1014"/>
      <c r="AJ43" s="1014"/>
    </row>
    <row r="44" spans="1:36" ht="26.25" x14ac:dyDescent="0.4">
      <c r="A44" s="1010" t="s">
        <v>4445</v>
      </c>
      <c r="B44" s="700"/>
      <c r="C44" s="700"/>
      <c r="D44" s="700"/>
      <c r="E44" s="1014"/>
      <c r="F44" s="1014"/>
      <c r="G44" s="1014"/>
      <c r="H44" s="1014"/>
      <c r="I44" s="1014"/>
      <c r="J44" s="1014"/>
      <c r="K44" s="1014"/>
      <c r="L44" s="1014"/>
      <c r="M44" s="1014"/>
      <c r="N44" s="1014"/>
      <c r="O44" s="1014"/>
      <c r="P44" s="1014"/>
      <c r="Q44" s="1014"/>
      <c r="R44" s="1014"/>
      <c r="S44" s="1014"/>
      <c r="T44" s="1014"/>
      <c r="U44" s="1014"/>
      <c r="V44" s="1014"/>
      <c r="W44" s="1014"/>
      <c r="X44" s="1014"/>
      <c r="Y44" s="1014"/>
      <c r="Z44" s="1014"/>
      <c r="AA44" s="1014"/>
      <c r="AB44" s="1014"/>
      <c r="AC44" s="1014"/>
      <c r="AD44" s="1014"/>
      <c r="AE44" s="1014"/>
      <c r="AF44" s="1014"/>
      <c r="AG44" s="1014"/>
      <c r="AH44" s="1014"/>
      <c r="AI44" s="1014"/>
      <c r="AJ44" s="1014"/>
    </row>
    <row r="45" spans="1:36" ht="26.25" x14ac:dyDescent="0.4">
      <c r="A45" s="1010" t="s">
        <v>7560</v>
      </c>
      <c r="B45" s="700"/>
      <c r="C45" s="700"/>
      <c r="D45" s="700"/>
      <c r="E45" s="1014"/>
      <c r="F45" s="1014"/>
      <c r="G45" s="1014"/>
      <c r="H45" s="1014"/>
      <c r="I45" s="1014"/>
      <c r="J45" s="1014"/>
      <c r="K45" s="1014"/>
      <c r="L45" s="1014"/>
      <c r="M45" s="1014"/>
      <c r="N45" s="1014"/>
      <c r="O45" s="1014"/>
      <c r="P45" s="1014"/>
      <c r="Q45" s="1014"/>
      <c r="R45" s="1014"/>
      <c r="S45" s="1014"/>
      <c r="T45" s="1014"/>
      <c r="U45" s="1014"/>
      <c r="V45" s="1014"/>
      <c r="W45" s="1014"/>
      <c r="X45" s="1014"/>
      <c r="Y45" s="1014"/>
      <c r="Z45" s="1014"/>
      <c r="AA45" s="1014"/>
      <c r="AB45" s="1014"/>
      <c r="AC45" s="1014"/>
      <c r="AD45" s="1014"/>
      <c r="AE45" s="1014"/>
      <c r="AF45" s="1014"/>
      <c r="AG45" s="1014"/>
      <c r="AH45" s="1014"/>
      <c r="AI45" s="1014"/>
      <c r="AJ45" s="1014"/>
    </row>
    <row r="46" spans="1:36" ht="26.25" x14ac:dyDescent="0.4">
      <c r="A46" s="1010" t="s">
        <v>7246</v>
      </c>
      <c r="B46" s="700"/>
      <c r="C46" s="700"/>
      <c r="D46" s="700"/>
      <c r="E46" s="1014"/>
      <c r="F46" s="1014"/>
      <c r="G46" s="1014"/>
      <c r="H46" s="1014"/>
      <c r="I46" s="1014"/>
      <c r="J46" s="1014"/>
      <c r="K46" s="1014"/>
      <c r="L46" s="1014"/>
      <c r="M46" s="1014"/>
      <c r="N46" s="1014"/>
      <c r="O46" s="1014"/>
      <c r="P46" s="1014"/>
      <c r="Q46" s="1014"/>
      <c r="R46" s="1014"/>
      <c r="S46" s="1014"/>
      <c r="T46" s="1014"/>
      <c r="U46" s="1014"/>
      <c r="V46" s="1014"/>
      <c r="W46" s="1014"/>
      <c r="X46" s="1014"/>
      <c r="Y46" s="1014"/>
      <c r="Z46" s="1014"/>
      <c r="AA46" s="1014"/>
      <c r="AB46" s="1014"/>
      <c r="AC46" s="1014"/>
      <c r="AD46" s="1014"/>
      <c r="AE46" s="1014"/>
      <c r="AF46" s="1014"/>
      <c r="AG46" s="1014"/>
      <c r="AH46" s="1014"/>
      <c r="AI46" s="1014"/>
      <c r="AJ46" s="1014"/>
    </row>
    <row r="47" spans="1:36" ht="26.25" x14ac:dyDescent="0.4">
      <c r="A47" s="1010" t="s">
        <v>7248</v>
      </c>
      <c r="B47" s="700"/>
      <c r="C47" s="700"/>
      <c r="D47" s="700"/>
      <c r="E47" s="1014"/>
      <c r="F47" s="1014"/>
      <c r="G47" s="1014"/>
      <c r="H47" s="1014"/>
      <c r="I47" s="1014"/>
      <c r="J47" s="1014"/>
      <c r="K47" s="1014"/>
      <c r="L47" s="1014"/>
      <c r="M47" s="1014"/>
      <c r="N47" s="1014"/>
      <c r="O47" s="1014"/>
      <c r="P47" s="1014"/>
      <c r="Q47" s="1014"/>
      <c r="R47" s="1014"/>
      <c r="S47" s="1014"/>
      <c r="T47" s="1014"/>
      <c r="U47" s="1014"/>
      <c r="V47" s="1014"/>
      <c r="W47" s="1014"/>
      <c r="X47" s="1014"/>
      <c r="Y47" s="1014"/>
      <c r="Z47" s="1014"/>
      <c r="AA47" s="1014"/>
      <c r="AB47" s="1014"/>
      <c r="AC47" s="1014"/>
      <c r="AD47" s="1014"/>
      <c r="AE47" s="1014"/>
      <c r="AF47" s="1014"/>
      <c r="AG47" s="1014"/>
      <c r="AH47" s="1014"/>
      <c r="AI47" s="1014"/>
      <c r="AJ47" s="1014"/>
    </row>
    <row r="48" spans="1:36" ht="26.25" x14ac:dyDescent="0.4">
      <c r="A48" s="1010" t="s">
        <v>440</v>
      </c>
      <c r="B48" s="700"/>
      <c r="C48" s="700"/>
      <c r="D48" s="700"/>
      <c r="E48" s="1014"/>
      <c r="F48" s="1014"/>
      <c r="G48" s="1014"/>
      <c r="H48" s="1014"/>
      <c r="I48" s="1014"/>
      <c r="J48" s="1014"/>
      <c r="K48" s="1014"/>
      <c r="L48" s="1014"/>
      <c r="M48" s="1014"/>
      <c r="N48" s="1014"/>
      <c r="O48" s="1014"/>
      <c r="P48" s="1014"/>
      <c r="Q48" s="1014"/>
      <c r="R48" s="1014"/>
      <c r="S48" s="1014"/>
      <c r="T48" s="1014"/>
      <c r="U48" s="1014"/>
      <c r="V48" s="1014"/>
      <c r="W48" s="1014"/>
      <c r="X48" s="1014"/>
      <c r="Y48" s="1014"/>
      <c r="Z48" s="1014"/>
      <c r="AA48" s="1014"/>
      <c r="AB48" s="1014"/>
      <c r="AC48" s="1014"/>
      <c r="AD48" s="1014"/>
      <c r="AE48" s="1014"/>
      <c r="AF48" s="1014"/>
      <c r="AG48" s="1014"/>
      <c r="AH48" s="1014"/>
      <c r="AI48" s="1014"/>
      <c r="AJ48" s="1014"/>
    </row>
    <row r="49" spans="1:36" ht="26.25" x14ac:dyDescent="0.4">
      <c r="A49" s="1010" t="s">
        <v>6867</v>
      </c>
      <c r="B49" s="700"/>
      <c r="C49" s="700"/>
      <c r="D49" s="700"/>
      <c r="E49" s="1014"/>
      <c r="F49" s="1014"/>
      <c r="G49" s="1014"/>
      <c r="H49" s="1014"/>
      <c r="I49" s="1014"/>
      <c r="J49" s="1014"/>
      <c r="K49" s="1014"/>
      <c r="L49" s="1014"/>
      <c r="M49" s="1014"/>
      <c r="N49" s="1014"/>
      <c r="O49" s="1014"/>
      <c r="P49" s="1014"/>
      <c r="Q49" s="1014"/>
      <c r="R49" s="1014"/>
      <c r="S49" s="1014"/>
      <c r="T49" s="1014"/>
      <c r="U49" s="1014"/>
      <c r="V49" s="1014"/>
      <c r="W49" s="1014"/>
      <c r="X49" s="1014"/>
      <c r="Y49" s="1014"/>
      <c r="Z49" s="1014"/>
      <c r="AA49" s="1014"/>
      <c r="AB49" s="1014"/>
      <c r="AC49" s="1014"/>
      <c r="AD49" s="1014"/>
      <c r="AE49" s="1014"/>
      <c r="AF49" s="1014"/>
      <c r="AG49" s="1014"/>
      <c r="AH49" s="1014"/>
      <c r="AI49" s="1014"/>
      <c r="AJ49" s="1014"/>
    </row>
    <row r="50" spans="1:36" ht="26.25" x14ac:dyDescent="0.4">
      <c r="A50" s="1010" t="s">
        <v>7309</v>
      </c>
      <c r="B50" s="700"/>
      <c r="C50" s="700"/>
      <c r="D50" s="700"/>
      <c r="E50" s="1014"/>
      <c r="F50" s="1014"/>
      <c r="G50" s="1014"/>
      <c r="H50" s="1014"/>
      <c r="I50" s="1014"/>
      <c r="J50" s="1014"/>
      <c r="K50" s="1014"/>
      <c r="L50" s="1014"/>
      <c r="M50" s="1014"/>
      <c r="N50" s="1014"/>
      <c r="O50" s="1014"/>
      <c r="P50" s="1014"/>
      <c r="Q50" s="1014"/>
      <c r="R50" s="1014"/>
      <c r="S50" s="1014"/>
      <c r="T50" s="1014"/>
      <c r="U50" s="1014"/>
      <c r="V50" s="1014"/>
      <c r="W50" s="1014"/>
      <c r="X50" s="1014"/>
      <c r="Y50" s="1014"/>
      <c r="Z50" s="1014"/>
      <c r="AA50" s="1014"/>
      <c r="AB50" s="1014"/>
      <c r="AC50" s="1014"/>
      <c r="AD50" s="1014"/>
      <c r="AE50" s="1014"/>
      <c r="AF50" s="1014"/>
      <c r="AG50" s="1014"/>
      <c r="AH50" s="1014"/>
      <c r="AI50" s="1014"/>
      <c r="AJ50" s="1014"/>
    </row>
    <row r="51" spans="1:36" x14ac:dyDescent="0.25">
      <c r="B51" s="700"/>
      <c r="C51" s="700"/>
      <c r="D51" s="700"/>
      <c r="E51" s="1014"/>
      <c r="F51" s="1014"/>
      <c r="G51" s="1014"/>
      <c r="H51" s="1014"/>
      <c r="I51" s="1014"/>
      <c r="J51" s="1014"/>
      <c r="K51" s="1014"/>
      <c r="L51" s="1014"/>
      <c r="M51" s="1014"/>
      <c r="N51" s="1014"/>
      <c r="O51" s="1014"/>
      <c r="P51" s="1014"/>
      <c r="Q51" s="1014"/>
      <c r="R51" s="1014"/>
      <c r="S51" s="1014"/>
      <c r="T51" s="1014"/>
      <c r="U51" s="1014"/>
      <c r="V51" s="1014"/>
      <c r="W51" s="1014"/>
      <c r="X51" s="1014"/>
      <c r="Y51" s="1014"/>
      <c r="Z51" s="1014"/>
      <c r="AA51" s="1014"/>
      <c r="AB51" s="1014"/>
      <c r="AC51" s="1014"/>
      <c r="AD51" s="1014"/>
      <c r="AE51" s="1014"/>
      <c r="AF51" s="1014"/>
      <c r="AG51" s="1014"/>
      <c r="AH51" s="1014"/>
      <c r="AI51" s="1014"/>
      <c r="AJ51" s="1014"/>
    </row>
    <row r="52" spans="1:36" x14ac:dyDescent="0.25">
      <c r="B52" s="700"/>
      <c r="C52" s="700"/>
      <c r="D52" s="700"/>
      <c r="E52" s="1014"/>
      <c r="F52" s="1014"/>
      <c r="G52" s="1014"/>
      <c r="H52" s="1014"/>
      <c r="I52" s="1014"/>
      <c r="J52" s="1014"/>
      <c r="K52" s="1014"/>
      <c r="L52" s="1014"/>
      <c r="M52" s="1014"/>
      <c r="N52" s="1014"/>
      <c r="O52" s="1014"/>
      <c r="P52" s="1014"/>
      <c r="Q52" s="1014"/>
      <c r="R52" s="1014"/>
      <c r="S52" s="1014"/>
      <c r="T52" s="1014"/>
      <c r="U52" s="1014"/>
      <c r="V52" s="1014"/>
      <c r="W52" s="1014"/>
      <c r="X52" s="1014"/>
      <c r="Y52" s="1014"/>
      <c r="Z52" s="1014"/>
      <c r="AA52" s="1014"/>
      <c r="AB52" s="1014"/>
      <c r="AC52" s="1014"/>
      <c r="AD52" s="1014"/>
      <c r="AE52" s="1014"/>
      <c r="AF52" s="1014"/>
      <c r="AG52" s="1014"/>
      <c r="AH52" s="1014"/>
      <c r="AI52" s="1014"/>
      <c r="AJ52" s="1014"/>
    </row>
    <row r="53" spans="1:36" x14ac:dyDescent="0.25">
      <c r="B53" s="700"/>
      <c r="C53" s="700"/>
      <c r="D53" s="700"/>
      <c r="E53" s="1014"/>
      <c r="F53" s="1014"/>
      <c r="G53" s="1014"/>
      <c r="H53" s="1014"/>
      <c r="I53" s="1014"/>
      <c r="J53" s="1014"/>
      <c r="K53" s="1014"/>
      <c r="L53" s="1014"/>
      <c r="M53" s="1014"/>
      <c r="N53" s="1014"/>
      <c r="O53" s="1014"/>
      <c r="P53" s="1014"/>
      <c r="Q53" s="1014"/>
      <c r="R53" s="1014"/>
      <c r="S53" s="1014"/>
      <c r="T53" s="1014"/>
      <c r="U53" s="1014"/>
      <c r="V53" s="1014"/>
      <c r="W53" s="1014"/>
      <c r="X53" s="1014"/>
      <c r="Y53" s="1014"/>
      <c r="Z53" s="1014"/>
      <c r="AA53" s="1014"/>
      <c r="AB53" s="1014"/>
      <c r="AC53" s="1014"/>
      <c r="AD53" s="1014"/>
      <c r="AE53" s="1014"/>
      <c r="AF53" s="1014"/>
      <c r="AG53" s="1014"/>
      <c r="AH53" s="1014"/>
      <c r="AI53" s="1014"/>
      <c r="AJ53" s="1014"/>
    </row>
    <row r="54" spans="1:36" x14ac:dyDescent="0.25">
      <c r="B54" s="700"/>
      <c r="C54" s="700"/>
      <c r="D54" s="700"/>
      <c r="E54" s="1014"/>
      <c r="F54" s="1014"/>
      <c r="G54" s="1014"/>
      <c r="H54" s="1014"/>
      <c r="I54" s="1014"/>
      <c r="J54" s="1014"/>
      <c r="K54" s="1014"/>
      <c r="L54" s="1014"/>
      <c r="M54" s="1014"/>
      <c r="N54" s="1014"/>
      <c r="O54" s="1014"/>
      <c r="P54" s="1014"/>
      <c r="Q54" s="1014"/>
      <c r="R54" s="1014"/>
      <c r="S54" s="1014"/>
      <c r="T54" s="1014"/>
      <c r="U54" s="1014"/>
      <c r="V54" s="1014"/>
      <c r="W54" s="1014"/>
      <c r="X54" s="1014"/>
      <c r="Y54" s="1014"/>
      <c r="Z54" s="1014"/>
      <c r="AA54" s="1014"/>
      <c r="AB54" s="1014"/>
      <c r="AC54" s="1014"/>
      <c r="AD54" s="1014"/>
      <c r="AE54" s="1014"/>
      <c r="AF54" s="1014"/>
      <c r="AG54" s="1014"/>
      <c r="AH54" s="1014"/>
      <c r="AI54" s="1014"/>
      <c r="AJ54" s="1014"/>
    </row>
    <row r="55" spans="1:36" x14ac:dyDescent="0.25">
      <c r="B55" s="700"/>
      <c r="C55" s="700"/>
      <c r="D55" s="700"/>
      <c r="E55" s="1014"/>
      <c r="F55" s="1014"/>
      <c r="G55" s="1014"/>
      <c r="H55" s="1014"/>
      <c r="I55" s="1014"/>
      <c r="J55" s="1014"/>
      <c r="K55" s="1014"/>
      <c r="L55" s="1014"/>
      <c r="M55" s="1014"/>
      <c r="N55" s="1014"/>
      <c r="O55" s="1014"/>
      <c r="P55" s="1014"/>
      <c r="Q55" s="1014"/>
      <c r="R55" s="1014"/>
      <c r="S55" s="1014"/>
      <c r="T55" s="1014"/>
      <c r="U55" s="1014"/>
      <c r="V55" s="1014"/>
      <c r="W55" s="1014"/>
      <c r="X55" s="1014"/>
      <c r="Y55" s="1014"/>
      <c r="Z55" s="1014"/>
      <c r="AA55" s="1014"/>
      <c r="AB55" s="1014"/>
      <c r="AC55" s="1014"/>
      <c r="AD55" s="1014"/>
      <c r="AE55" s="1014"/>
      <c r="AF55" s="1014"/>
      <c r="AG55" s="1014"/>
      <c r="AH55" s="1014"/>
      <c r="AI55" s="1014"/>
      <c r="AJ55" s="1014"/>
    </row>
    <row r="56" spans="1:36" x14ac:dyDescent="0.25">
      <c r="B56" s="700"/>
      <c r="C56" s="700"/>
      <c r="D56" s="700"/>
      <c r="E56" s="1014"/>
      <c r="F56" s="1014"/>
      <c r="G56" s="1014"/>
      <c r="H56" s="1014"/>
      <c r="I56" s="1014"/>
      <c r="J56" s="1014"/>
      <c r="K56" s="1014"/>
      <c r="L56" s="1014"/>
      <c r="M56" s="1014"/>
      <c r="N56" s="1014"/>
      <c r="O56" s="1014"/>
      <c r="P56" s="1014"/>
      <c r="Q56" s="1014"/>
      <c r="R56" s="1014"/>
      <c r="S56" s="1014"/>
      <c r="T56" s="1014"/>
      <c r="U56" s="1014"/>
      <c r="V56" s="1014"/>
      <c r="W56" s="1014"/>
      <c r="X56" s="1014"/>
      <c r="Y56" s="1014"/>
      <c r="Z56" s="1014"/>
      <c r="AA56" s="1014"/>
      <c r="AB56" s="1014"/>
      <c r="AC56" s="1014"/>
      <c r="AD56" s="1014"/>
      <c r="AE56" s="1014"/>
      <c r="AF56" s="1014"/>
      <c r="AG56" s="1014"/>
      <c r="AH56" s="1014"/>
      <c r="AI56" s="1014"/>
      <c r="AJ56" s="1014"/>
    </row>
    <row r="57" spans="1:36" x14ac:dyDescent="0.25">
      <c r="B57" s="700"/>
      <c r="C57" s="700"/>
      <c r="D57" s="700"/>
      <c r="E57" s="1014"/>
      <c r="F57" s="1014"/>
      <c r="G57" s="1014"/>
      <c r="H57" s="1014"/>
      <c r="I57" s="1014"/>
      <c r="J57" s="1014"/>
      <c r="K57" s="1014"/>
      <c r="L57" s="1014"/>
      <c r="M57" s="1014"/>
      <c r="N57" s="1014"/>
      <c r="O57" s="1014"/>
      <c r="P57" s="1014"/>
      <c r="Q57" s="1014"/>
      <c r="R57" s="1014"/>
      <c r="S57" s="1014"/>
      <c r="T57" s="1014"/>
      <c r="U57" s="1014"/>
      <c r="V57" s="1014"/>
      <c r="W57" s="1014"/>
      <c r="X57" s="1014"/>
      <c r="Y57" s="1014"/>
      <c r="Z57" s="1014"/>
      <c r="AA57" s="1014"/>
      <c r="AB57" s="1014"/>
      <c r="AC57" s="1014"/>
      <c r="AD57" s="1014"/>
      <c r="AE57" s="1014"/>
      <c r="AF57" s="1014"/>
      <c r="AG57" s="1014"/>
      <c r="AH57" s="1014"/>
      <c r="AI57" s="1014"/>
      <c r="AJ57" s="1014"/>
    </row>
    <row r="58" spans="1:36" x14ac:dyDescent="0.25">
      <c r="B58" s="700"/>
      <c r="C58" s="700"/>
      <c r="D58" s="700"/>
      <c r="E58" s="1014"/>
      <c r="F58" s="1014"/>
      <c r="G58" s="1014"/>
      <c r="H58" s="1014"/>
      <c r="I58" s="1014"/>
      <c r="J58" s="1014"/>
      <c r="K58" s="1014"/>
      <c r="L58" s="1014"/>
      <c r="M58" s="1014"/>
      <c r="N58" s="1014"/>
      <c r="O58" s="1014"/>
      <c r="P58" s="1014"/>
      <c r="Q58" s="1014"/>
      <c r="R58" s="1014"/>
      <c r="S58" s="1014"/>
      <c r="T58" s="1014"/>
      <c r="U58" s="1014"/>
      <c r="V58" s="1014"/>
      <c r="W58" s="1014"/>
      <c r="X58" s="1014"/>
      <c r="Y58" s="1014"/>
      <c r="Z58" s="1014"/>
      <c r="AA58" s="1014"/>
      <c r="AB58" s="1014"/>
      <c r="AC58" s="1014"/>
      <c r="AD58" s="1014"/>
      <c r="AE58" s="1014"/>
      <c r="AF58" s="1014"/>
      <c r="AG58" s="1014"/>
      <c r="AH58" s="1014"/>
      <c r="AI58" s="1014"/>
      <c r="AJ58" s="1014"/>
    </row>
    <row r="59" spans="1:36" x14ac:dyDescent="0.25">
      <c r="B59" s="700"/>
      <c r="C59" s="700"/>
      <c r="D59" s="700"/>
      <c r="E59" s="1014"/>
      <c r="F59" s="1014"/>
      <c r="G59" s="1014"/>
      <c r="H59" s="1014"/>
      <c r="I59" s="1014"/>
      <c r="J59" s="1014"/>
      <c r="K59" s="1014"/>
      <c r="L59" s="1014"/>
      <c r="M59" s="1014"/>
      <c r="N59" s="1014"/>
      <c r="O59" s="1014"/>
      <c r="P59" s="1014"/>
      <c r="Q59" s="1014"/>
      <c r="R59" s="1014"/>
      <c r="S59" s="1014"/>
      <c r="T59" s="1014"/>
      <c r="U59" s="1014"/>
      <c r="V59" s="1014"/>
      <c r="W59" s="1014"/>
      <c r="X59" s="1014"/>
      <c r="Y59" s="1014"/>
      <c r="Z59" s="1014"/>
      <c r="AA59" s="1014"/>
      <c r="AB59" s="1014"/>
      <c r="AC59" s="1014"/>
      <c r="AD59" s="1014"/>
      <c r="AE59" s="1014"/>
      <c r="AF59" s="1014"/>
      <c r="AG59" s="1014"/>
      <c r="AH59" s="1014"/>
      <c r="AI59" s="1014"/>
      <c r="AJ59" s="1014"/>
    </row>
    <row r="60" spans="1:36" x14ac:dyDescent="0.25">
      <c r="B60" s="700"/>
      <c r="C60" s="700"/>
      <c r="D60" s="700"/>
      <c r="E60" s="1014"/>
      <c r="F60" s="1014"/>
      <c r="G60" s="1014"/>
      <c r="H60" s="1014"/>
      <c r="I60" s="1014"/>
      <c r="J60" s="1014"/>
      <c r="K60" s="1014"/>
      <c r="L60" s="1014"/>
      <c r="M60" s="1014"/>
      <c r="N60" s="1014"/>
      <c r="O60" s="1014"/>
      <c r="P60" s="1014"/>
      <c r="Q60" s="1014"/>
      <c r="R60" s="1014"/>
      <c r="S60" s="1014"/>
      <c r="T60" s="1014"/>
      <c r="U60" s="1014"/>
      <c r="V60" s="1014"/>
      <c r="W60" s="1014"/>
      <c r="X60" s="1014"/>
      <c r="Y60" s="1014"/>
      <c r="Z60" s="1014"/>
      <c r="AA60" s="1014"/>
      <c r="AB60" s="1014"/>
      <c r="AC60" s="1014"/>
      <c r="AD60" s="1014"/>
      <c r="AE60" s="1014"/>
      <c r="AF60" s="1014"/>
      <c r="AG60" s="1014"/>
      <c r="AH60" s="1014"/>
      <c r="AI60" s="1014"/>
      <c r="AJ60" s="1014"/>
    </row>
    <row r="61" spans="1:36" x14ac:dyDescent="0.25">
      <c r="B61" s="700"/>
      <c r="C61" s="700"/>
      <c r="D61" s="700"/>
      <c r="E61" s="1014"/>
      <c r="F61" s="1014"/>
      <c r="G61" s="1014"/>
      <c r="H61" s="1014"/>
      <c r="I61" s="1014"/>
      <c r="J61" s="1014"/>
      <c r="K61" s="1014"/>
      <c r="L61" s="1014"/>
      <c r="M61" s="1014"/>
      <c r="N61" s="1014"/>
      <c r="O61" s="1014"/>
      <c r="P61" s="1014"/>
      <c r="Q61" s="1014"/>
      <c r="R61" s="1014"/>
      <c r="S61" s="1014"/>
      <c r="T61" s="1014"/>
      <c r="U61" s="1014"/>
      <c r="V61" s="1014"/>
      <c r="W61" s="1014"/>
      <c r="X61" s="1014"/>
      <c r="Y61" s="1014"/>
      <c r="Z61" s="1014"/>
      <c r="AA61" s="1014"/>
      <c r="AB61" s="1014"/>
      <c r="AC61" s="1014"/>
      <c r="AD61" s="1014"/>
      <c r="AE61" s="1014"/>
      <c r="AF61" s="1014"/>
      <c r="AG61" s="1014"/>
      <c r="AH61" s="1014"/>
      <c r="AI61" s="1014"/>
      <c r="AJ61" s="1014"/>
    </row>
    <row r="62" spans="1:36" x14ac:dyDescent="0.25">
      <c r="B62" s="700"/>
      <c r="C62" s="700"/>
      <c r="D62" s="700"/>
      <c r="E62" s="1014"/>
      <c r="F62" s="1014"/>
      <c r="G62" s="1014"/>
      <c r="H62" s="1014"/>
      <c r="I62" s="1014"/>
      <c r="J62" s="1014"/>
      <c r="K62" s="1014"/>
      <c r="L62" s="1014"/>
      <c r="M62" s="1014"/>
      <c r="N62" s="1014"/>
      <c r="O62" s="1014"/>
      <c r="P62" s="1014"/>
      <c r="Q62" s="1014"/>
      <c r="R62" s="1014"/>
      <c r="S62" s="1014"/>
      <c r="T62" s="1014"/>
      <c r="U62" s="1014"/>
      <c r="V62" s="1014"/>
      <c r="W62" s="1014"/>
      <c r="X62" s="1014"/>
      <c r="Y62" s="1014"/>
      <c r="Z62" s="1014"/>
      <c r="AA62" s="1014"/>
      <c r="AB62" s="1014"/>
      <c r="AC62" s="1014"/>
      <c r="AD62" s="1014"/>
      <c r="AE62" s="1014"/>
      <c r="AF62" s="1014"/>
      <c r="AG62" s="1014"/>
      <c r="AH62" s="1014"/>
      <c r="AI62" s="1014"/>
      <c r="AJ62" s="1014"/>
    </row>
    <row r="63" spans="1:36" x14ac:dyDescent="0.25">
      <c r="B63" s="700"/>
      <c r="C63" s="700"/>
      <c r="D63" s="700"/>
      <c r="E63" s="1014"/>
      <c r="F63" s="1014"/>
      <c r="G63" s="1014"/>
      <c r="H63" s="1014"/>
      <c r="I63" s="1014"/>
      <c r="J63" s="1014"/>
      <c r="K63" s="1014"/>
      <c r="L63" s="1014"/>
      <c r="M63" s="1014"/>
      <c r="N63" s="1014"/>
      <c r="O63" s="1014"/>
      <c r="P63" s="1014"/>
      <c r="Q63" s="1014"/>
      <c r="R63" s="1014"/>
      <c r="S63" s="1014"/>
      <c r="T63" s="1014"/>
      <c r="U63" s="1014"/>
      <c r="V63" s="1014"/>
      <c r="W63" s="1014"/>
      <c r="X63" s="1014"/>
      <c r="Y63" s="1014"/>
      <c r="Z63" s="1014"/>
      <c r="AA63" s="1014"/>
      <c r="AB63" s="1014"/>
      <c r="AC63" s="1014"/>
      <c r="AD63" s="1014"/>
      <c r="AE63" s="1014"/>
      <c r="AF63" s="1014"/>
      <c r="AG63" s="1014"/>
      <c r="AH63" s="1014"/>
      <c r="AI63" s="1014"/>
      <c r="AJ63" s="1014"/>
    </row>
    <row r="64" spans="1:36" x14ac:dyDescent="0.25">
      <c r="B64" s="700"/>
      <c r="C64" s="700"/>
      <c r="D64" s="700"/>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4"/>
      <c r="AJ64" s="1014"/>
    </row>
    <row r="65" spans="2:36" x14ac:dyDescent="0.25">
      <c r="B65" s="700"/>
      <c r="C65" s="700"/>
      <c r="D65" s="700"/>
      <c r="E65" s="1014"/>
      <c r="F65" s="1014"/>
      <c r="G65" s="1014"/>
      <c r="H65" s="1014"/>
      <c r="I65" s="1014"/>
      <c r="J65" s="1014"/>
      <c r="K65" s="1014"/>
      <c r="L65" s="1014"/>
      <c r="M65" s="1014"/>
      <c r="N65" s="1014"/>
      <c r="O65" s="1014"/>
      <c r="P65" s="1014"/>
      <c r="Q65" s="1014"/>
      <c r="R65" s="1014"/>
      <c r="S65" s="1014"/>
      <c r="T65" s="1014"/>
      <c r="U65" s="1014"/>
      <c r="V65" s="1014"/>
      <c r="W65" s="1014"/>
      <c r="X65" s="1014"/>
      <c r="Y65" s="1014"/>
      <c r="Z65" s="1014"/>
      <c r="AA65" s="1014"/>
      <c r="AB65" s="1014"/>
      <c r="AC65" s="1014"/>
      <c r="AD65" s="1014"/>
      <c r="AE65" s="1014"/>
      <c r="AF65" s="1014"/>
      <c r="AG65" s="1014"/>
      <c r="AH65" s="1014"/>
      <c r="AI65" s="1014"/>
      <c r="AJ65" s="1014"/>
    </row>
    <row r="66" spans="2:36" x14ac:dyDescent="0.25">
      <c r="B66" s="700"/>
      <c r="C66" s="700"/>
      <c r="D66" s="700"/>
      <c r="E66" s="1014"/>
      <c r="F66" s="1014"/>
      <c r="G66" s="1014"/>
      <c r="H66" s="1014"/>
      <c r="I66" s="1014"/>
      <c r="J66" s="1014"/>
      <c r="K66" s="1014"/>
      <c r="L66" s="1014"/>
      <c r="M66" s="1014"/>
      <c r="N66" s="1014"/>
      <c r="O66" s="1014"/>
      <c r="P66" s="1014"/>
      <c r="Q66" s="1014"/>
      <c r="R66" s="1014"/>
      <c r="S66" s="1014"/>
      <c r="T66" s="1014"/>
      <c r="U66" s="1014"/>
      <c r="V66" s="1014"/>
      <c r="W66" s="1014"/>
      <c r="X66" s="1014"/>
      <c r="Y66" s="1014"/>
      <c r="Z66" s="1014"/>
      <c r="AA66" s="1014"/>
      <c r="AB66" s="1014"/>
      <c r="AC66" s="1014"/>
      <c r="AD66" s="1014"/>
      <c r="AE66" s="1014"/>
      <c r="AF66" s="1014"/>
      <c r="AG66" s="1014"/>
      <c r="AH66" s="1014"/>
      <c r="AI66" s="1014"/>
      <c r="AJ66" s="1014"/>
    </row>
    <row r="67" spans="2:36" x14ac:dyDescent="0.25">
      <c r="B67" s="700"/>
      <c r="C67" s="700"/>
      <c r="D67" s="700"/>
      <c r="E67" s="1014"/>
      <c r="F67" s="1014"/>
      <c r="G67" s="1014"/>
      <c r="H67" s="1014"/>
      <c r="I67" s="1014"/>
      <c r="J67" s="1014"/>
      <c r="K67" s="1014"/>
      <c r="L67" s="1014"/>
      <c r="M67" s="1014"/>
      <c r="N67" s="1014"/>
      <c r="O67" s="1014"/>
      <c r="P67" s="1014"/>
      <c r="Q67" s="1014"/>
      <c r="R67" s="1014"/>
      <c r="S67" s="1014"/>
      <c r="T67" s="1014"/>
      <c r="U67" s="1014"/>
      <c r="V67" s="1014"/>
      <c r="W67" s="1014"/>
      <c r="X67" s="1014"/>
      <c r="Y67" s="1014"/>
      <c r="Z67" s="1014"/>
      <c r="AA67" s="1014"/>
      <c r="AB67" s="1014"/>
      <c r="AC67" s="1014"/>
      <c r="AD67" s="1014"/>
      <c r="AE67" s="1014"/>
      <c r="AF67" s="1014"/>
      <c r="AG67" s="1014"/>
      <c r="AH67" s="1014"/>
      <c r="AI67" s="1014"/>
      <c r="AJ67" s="1014"/>
    </row>
    <row r="68" spans="2:36" x14ac:dyDescent="0.25">
      <c r="B68" s="700"/>
      <c r="C68" s="700"/>
      <c r="D68" s="700"/>
      <c r="E68" s="1014"/>
      <c r="F68" s="1014"/>
      <c r="G68" s="1014"/>
      <c r="H68" s="1014"/>
      <c r="I68" s="1014"/>
      <c r="J68" s="1014"/>
      <c r="K68" s="1014"/>
      <c r="L68" s="1014"/>
      <c r="M68" s="1014"/>
      <c r="N68" s="1014"/>
      <c r="O68" s="1014"/>
      <c r="P68" s="1014"/>
      <c r="Q68" s="1014"/>
      <c r="R68" s="1014"/>
      <c r="S68" s="1014"/>
      <c r="T68" s="1014"/>
      <c r="U68" s="1014"/>
      <c r="V68" s="1014"/>
      <c r="W68" s="1014"/>
      <c r="X68" s="1014"/>
      <c r="Y68" s="1014"/>
      <c r="Z68" s="1014"/>
      <c r="AA68" s="1014"/>
      <c r="AB68" s="1014"/>
      <c r="AC68" s="1014"/>
      <c r="AD68" s="1014"/>
      <c r="AE68" s="1014"/>
      <c r="AF68" s="1014"/>
      <c r="AG68" s="1014"/>
      <c r="AH68" s="1014"/>
      <c r="AI68" s="1014"/>
      <c r="AJ68" s="1014"/>
    </row>
    <row r="69" spans="2:36" x14ac:dyDescent="0.25">
      <c r="B69" s="700"/>
      <c r="C69" s="700"/>
      <c r="D69" s="700"/>
      <c r="E69" s="1014"/>
      <c r="F69" s="1014"/>
      <c r="G69" s="1014"/>
      <c r="H69" s="1014"/>
      <c r="I69" s="1014"/>
      <c r="J69" s="1014"/>
      <c r="K69" s="1014"/>
      <c r="L69" s="1014"/>
      <c r="M69" s="1014"/>
      <c r="N69" s="1014"/>
      <c r="O69" s="1014"/>
      <c r="P69" s="1014"/>
      <c r="Q69" s="1014"/>
      <c r="R69" s="1014"/>
      <c r="S69" s="1014"/>
      <c r="T69" s="1014"/>
      <c r="U69" s="1014"/>
      <c r="V69" s="1014"/>
      <c r="W69" s="1014"/>
      <c r="X69" s="1014"/>
      <c r="Y69" s="1014"/>
      <c r="Z69" s="1014"/>
      <c r="AA69" s="1014"/>
      <c r="AB69" s="1014"/>
      <c r="AC69" s="1014"/>
      <c r="AD69" s="1014"/>
      <c r="AE69" s="1014"/>
      <c r="AF69" s="1014"/>
      <c r="AG69" s="1014"/>
      <c r="AH69" s="1014"/>
      <c r="AI69" s="1014"/>
      <c r="AJ69" s="1014"/>
    </row>
    <row r="70" spans="2:36" x14ac:dyDescent="0.25">
      <c r="B70" s="700"/>
      <c r="C70" s="700"/>
      <c r="D70" s="700"/>
      <c r="E70" s="1014"/>
      <c r="F70" s="1014"/>
      <c r="G70" s="1014"/>
      <c r="H70" s="1014"/>
      <c r="I70" s="1014"/>
      <c r="J70" s="1014"/>
      <c r="K70" s="1014"/>
      <c r="L70" s="1014"/>
      <c r="M70" s="1014"/>
      <c r="N70" s="1014"/>
      <c r="O70" s="1014"/>
      <c r="P70" s="1014"/>
      <c r="Q70" s="1014"/>
      <c r="R70" s="1014"/>
      <c r="S70" s="1014"/>
      <c r="T70" s="1014"/>
      <c r="U70" s="1014"/>
      <c r="V70" s="1014"/>
      <c r="W70" s="1014"/>
      <c r="X70" s="1014"/>
      <c r="Y70" s="1014"/>
      <c r="Z70" s="1014"/>
      <c r="AA70" s="1014"/>
      <c r="AB70" s="1014"/>
      <c r="AC70" s="1014"/>
      <c r="AD70" s="1014"/>
      <c r="AE70" s="1014"/>
      <c r="AF70" s="1014"/>
      <c r="AG70" s="1014"/>
      <c r="AH70" s="1014"/>
      <c r="AI70" s="1014"/>
      <c r="AJ70" s="1014"/>
    </row>
    <row r="71" spans="2:36" x14ac:dyDescent="0.25">
      <c r="B71" s="700"/>
      <c r="C71" s="700"/>
      <c r="D71" s="700"/>
      <c r="E71" s="1014"/>
      <c r="F71" s="1014"/>
      <c r="G71" s="1014"/>
      <c r="H71" s="1014"/>
      <c r="I71" s="1014"/>
      <c r="J71" s="1014"/>
      <c r="K71" s="1014"/>
      <c r="L71" s="1014"/>
      <c r="M71" s="1014"/>
      <c r="N71" s="1014"/>
      <c r="O71" s="1014"/>
      <c r="P71" s="1014"/>
      <c r="Q71" s="1014"/>
      <c r="R71" s="1014"/>
      <c r="S71" s="1014"/>
      <c r="T71" s="1014"/>
      <c r="U71" s="1014"/>
      <c r="V71" s="1014"/>
      <c r="W71" s="1014"/>
      <c r="X71" s="1014"/>
      <c r="Y71" s="1014"/>
      <c r="Z71" s="1014"/>
      <c r="AA71" s="1014"/>
      <c r="AB71" s="1014"/>
      <c r="AC71" s="1014"/>
      <c r="AD71" s="1014"/>
      <c r="AE71" s="1014"/>
      <c r="AF71" s="1014"/>
      <c r="AG71" s="1014"/>
      <c r="AH71" s="1014"/>
      <c r="AI71" s="1014"/>
      <c r="AJ71" s="1014"/>
    </row>
    <row r="72" spans="2:36" x14ac:dyDescent="0.25">
      <c r="B72" s="700"/>
      <c r="C72" s="700"/>
      <c r="D72" s="700"/>
      <c r="E72" s="1014"/>
      <c r="F72" s="1014"/>
      <c r="G72" s="1014"/>
      <c r="H72" s="1014"/>
      <c r="I72" s="1014"/>
      <c r="J72" s="1014"/>
      <c r="K72" s="1014"/>
      <c r="L72" s="1014"/>
      <c r="M72" s="1014"/>
      <c r="N72" s="1014"/>
      <c r="O72" s="1014"/>
      <c r="P72" s="1014"/>
      <c r="Q72" s="1014"/>
      <c r="R72" s="1014"/>
      <c r="S72" s="1014"/>
      <c r="T72" s="1014"/>
      <c r="U72" s="1014"/>
      <c r="V72" s="1014"/>
      <c r="W72" s="1014"/>
      <c r="X72" s="1014"/>
      <c r="Y72" s="1014"/>
      <c r="Z72" s="1014"/>
      <c r="AA72" s="1014"/>
      <c r="AB72" s="1014"/>
      <c r="AC72" s="1014"/>
      <c r="AD72" s="1014"/>
      <c r="AE72" s="1014"/>
      <c r="AF72" s="1014"/>
      <c r="AG72" s="1014"/>
      <c r="AH72" s="1014"/>
      <c r="AI72" s="1014"/>
      <c r="AJ72" s="1014"/>
    </row>
    <row r="73" spans="2:36" x14ac:dyDescent="0.25">
      <c r="B73" s="700"/>
      <c r="C73" s="700"/>
      <c r="D73" s="700"/>
      <c r="E73" s="1014"/>
      <c r="F73" s="1014"/>
      <c r="G73" s="1014"/>
      <c r="H73" s="1014"/>
      <c r="I73" s="1014"/>
      <c r="J73" s="1014"/>
      <c r="K73" s="1014"/>
      <c r="L73" s="1014"/>
      <c r="M73" s="1014"/>
      <c r="N73" s="1014"/>
      <c r="O73" s="1014"/>
      <c r="P73" s="1014"/>
      <c r="Q73" s="1014"/>
      <c r="R73" s="1014"/>
      <c r="S73" s="1014"/>
      <c r="T73" s="1014"/>
      <c r="U73" s="1014"/>
      <c r="V73" s="1014"/>
      <c r="W73" s="1014"/>
      <c r="X73" s="1014"/>
      <c r="Y73" s="1014"/>
      <c r="Z73" s="1014"/>
      <c r="AA73" s="1014"/>
      <c r="AB73" s="1014"/>
      <c r="AC73" s="1014"/>
      <c r="AD73" s="1014"/>
      <c r="AE73" s="1014"/>
      <c r="AF73" s="1014"/>
      <c r="AG73" s="1014"/>
      <c r="AH73" s="1014"/>
      <c r="AI73" s="1014"/>
      <c r="AJ73" s="1014"/>
    </row>
    <row r="74" spans="2:36" x14ac:dyDescent="0.25">
      <c r="B74" s="700"/>
      <c r="C74" s="700"/>
      <c r="D74" s="700"/>
      <c r="E74" s="1014"/>
      <c r="F74" s="1014"/>
      <c r="G74" s="1014"/>
      <c r="H74" s="1014"/>
      <c r="I74" s="1014"/>
      <c r="J74" s="1014"/>
      <c r="K74" s="1014"/>
      <c r="L74" s="1014"/>
      <c r="M74" s="1014"/>
      <c r="N74" s="1014"/>
      <c r="O74" s="1014"/>
      <c r="P74" s="1014"/>
      <c r="Q74" s="1014"/>
      <c r="R74" s="1014"/>
      <c r="S74" s="1014"/>
      <c r="T74" s="1014"/>
      <c r="U74" s="1014"/>
      <c r="V74" s="1014"/>
      <c r="W74" s="1014"/>
      <c r="X74" s="1014"/>
      <c r="Y74" s="1014"/>
      <c r="Z74" s="1014"/>
      <c r="AA74" s="1014"/>
      <c r="AB74" s="1014"/>
      <c r="AC74" s="1014"/>
      <c r="AD74" s="1014"/>
      <c r="AE74" s="1014"/>
      <c r="AF74" s="1014"/>
      <c r="AG74" s="1014"/>
      <c r="AH74" s="1014"/>
      <c r="AI74" s="1014"/>
      <c r="AJ74" s="1014"/>
    </row>
    <row r="75" spans="2:36" x14ac:dyDescent="0.25">
      <c r="B75" s="700"/>
      <c r="C75" s="700"/>
      <c r="D75" s="700"/>
      <c r="E75" s="1014"/>
      <c r="F75" s="1014"/>
      <c r="G75" s="1014"/>
      <c r="H75" s="1014"/>
      <c r="I75" s="1014"/>
      <c r="J75" s="1014"/>
      <c r="K75" s="1014"/>
      <c r="L75" s="1014"/>
      <c r="M75" s="1014"/>
      <c r="N75" s="1014"/>
      <c r="O75" s="1014"/>
      <c r="P75" s="1014"/>
      <c r="Q75" s="1014"/>
      <c r="R75" s="1014"/>
      <c r="S75" s="1014"/>
      <c r="T75" s="1014"/>
      <c r="U75" s="1014"/>
      <c r="V75" s="1014"/>
      <c r="W75" s="1014"/>
      <c r="X75" s="1014"/>
      <c r="Y75" s="1014"/>
      <c r="Z75" s="1014"/>
      <c r="AA75" s="1014"/>
      <c r="AB75" s="1014"/>
      <c r="AC75" s="1014"/>
      <c r="AD75" s="1014"/>
      <c r="AE75" s="1014"/>
      <c r="AF75" s="1014"/>
      <c r="AG75" s="1014"/>
      <c r="AH75" s="1014"/>
      <c r="AI75" s="1014"/>
      <c r="AJ75" s="1014"/>
    </row>
    <row r="76" spans="2:36" x14ac:dyDescent="0.25">
      <c r="B76" s="700"/>
      <c r="C76" s="700"/>
      <c r="D76" s="700"/>
      <c r="E76" s="1014"/>
      <c r="F76" s="1014"/>
      <c r="G76" s="1014"/>
      <c r="H76" s="1014"/>
      <c r="I76" s="1014"/>
      <c r="J76" s="1014"/>
      <c r="K76" s="1014"/>
      <c r="L76" s="1014"/>
      <c r="M76" s="1014"/>
      <c r="N76" s="1014"/>
      <c r="O76" s="1014"/>
      <c r="P76" s="1014"/>
      <c r="Q76" s="1014"/>
      <c r="R76" s="1014"/>
      <c r="S76" s="1014"/>
      <c r="T76" s="1014"/>
      <c r="U76" s="1014"/>
      <c r="V76" s="1014"/>
      <c r="W76" s="1014"/>
      <c r="X76" s="1014"/>
      <c r="Y76" s="1014"/>
      <c r="Z76" s="1014"/>
      <c r="AA76" s="1014"/>
      <c r="AB76" s="1014"/>
      <c r="AC76" s="1014"/>
      <c r="AD76" s="1014"/>
      <c r="AE76" s="1014"/>
      <c r="AF76" s="1014"/>
      <c r="AG76" s="1014"/>
      <c r="AH76" s="1014"/>
      <c r="AI76" s="1014"/>
      <c r="AJ76" s="1014"/>
    </row>
    <row r="77" spans="2:36" x14ac:dyDescent="0.25">
      <c r="B77" s="700"/>
      <c r="C77" s="700"/>
      <c r="D77" s="700"/>
      <c r="E77" s="1014"/>
      <c r="F77" s="1014"/>
      <c r="G77" s="1014"/>
      <c r="H77" s="1014"/>
      <c r="I77" s="1014"/>
      <c r="J77" s="1014"/>
      <c r="K77" s="1014"/>
      <c r="L77" s="1014"/>
      <c r="M77" s="1014"/>
      <c r="N77" s="1014"/>
      <c r="O77" s="1014"/>
      <c r="P77" s="1014"/>
      <c r="Q77" s="1014"/>
      <c r="R77" s="1014"/>
      <c r="S77" s="1014"/>
      <c r="T77" s="1014"/>
      <c r="U77" s="1014"/>
      <c r="V77" s="1014"/>
      <c r="W77" s="1014"/>
      <c r="X77" s="1014"/>
      <c r="Y77" s="1014"/>
      <c r="Z77" s="1014"/>
      <c r="AA77" s="1014"/>
      <c r="AB77" s="1014"/>
      <c r="AC77" s="1014"/>
      <c r="AD77" s="1014"/>
      <c r="AE77" s="1014"/>
      <c r="AF77" s="1014"/>
      <c r="AG77" s="1014"/>
      <c r="AH77" s="1014"/>
      <c r="AI77" s="1014"/>
      <c r="AJ77" s="1014"/>
    </row>
    <row r="78" spans="2:36" x14ac:dyDescent="0.25">
      <c r="B78" s="700"/>
      <c r="C78" s="700"/>
      <c r="D78" s="700"/>
      <c r="E78" s="1014"/>
      <c r="F78" s="1014"/>
      <c r="G78" s="1014"/>
      <c r="H78" s="1014"/>
      <c r="I78" s="1014"/>
      <c r="J78" s="1014"/>
      <c r="K78" s="1014"/>
      <c r="L78" s="1014"/>
      <c r="M78" s="1014"/>
      <c r="N78" s="1014"/>
      <c r="O78" s="1014"/>
      <c r="P78" s="1014"/>
      <c r="Q78" s="1014"/>
      <c r="R78" s="1014"/>
      <c r="S78" s="1014"/>
      <c r="T78" s="1014"/>
      <c r="U78" s="1014"/>
      <c r="V78" s="1014"/>
      <c r="W78" s="1014"/>
      <c r="X78" s="1014"/>
      <c r="Y78" s="1014"/>
      <c r="Z78" s="1014"/>
      <c r="AA78" s="1014"/>
      <c r="AB78" s="1014"/>
      <c r="AC78" s="1014"/>
      <c r="AD78" s="1014"/>
      <c r="AE78" s="1014"/>
      <c r="AF78" s="1014"/>
      <c r="AG78" s="1014"/>
      <c r="AH78" s="1014"/>
      <c r="AI78" s="1014"/>
      <c r="AJ78" s="1014"/>
    </row>
    <row r="79" spans="2:36" x14ac:dyDescent="0.25">
      <c r="B79" s="700"/>
      <c r="C79" s="700"/>
      <c r="D79" s="700"/>
      <c r="E79" s="1014"/>
      <c r="F79" s="1014"/>
      <c r="G79" s="1014"/>
      <c r="H79" s="1014"/>
      <c r="I79" s="1014"/>
      <c r="J79" s="1014"/>
      <c r="K79" s="1014"/>
      <c r="L79" s="1014"/>
      <c r="M79" s="1014"/>
      <c r="N79" s="1014"/>
      <c r="O79" s="1014"/>
      <c r="P79" s="1014"/>
      <c r="Q79" s="1014"/>
      <c r="R79" s="1014"/>
      <c r="S79" s="1014"/>
      <c r="T79" s="1014"/>
      <c r="U79" s="1014"/>
      <c r="V79" s="1014"/>
      <c r="W79" s="1014"/>
      <c r="X79" s="1014"/>
      <c r="Y79" s="1014"/>
      <c r="Z79" s="1014"/>
      <c r="AA79" s="1014"/>
      <c r="AB79" s="1014"/>
      <c r="AC79" s="1014"/>
      <c r="AD79" s="1014"/>
      <c r="AE79" s="1014"/>
      <c r="AF79" s="1014"/>
      <c r="AG79" s="1014"/>
      <c r="AH79" s="1014"/>
      <c r="AI79" s="1014"/>
      <c r="AJ79" s="1014"/>
    </row>
    <row r="80" spans="2:36" x14ac:dyDescent="0.25">
      <c r="B80" s="700"/>
      <c r="C80" s="700"/>
      <c r="D80" s="700"/>
      <c r="E80" s="1014"/>
      <c r="F80" s="1014"/>
      <c r="G80" s="1014"/>
      <c r="H80" s="1014"/>
      <c r="I80" s="1014"/>
      <c r="J80" s="1014"/>
      <c r="K80" s="1014"/>
      <c r="L80" s="1014"/>
      <c r="M80" s="1014"/>
      <c r="N80" s="1014"/>
      <c r="O80" s="1014"/>
      <c r="P80" s="1014"/>
      <c r="Q80" s="1014"/>
      <c r="R80" s="1014"/>
      <c r="S80" s="1014"/>
      <c r="T80" s="1014"/>
      <c r="U80" s="1014"/>
      <c r="V80" s="1014"/>
      <c r="W80" s="1014"/>
      <c r="X80" s="1014"/>
      <c r="Y80" s="1014"/>
      <c r="Z80" s="1014"/>
      <c r="AA80" s="1014"/>
      <c r="AB80" s="1014"/>
      <c r="AC80" s="1014"/>
      <c r="AD80" s="1014"/>
      <c r="AE80" s="1014"/>
      <c r="AF80" s="1014"/>
      <c r="AG80" s="1014"/>
      <c r="AH80" s="1014"/>
      <c r="AI80" s="1014"/>
      <c r="AJ80" s="1014"/>
    </row>
    <row r="81" spans="2:36" x14ac:dyDescent="0.25">
      <c r="B81" s="700"/>
      <c r="C81" s="700"/>
      <c r="D81" s="700"/>
      <c r="E81" s="1014"/>
      <c r="F81" s="1014"/>
      <c r="G81" s="1014"/>
      <c r="H81" s="1014"/>
      <c r="I81" s="1014"/>
      <c r="J81" s="1014"/>
      <c r="K81" s="1014"/>
      <c r="L81" s="1014"/>
      <c r="M81" s="1014"/>
      <c r="N81" s="1014"/>
      <c r="O81" s="1014"/>
      <c r="P81" s="1014"/>
      <c r="Q81" s="1014"/>
      <c r="R81" s="1014"/>
      <c r="S81" s="1014"/>
      <c r="T81" s="1014"/>
      <c r="U81" s="1014"/>
      <c r="V81" s="1014"/>
      <c r="W81" s="1014"/>
      <c r="X81" s="1014"/>
      <c r="Y81" s="1014"/>
      <c r="Z81" s="1014"/>
      <c r="AA81" s="1014"/>
      <c r="AB81" s="1014"/>
      <c r="AC81" s="1014"/>
      <c r="AD81" s="1014"/>
      <c r="AE81" s="1014"/>
      <c r="AF81" s="1014"/>
      <c r="AG81" s="1014"/>
      <c r="AH81" s="1014"/>
      <c r="AI81" s="1014"/>
      <c r="AJ81" s="1014"/>
    </row>
    <row r="82" spans="2:36" x14ac:dyDescent="0.25">
      <c r="B82" s="700"/>
      <c r="C82" s="700"/>
      <c r="D82" s="700"/>
      <c r="E82" s="1014"/>
      <c r="F82" s="1014"/>
      <c r="G82" s="1014"/>
      <c r="H82" s="1014"/>
      <c r="I82" s="1014"/>
      <c r="J82" s="1014"/>
      <c r="K82" s="1014"/>
      <c r="L82" s="1014"/>
      <c r="M82" s="1014"/>
      <c r="N82" s="1014"/>
      <c r="O82" s="1014"/>
      <c r="P82" s="1014"/>
      <c r="Q82" s="1014"/>
      <c r="R82" s="1014"/>
      <c r="S82" s="1014"/>
      <c r="T82" s="1014"/>
      <c r="U82" s="1014"/>
      <c r="V82" s="1014"/>
      <c r="W82" s="1014"/>
      <c r="X82" s="1014"/>
      <c r="Y82" s="1014"/>
      <c r="Z82" s="1014"/>
      <c r="AA82" s="1014"/>
      <c r="AB82" s="1014"/>
      <c r="AC82" s="1014"/>
      <c r="AD82" s="1014"/>
      <c r="AE82" s="1014"/>
      <c r="AF82" s="1014"/>
      <c r="AG82" s="1014"/>
      <c r="AH82" s="1014"/>
      <c r="AI82" s="1014"/>
      <c r="AJ82" s="1014"/>
    </row>
    <row r="83" spans="2:36" x14ac:dyDescent="0.25">
      <c r="B83" s="700"/>
      <c r="C83" s="700"/>
      <c r="D83" s="700"/>
      <c r="E83" s="1014"/>
      <c r="F83" s="1014"/>
      <c r="G83" s="1014"/>
      <c r="H83" s="1014"/>
      <c r="I83" s="1014"/>
      <c r="J83" s="1014"/>
      <c r="K83" s="1014"/>
      <c r="L83" s="1014"/>
      <c r="M83" s="1014"/>
      <c r="N83" s="1014"/>
      <c r="O83" s="1014"/>
      <c r="P83" s="1014"/>
      <c r="Q83" s="1014"/>
      <c r="R83" s="1014"/>
      <c r="S83" s="1014"/>
      <c r="T83" s="1014"/>
      <c r="U83" s="1014"/>
      <c r="V83" s="1014"/>
      <c r="W83" s="1014"/>
      <c r="X83" s="1014"/>
      <c r="Y83" s="1014"/>
      <c r="Z83" s="1014"/>
      <c r="AA83" s="1014"/>
      <c r="AB83" s="1014"/>
      <c r="AC83" s="1014"/>
      <c r="AD83" s="1014"/>
      <c r="AE83" s="1014"/>
      <c r="AF83" s="1014"/>
      <c r="AG83" s="1014"/>
      <c r="AH83" s="1014"/>
      <c r="AI83" s="1014"/>
      <c r="AJ83" s="1014"/>
    </row>
    <row r="84" spans="2:36" x14ac:dyDescent="0.25">
      <c r="B84" s="700"/>
      <c r="C84" s="700"/>
      <c r="D84" s="700"/>
      <c r="E84" s="1014"/>
      <c r="F84" s="1014"/>
      <c r="G84" s="1014"/>
      <c r="H84" s="1014"/>
      <c r="I84" s="1014"/>
      <c r="J84" s="1014"/>
      <c r="K84" s="1014"/>
      <c r="L84" s="1014"/>
      <c r="M84" s="1014"/>
      <c r="N84" s="1014"/>
      <c r="O84" s="1014"/>
      <c r="P84" s="1014"/>
      <c r="Q84" s="1014"/>
      <c r="R84" s="1014"/>
      <c r="S84" s="1014"/>
      <c r="T84" s="1014"/>
      <c r="U84" s="1014"/>
      <c r="V84" s="1014"/>
      <c r="W84" s="1014"/>
      <c r="X84" s="1014"/>
      <c r="Y84" s="1014"/>
      <c r="Z84" s="1014"/>
      <c r="AA84" s="1014"/>
      <c r="AB84" s="1014"/>
      <c r="AC84" s="1014"/>
      <c r="AD84" s="1014"/>
      <c r="AE84" s="1014"/>
      <c r="AF84" s="1014"/>
      <c r="AG84" s="1014"/>
      <c r="AH84" s="1014"/>
      <c r="AI84" s="1014"/>
      <c r="AJ84" s="1014"/>
    </row>
    <row r="85" spans="2:36" x14ac:dyDescent="0.25">
      <c r="B85" s="700"/>
      <c r="C85" s="700"/>
      <c r="D85" s="700"/>
      <c r="E85" s="1014"/>
      <c r="F85" s="1014"/>
      <c r="G85" s="1014"/>
      <c r="H85" s="1014"/>
      <c r="I85" s="1014"/>
      <c r="J85" s="1014"/>
      <c r="K85" s="1014"/>
      <c r="L85" s="1014"/>
      <c r="M85" s="1014"/>
      <c r="N85" s="1014"/>
      <c r="O85" s="1014"/>
      <c r="P85" s="1014"/>
      <c r="Q85" s="1014"/>
      <c r="R85" s="1014"/>
      <c r="S85" s="1014"/>
      <c r="T85" s="1014"/>
      <c r="U85" s="1014"/>
      <c r="V85" s="1014"/>
      <c r="W85" s="1014"/>
      <c r="X85" s="1014"/>
      <c r="Y85" s="1014"/>
      <c r="Z85" s="1014"/>
      <c r="AA85" s="1014"/>
      <c r="AB85" s="1014"/>
      <c r="AC85" s="1014"/>
      <c r="AD85" s="1014"/>
      <c r="AE85" s="1014"/>
      <c r="AF85" s="1014"/>
      <c r="AG85" s="1014"/>
      <c r="AH85" s="1014"/>
      <c r="AI85" s="1014"/>
      <c r="AJ85" s="1014"/>
    </row>
    <row r="86" spans="2:36" x14ac:dyDescent="0.25">
      <c r="B86" s="700"/>
      <c r="C86" s="700"/>
      <c r="D86" s="700"/>
      <c r="E86" s="1014"/>
      <c r="F86" s="1014"/>
      <c r="G86" s="1014"/>
      <c r="H86" s="1014"/>
      <c r="I86" s="1014"/>
      <c r="J86" s="1014"/>
      <c r="K86" s="1014"/>
      <c r="L86" s="1014"/>
      <c r="M86" s="1014"/>
      <c r="N86" s="1014"/>
      <c r="O86" s="1014"/>
      <c r="P86" s="1014"/>
      <c r="Q86" s="1014"/>
      <c r="R86" s="1014"/>
      <c r="S86" s="1014"/>
      <c r="T86" s="1014"/>
      <c r="U86" s="1014"/>
      <c r="V86" s="1014"/>
      <c r="W86" s="1014"/>
      <c r="X86" s="1014"/>
      <c r="Y86" s="1014"/>
      <c r="Z86" s="1014"/>
      <c r="AA86" s="1014"/>
      <c r="AB86" s="1014"/>
      <c r="AC86" s="1014"/>
      <c r="AD86" s="1014"/>
      <c r="AE86" s="1014"/>
      <c r="AF86" s="1014"/>
      <c r="AG86" s="1014"/>
      <c r="AH86" s="1014"/>
      <c r="AI86" s="1014"/>
      <c r="AJ86" s="1014"/>
    </row>
    <row r="87" spans="2:36" x14ac:dyDescent="0.25">
      <c r="B87" s="700"/>
      <c r="C87" s="700"/>
      <c r="D87" s="700"/>
      <c r="E87" s="1014"/>
      <c r="F87" s="1014"/>
      <c r="G87" s="1014"/>
      <c r="H87" s="1014"/>
      <c r="I87" s="1014"/>
      <c r="J87" s="1014"/>
      <c r="K87" s="1014"/>
      <c r="L87" s="1014"/>
      <c r="M87" s="1014"/>
      <c r="N87" s="1014"/>
      <c r="O87" s="1014"/>
      <c r="P87" s="1014"/>
      <c r="Q87" s="1014"/>
      <c r="R87" s="1014"/>
      <c r="S87" s="1014"/>
      <c r="T87" s="1014"/>
      <c r="U87" s="1014"/>
      <c r="V87" s="1014"/>
      <c r="W87" s="1014"/>
      <c r="X87" s="1014"/>
      <c r="Y87" s="1014"/>
      <c r="Z87" s="1014"/>
      <c r="AA87" s="1014"/>
      <c r="AB87" s="1014"/>
      <c r="AC87" s="1014"/>
      <c r="AD87" s="1014"/>
      <c r="AE87" s="1014"/>
      <c r="AF87" s="1014"/>
      <c r="AG87" s="1014"/>
      <c r="AH87" s="1014"/>
      <c r="AI87" s="1014"/>
      <c r="AJ87" s="1014"/>
    </row>
    <row r="88" spans="2:36" x14ac:dyDescent="0.25">
      <c r="B88" s="700"/>
      <c r="C88" s="700"/>
      <c r="D88" s="700"/>
      <c r="E88" s="1014"/>
      <c r="F88" s="1014"/>
      <c r="G88" s="1014"/>
      <c r="H88" s="1014"/>
      <c r="I88" s="1014"/>
      <c r="J88" s="1014"/>
      <c r="K88" s="1014"/>
      <c r="L88" s="1014"/>
      <c r="M88" s="1014"/>
      <c r="N88" s="1014"/>
      <c r="O88" s="1014"/>
      <c r="P88" s="1014"/>
      <c r="Q88" s="1014"/>
      <c r="R88" s="1014"/>
      <c r="S88" s="1014"/>
      <c r="T88" s="1014"/>
      <c r="U88" s="1014"/>
      <c r="V88" s="1014"/>
      <c r="W88" s="1014"/>
      <c r="X88" s="1014"/>
      <c r="Y88" s="1014"/>
      <c r="Z88" s="1014"/>
      <c r="AA88" s="1014"/>
      <c r="AB88" s="1014"/>
      <c r="AC88" s="1014"/>
      <c r="AD88" s="1014"/>
      <c r="AE88" s="1014"/>
      <c r="AF88" s="1014"/>
      <c r="AG88" s="1014"/>
      <c r="AH88" s="1014"/>
      <c r="AI88" s="1014"/>
      <c r="AJ88" s="1014"/>
    </row>
    <row r="89" spans="2:36" x14ac:dyDescent="0.25">
      <c r="B89" s="700"/>
      <c r="C89" s="700"/>
      <c r="D89" s="700"/>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row>
    <row r="90" spans="2:36" x14ac:dyDescent="0.25">
      <c r="B90" s="700"/>
      <c r="C90" s="700"/>
      <c r="D90" s="700"/>
      <c r="E90" s="1014"/>
      <c r="F90" s="1014"/>
      <c r="G90" s="1014"/>
      <c r="H90" s="1014"/>
      <c r="I90" s="1014"/>
      <c r="J90" s="1014"/>
      <c r="K90" s="1014"/>
      <c r="L90" s="1014"/>
      <c r="M90" s="1014"/>
      <c r="N90" s="1014"/>
      <c r="O90" s="1014"/>
      <c r="P90" s="1014"/>
      <c r="Q90" s="1014"/>
      <c r="R90" s="1014"/>
      <c r="S90" s="1014"/>
      <c r="T90" s="1014"/>
      <c r="U90" s="1014"/>
      <c r="V90" s="1014"/>
      <c r="W90" s="1014"/>
      <c r="X90" s="1014"/>
      <c r="Y90" s="1014"/>
      <c r="Z90" s="1014"/>
      <c r="AA90" s="1014"/>
      <c r="AB90" s="1014"/>
      <c r="AC90" s="1014"/>
      <c r="AD90" s="1014"/>
      <c r="AE90" s="1014"/>
      <c r="AF90" s="1014"/>
      <c r="AG90" s="1014"/>
      <c r="AH90" s="1014"/>
      <c r="AI90" s="1014"/>
      <c r="AJ90" s="1014"/>
    </row>
    <row r="91" spans="2:36" x14ac:dyDescent="0.25">
      <c r="B91" s="700"/>
      <c r="C91" s="700"/>
      <c r="D91" s="700"/>
      <c r="E91" s="1014"/>
      <c r="F91" s="1014"/>
      <c r="G91" s="1014"/>
      <c r="H91" s="1014"/>
      <c r="I91" s="1014"/>
      <c r="J91" s="1014"/>
      <c r="K91" s="1014"/>
      <c r="L91" s="1014"/>
      <c r="M91" s="1014"/>
      <c r="N91" s="1014"/>
      <c r="O91" s="1014"/>
      <c r="P91" s="1014"/>
      <c r="Q91" s="1014"/>
      <c r="R91" s="1014"/>
      <c r="S91" s="1014"/>
      <c r="T91" s="1014"/>
      <c r="U91" s="1014"/>
      <c r="V91" s="1014"/>
      <c r="W91" s="1014"/>
      <c r="X91" s="1014"/>
      <c r="Y91" s="1014"/>
      <c r="Z91" s="1014"/>
      <c r="AA91" s="1014"/>
      <c r="AB91" s="1014"/>
      <c r="AC91" s="1014"/>
      <c r="AD91" s="1014"/>
      <c r="AE91" s="1014"/>
      <c r="AF91" s="1014"/>
      <c r="AG91" s="1014"/>
      <c r="AH91" s="1014"/>
      <c r="AI91" s="1014"/>
      <c r="AJ91" s="1014"/>
    </row>
    <row r="92" spans="2:36" x14ac:dyDescent="0.25">
      <c r="B92" s="700"/>
      <c r="C92" s="700"/>
      <c r="D92" s="700"/>
      <c r="E92" s="1014"/>
      <c r="F92" s="1014"/>
      <c r="G92" s="1014"/>
      <c r="H92" s="1014"/>
      <c r="I92" s="1014"/>
      <c r="J92" s="1014"/>
      <c r="K92" s="1014"/>
      <c r="L92" s="1014"/>
      <c r="M92" s="1014"/>
      <c r="N92" s="1014"/>
      <c r="O92" s="1014"/>
      <c r="P92" s="1014"/>
      <c r="Q92" s="1014"/>
      <c r="R92" s="1014"/>
      <c r="S92" s="1014"/>
      <c r="T92" s="1014"/>
      <c r="U92" s="1014"/>
      <c r="V92" s="1014"/>
      <c r="W92" s="1014"/>
      <c r="X92" s="1014"/>
      <c r="Y92" s="1014"/>
      <c r="Z92" s="1014"/>
      <c r="AA92" s="1014"/>
      <c r="AB92" s="1014"/>
      <c r="AC92" s="1014"/>
      <c r="AD92" s="1014"/>
      <c r="AE92" s="1014"/>
      <c r="AF92" s="1014"/>
      <c r="AG92" s="1014"/>
      <c r="AH92" s="1014"/>
      <c r="AI92" s="1014"/>
      <c r="AJ92" s="1014"/>
    </row>
    <row r="93" spans="2:36" x14ac:dyDescent="0.25">
      <c r="B93" s="700"/>
      <c r="C93" s="700"/>
      <c r="D93" s="700"/>
      <c r="E93" s="1014"/>
      <c r="F93" s="1014"/>
      <c r="G93" s="1014"/>
      <c r="H93" s="1014"/>
      <c r="I93" s="1014"/>
      <c r="J93" s="1014"/>
      <c r="K93" s="1014"/>
      <c r="L93" s="1014"/>
      <c r="M93" s="1014"/>
      <c r="N93" s="1014"/>
      <c r="O93" s="1014"/>
      <c r="P93" s="1014"/>
      <c r="Q93" s="1014"/>
      <c r="R93" s="1014"/>
      <c r="S93" s="1014"/>
      <c r="T93" s="1014"/>
      <c r="U93" s="1014"/>
      <c r="V93" s="1014"/>
      <c r="W93" s="1014"/>
      <c r="X93" s="1014"/>
      <c r="Y93" s="1014"/>
      <c r="Z93" s="1014"/>
      <c r="AA93" s="1014"/>
      <c r="AB93" s="1014"/>
      <c r="AC93" s="1014"/>
      <c r="AD93" s="1014"/>
      <c r="AE93" s="1014"/>
      <c r="AF93" s="1014"/>
      <c r="AG93" s="1014"/>
      <c r="AH93" s="1014"/>
      <c r="AI93" s="1014"/>
      <c r="AJ93" s="1014"/>
    </row>
    <row r="94" spans="2:36" x14ac:dyDescent="0.25">
      <c r="B94" s="700"/>
      <c r="C94" s="700"/>
      <c r="D94" s="700"/>
      <c r="E94" s="1014"/>
      <c r="F94" s="1014"/>
      <c r="G94" s="1014"/>
      <c r="H94" s="1014"/>
      <c r="I94" s="1014"/>
      <c r="J94" s="1014"/>
      <c r="K94" s="1014"/>
      <c r="L94" s="1014"/>
      <c r="M94" s="1014"/>
      <c r="N94" s="1014"/>
      <c r="O94" s="1014"/>
      <c r="P94" s="1014"/>
      <c r="Q94" s="1014"/>
      <c r="R94" s="1014"/>
      <c r="S94" s="1014"/>
      <c r="T94" s="1014"/>
      <c r="U94" s="1014"/>
      <c r="V94" s="1014"/>
      <c r="W94" s="1014"/>
      <c r="X94" s="1014"/>
      <c r="Y94" s="1014"/>
      <c r="Z94" s="1014"/>
      <c r="AA94" s="1014"/>
      <c r="AB94" s="1014"/>
      <c r="AC94" s="1014"/>
      <c r="AD94" s="1014"/>
      <c r="AE94" s="1014"/>
      <c r="AF94" s="1014"/>
      <c r="AG94" s="1014"/>
      <c r="AH94" s="1014"/>
      <c r="AI94" s="1014"/>
      <c r="AJ94" s="1014"/>
    </row>
    <row r="95" spans="2:36" x14ac:dyDescent="0.25">
      <c r="B95" s="700"/>
      <c r="C95" s="700"/>
      <c r="D95" s="700"/>
      <c r="E95" s="1014"/>
      <c r="F95" s="1014"/>
      <c r="G95" s="1014"/>
      <c r="H95" s="1014"/>
      <c r="I95" s="1014"/>
      <c r="J95" s="1014"/>
      <c r="K95" s="1014"/>
      <c r="L95" s="1014"/>
      <c r="M95" s="1014"/>
      <c r="N95" s="1014"/>
      <c r="O95" s="1014"/>
      <c r="P95" s="1014"/>
      <c r="Q95" s="1014"/>
      <c r="R95" s="1014"/>
      <c r="S95" s="1014"/>
      <c r="T95" s="1014"/>
      <c r="U95" s="1014"/>
      <c r="V95" s="1014"/>
      <c r="W95" s="1014"/>
      <c r="X95" s="1014"/>
      <c r="Y95" s="1014"/>
      <c r="Z95" s="1014"/>
      <c r="AA95" s="1014"/>
      <c r="AB95" s="1014"/>
      <c r="AC95" s="1014"/>
      <c r="AD95" s="1014"/>
      <c r="AE95" s="1014"/>
      <c r="AF95" s="1014"/>
      <c r="AG95" s="1014"/>
      <c r="AH95" s="1014"/>
      <c r="AI95" s="1014"/>
      <c r="AJ95" s="1014"/>
    </row>
    <row r="96" spans="2:36" x14ac:dyDescent="0.25">
      <c r="B96" s="700"/>
      <c r="C96" s="700"/>
      <c r="D96" s="700"/>
      <c r="E96" s="1014"/>
      <c r="F96" s="1014"/>
      <c r="G96" s="1014"/>
      <c r="H96" s="1014"/>
      <c r="I96" s="1014"/>
      <c r="J96" s="1014"/>
      <c r="K96" s="1014"/>
      <c r="L96" s="1014"/>
      <c r="M96" s="1014"/>
      <c r="N96" s="1014"/>
      <c r="O96" s="1014"/>
      <c r="P96" s="1014"/>
      <c r="Q96" s="1014"/>
      <c r="R96" s="1014"/>
      <c r="S96" s="1014"/>
      <c r="T96" s="1014"/>
      <c r="U96" s="1014"/>
      <c r="V96" s="1014"/>
      <c r="W96" s="1014"/>
      <c r="X96" s="1014"/>
      <c r="Y96" s="1014"/>
      <c r="Z96" s="1014"/>
      <c r="AA96" s="1014"/>
      <c r="AB96" s="1014"/>
      <c r="AC96" s="1014"/>
      <c r="AD96" s="1014"/>
      <c r="AE96" s="1014"/>
      <c r="AF96" s="1014"/>
      <c r="AG96" s="1014"/>
      <c r="AH96" s="1014"/>
      <c r="AI96" s="1014"/>
      <c r="AJ96" s="1014"/>
    </row>
    <row r="97" spans="2:36" x14ac:dyDescent="0.25">
      <c r="B97" s="700"/>
      <c r="C97" s="700"/>
      <c r="D97" s="700"/>
      <c r="E97" s="1014"/>
      <c r="F97" s="1014"/>
      <c r="G97" s="1014"/>
      <c r="H97" s="1014"/>
      <c r="I97" s="1014"/>
      <c r="J97" s="1014"/>
      <c r="K97" s="1014"/>
      <c r="L97" s="1014"/>
      <c r="M97" s="1014"/>
      <c r="N97" s="1014"/>
      <c r="O97" s="1014"/>
      <c r="P97" s="1014"/>
      <c r="Q97" s="1014"/>
      <c r="R97" s="1014"/>
      <c r="S97" s="1014"/>
      <c r="T97" s="1014"/>
      <c r="U97" s="1014"/>
      <c r="V97" s="1014"/>
      <c r="W97" s="1014"/>
      <c r="X97" s="1014"/>
      <c r="Y97" s="1014"/>
      <c r="Z97" s="1014"/>
      <c r="AA97" s="1014"/>
      <c r="AB97" s="1014"/>
      <c r="AC97" s="1014"/>
      <c r="AD97" s="1014"/>
      <c r="AE97" s="1014"/>
      <c r="AF97" s="1014"/>
      <c r="AG97" s="1014"/>
      <c r="AH97" s="1014"/>
      <c r="AI97" s="1014"/>
      <c r="AJ97" s="1014"/>
    </row>
    <row r="98" spans="2:36" x14ac:dyDescent="0.25">
      <c r="B98" s="700"/>
      <c r="C98" s="700"/>
      <c r="D98" s="700"/>
      <c r="E98" s="1014"/>
      <c r="F98" s="1014"/>
      <c r="G98" s="1014"/>
      <c r="H98" s="1014"/>
      <c r="I98" s="1014"/>
      <c r="J98" s="1014"/>
      <c r="K98" s="1014"/>
      <c r="L98" s="1014"/>
      <c r="M98" s="1014"/>
      <c r="N98" s="1014"/>
      <c r="O98" s="1014"/>
      <c r="P98" s="1014"/>
      <c r="Q98" s="1014"/>
      <c r="R98" s="1014"/>
      <c r="S98" s="1014"/>
      <c r="T98" s="1014"/>
      <c r="U98" s="1014"/>
      <c r="V98" s="1014"/>
      <c r="W98" s="1014"/>
      <c r="X98" s="1014"/>
      <c r="Y98" s="1014"/>
      <c r="Z98" s="1014"/>
      <c r="AA98" s="1014"/>
      <c r="AB98" s="1014"/>
      <c r="AC98" s="1014"/>
      <c r="AD98" s="1014"/>
      <c r="AE98" s="1014"/>
      <c r="AF98" s="1014"/>
      <c r="AG98" s="1014"/>
      <c r="AH98" s="1014"/>
      <c r="AI98" s="1014"/>
      <c r="AJ98" s="1014"/>
    </row>
    <row r="99" spans="2:36" x14ac:dyDescent="0.25">
      <c r="B99" s="700"/>
      <c r="C99" s="700"/>
      <c r="D99" s="700"/>
      <c r="E99" s="1014"/>
      <c r="F99" s="1014"/>
      <c r="G99" s="1014"/>
      <c r="H99" s="1014"/>
      <c r="I99" s="1014"/>
      <c r="J99" s="1014"/>
      <c r="K99" s="1014"/>
      <c r="L99" s="1014"/>
      <c r="M99" s="1014"/>
      <c r="N99" s="1014"/>
      <c r="O99" s="1014"/>
      <c r="P99" s="1014"/>
      <c r="Q99" s="1014"/>
      <c r="R99" s="1014"/>
      <c r="S99" s="1014"/>
      <c r="T99" s="1014"/>
      <c r="U99" s="1014"/>
      <c r="V99" s="1014"/>
      <c r="W99" s="1014"/>
      <c r="X99" s="1014"/>
      <c r="Y99" s="1014"/>
      <c r="Z99" s="1014"/>
      <c r="AA99" s="1014"/>
      <c r="AB99" s="1014"/>
      <c r="AC99" s="1014"/>
      <c r="AD99" s="1014"/>
      <c r="AE99" s="1014"/>
      <c r="AF99" s="1014"/>
      <c r="AG99" s="1014"/>
      <c r="AH99" s="1014"/>
      <c r="AI99" s="1014"/>
      <c r="AJ99" s="1014"/>
    </row>
    <row r="100" spans="2:36" x14ac:dyDescent="0.25">
      <c r="B100" s="700"/>
      <c r="C100" s="700"/>
      <c r="D100" s="700"/>
      <c r="E100" s="1014"/>
      <c r="F100" s="1014"/>
      <c r="G100" s="1014"/>
      <c r="H100" s="1014"/>
      <c r="I100" s="1014"/>
      <c r="J100" s="1014"/>
      <c r="K100" s="1014"/>
      <c r="L100" s="1014"/>
      <c r="M100" s="1014"/>
      <c r="N100" s="1014"/>
      <c r="O100" s="1014"/>
      <c r="P100" s="1014"/>
      <c r="Q100" s="1014"/>
      <c r="R100" s="1014"/>
      <c r="S100" s="1014"/>
      <c r="T100" s="1014"/>
      <c r="U100" s="1014"/>
      <c r="V100" s="1014"/>
      <c r="W100" s="1014"/>
      <c r="X100" s="1014"/>
      <c r="Y100" s="1014"/>
      <c r="Z100" s="1014"/>
      <c r="AA100" s="1014"/>
      <c r="AB100" s="1014"/>
      <c r="AC100" s="1014"/>
      <c r="AD100" s="1014"/>
      <c r="AE100" s="1014"/>
      <c r="AF100" s="1014"/>
      <c r="AG100" s="1014"/>
      <c r="AH100" s="1014"/>
      <c r="AI100" s="1014"/>
      <c r="AJ100" s="1014"/>
    </row>
    <row r="101" spans="2:36" x14ac:dyDescent="0.25">
      <c r="B101" s="700"/>
      <c r="C101" s="700"/>
      <c r="D101" s="700"/>
      <c r="E101" s="1014"/>
      <c r="F101" s="1014"/>
      <c r="G101" s="1014"/>
      <c r="H101" s="1014"/>
      <c r="I101" s="1014"/>
      <c r="J101" s="1014"/>
      <c r="K101" s="1014"/>
      <c r="L101" s="1014"/>
      <c r="M101" s="1014"/>
      <c r="N101" s="1014"/>
      <c r="O101" s="1014"/>
      <c r="P101" s="1014"/>
      <c r="Q101" s="1014"/>
      <c r="R101" s="1014"/>
      <c r="S101" s="1014"/>
      <c r="T101" s="1014"/>
      <c r="U101" s="1014"/>
      <c r="V101" s="1014"/>
      <c r="W101" s="1014"/>
      <c r="X101" s="1014"/>
      <c r="Y101" s="1014"/>
      <c r="Z101" s="1014"/>
      <c r="AA101" s="1014"/>
      <c r="AB101" s="1014"/>
      <c r="AC101" s="1014"/>
      <c r="AD101" s="1014"/>
      <c r="AE101" s="1014"/>
      <c r="AF101" s="1014"/>
      <c r="AG101" s="1014"/>
      <c r="AH101" s="1014"/>
      <c r="AI101" s="1014"/>
      <c r="AJ101" s="1014"/>
    </row>
    <row r="102" spans="2:36" x14ac:dyDescent="0.25">
      <c r="B102" s="700"/>
      <c r="C102" s="700"/>
      <c r="D102" s="700"/>
      <c r="E102" s="1014"/>
      <c r="F102" s="1014"/>
      <c r="G102" s="1014"/>
      <c r="H102" s="1014"/>
      <c r="I102" s="1014"/>
      <c r="J102" s="1014"/>
      <c r="K102" s="1014"/>
      <c r="L102" s="1014"/>
      <c r="M102" s="1014"/>
      <c r="N102" s="1014"/>
      <c r="O102" s="1014"/>
      <c r="P102" s="1014"/>
      <c r="Q102" s="1014"/>
      <c r="R102" s="1014"/>
      <c r="S102" s="1014"/>
      <c r="T102" s="1014"/>
      <c r="U102" s="1014"/>
      <c r="V102" s="1014"/>
      <c r="W102" s="1014"/>
      <c r="X102" s="1014"/>
      <c r="Y102" s="1014"/>
      <c r="Z102" s="1014"/>
      <c r="AA102" s="1014"/>
      <c r="AB102" s="1014"/>
      <c r="AC102" s="1014"/>
      <c r="AD102" s="1014"/>
      <c r="AE102" s="1014"/>
      <c r="AF102" s="1014"/>
      <c r="AG102" s="1014"/>
      <c r="AH102" s="1014"/>
      <c r="AI102" s="1014"/>
      <c r="AJ102" s="1014"/>
    </row>
    <row r="103" spans="2:36" x14ac:dyDescent="0.25">
      <c r="B103" s="700"/>
      <c r="C103" s="700"/>
      <c r="D103" s="700"/>
      <c r="E103" s="1014"/>
      <c r="F103" s="1014"/>
      <c r="G103" s="1014"/>
      <c r="H103" s="1014"/>
      <c r="I103" s="1014"/>
      <c r="J103" s="1014"/>
      <c r="K103" s="1014"/>
      <c r="L103" s="1014"/>
      <c r="M103" s="1014"/>
      <c r="N103" s="1014"/>
      <c r="O103" s="1014"/>
      <c r="P103" s="1014"/>
      <c r="Q103" s="1014"/>
      <c r="R103" s="1014"/>
      <c r="S103" s="1014"/>
      <c r="T103" s="1014"/>
      <c r="U103" s="1014"/>
      <c r="V103" s="1014"/>
      <c r="W103" s="1014"/>
      <c r="X103" s="1014"/>
      <c r="Y103" s="1014"/>
      <c r="Z103" s="1014"/>
      <c r="AA103" s="1014"/>
      <c r="AB103" s="1014"/>
      <c r="AC103" s="1014"/>
      <c r="AD103" s="1014"/>
      <c r="AE103" s="1014"/>
      <c r="AF103" s="1014"/>
      <c r="AG103" s="1014"/>
      <c r="AH103" s="1014"/>
      <c r="AI103" s="1014"/>
      <c r="AJ103" s="1014"/>
    </row>
    <row r="104" spans="2:36" x14ac:dyDescent="0.25">
      <c r="B104" s="700"/>
      <c r="C104" s="700"/>
      <c r="D104" s="700"/>
      <c r="E104" s="1014"/>
      <c r="F104" s="1014"/>
      <c r="G104" s="1014"/>
      <c r="H104" s="1014"/>
      <c r="I104" s="1014"/>
      <c r="J104" s="1014"/>
      <c r="K104" s="1014"/>
      <c r="L104" s="1014"/>
      <c r="M104" s="1014"/>
      <c r="N104" s="1014"/>
      <c r="O104" s="1014"/>
      <c r="P104" s="1014"/>
      <c r="Q104" s="1014"/>
      <c r="R104" s="1014"/>
      <c r="S104" s="1014"/>
      <c r="T104" s="1014"/>
      <c r="U104" s="1014"/>
      <c r="V104" s="1014"/>
      <c r="W104" s="1014"/>
      <c r="X104" s="1014"/>
      <c r="Y104" s="1014"/>
      <c r="Z104" s="1014"/>
      <c r="AA104" s="1014"/>
      <c r="AB104" s="1014"/>
      <c r="AC104" s="1014"/>
      <c r="AD104" s="1014"/>
      <c r="AE104" s="1014"/>
      <c r="AF104" s="1014"/>
      <c r="AG104" s="1014"/>
      <c r="AH104" s="1014"/>
      <c r="AI104" s="1014"/>
      <c r="AJ104" s="1014"/>
    </row>
    <row r="105" spans="2:36" x14ac:dyDescent="0.25">
      <c r="B105" s="700"/>
      <c r="C105" s="700"/>
      <c r="D105" s="700"/>
      <c r="E105" s="1014"/>
      <c r="F105" s="1014"/>
      <c r="G105" s="1014"/>
      <c r="H105" s="1014"/>
      <c r="I105" s="1014"/>
      <c r="J105" s="1014"/>
      <c r="K105" s="1014"/>
      <c r="L105" s="1014"/>
      <c r="M105" s="1014"/>
      <c r="N105" s="1014"/>
      <c r="O105" s="1014"/>
      <c r="P105" s="1014"/>
      <c r="Q105" s="1014"/>
      <c r="R105" s="1014"/>
      <c r="S105" s="1014"/>
      <c r="T105" s="1014"/>
      <c r="U105" s="1014"/>
      <c r="V105" s="1014"/>
      <c r="W105" s="1014"/>
      <c r="X105" s="1014"/>
      <c r="Y105" s="1014"/>
      <c r="Z105" s="1014"/>
      <c r="AA105" s="1014"/>
      <c r="AB105" s="1014"/>
      <c r="AC105" s="1014"/>
      <c r="AD105" s="1014"/>
      <c r="AE105" s="1014"/>
      <c r="AF105" s="1014"/>
      <c r="AG105" s="1014"/>
      <c r="AH105" s="1014"/>
      <c r="AI105" s="1014"/>
      <c r="AJ105" s="1014"/>
    </row>
    <row r="106" spans="2:36" x14ac:dyDescent="0.25">
      <c r="B106" s="700"/>
      <c r="C106" s="700"/>
      <c r="D106" s="700"/>
      <c r="E106" s="1014"/>
      <c r="F106" s="1014"/>
      <c r="G106" s="1014"/>
      <c r="H106" s="1014"/>
      <c r="I106" s="1014"/>
      <c r="J106" s="1014"/>
      <c r="K106" s="1014"/>
      <c r="L106" s="1014"/>
      <c r="M106" s="1014"/>
      <c r="N106" s="1014"/>
      <c r="O106" s="1014"/>
      <c r="P106" s="1014"/>
      <c r="Q106" s="1014"/>
      <c r="R106" s="1014"/>
      <c r="S106" s="1014"/>
      <c r="T106" s="1014"/>
      <c r="U106" s="1014"/>
      <c r="V106" s="1014"/>
      <c r="W106" s="1014"/>
      <c r="X106" s="1014"/>
      <c r="Y106" s="1014"/>
      <c r="Z106" s="1014"/>
      <c r="AA106" s="1014"/>
      <c r="AB106" s="1014"/>
      <c r="AC106" s="1014"/>
      <c r="AD106" s="1014"/>
      <c r="AE106" s="1014"/>
      <c r="AF106" s="1014"/>
      <c r="AG106" s="1014"/>
      <c r="AH106" s="1014"/>
      <c r="AI106" s="1014"/>
      <c r="AJ106" s="1014"/>
    </row>
    <row r="107" spans="2:36" x14ac:dyDescent="0.25">
      <c r="B107" s="700"/>
      <c r="C107" s="700"/>
      <c r="D107" s="700"/>
      <c r="E107" s="1014"/>
      <c r="F107" s="1014"/>
      <c r="G107" s="1014"/>
      <c r="H107" s="1014"/>
      <c r="I107" s="1014"/>
      <c r="J107" s="1014"/>
      <c r="K107" s="1014"/>
      <c r="L107" s="1014"/>
      <c r="M107" s="1014"/>
      <c r="N107" s="1014"/>
      <c r="O107" s="1014"/>
      <c r="P107" s="1014"/>
      <c r="Q107" s="1014"/>
      <c r="R107" s="1014"/>
      <c r="S107" s="1014"/>
      <c r="T107" s="1014"/>
      <c r="U107" s="1014"/>
      <c r="V107" s="1014"/>
      <c r="W107" s="1014"/>
      <c r="X107" s="1014"/>
      <c r="Y107" s="1014"/>
      <c r="Z107" s="1014"/>
      <c r="AA107" s="1014"/>
      <c r="AB107" s="1014"/>
      <c r="AC107" s="1014"/>
      <c r="AD107" s="1014"/>
      <c r="AE107" s="1014"/>
      <c r="AF107" s="1014"/>
      <c r="AG107" s="1014"/>
      <c r="AH107" s="1014"/>
      <c r="AI107" s="1014"/>
      <c r="AJ107" s="1014"/>
    </row>
    <row r="108" spans="2:36" x14ac:dyDescent="0.25">
      <c r="B108" s="700"/>
      <c r="C108" s="700"/>
      <c r="D108" s="700"/>
      <c r="E108" s="1014"/>
      <c r="F108" s="1014"/>
      <c r="G108" s="1014"/>
      <c r="H108" s="1014"/>
      <c r="I108" s="1014"/>
      <c r="J108" s="1014"/>
      <c r="K108" s="1014"/>
      <c r="L108" s="1014"/>
      <c r="M108" s="1014"/>
      <c r="N108" s="1014"/>
      <c r="O108" s="1014"/>
      <c r="P108" s="1014"/>
      <c r="Q108" s="1014"/>
      <c r="R108" s="1014"/>
      <c r="S108" s="1014"/>
      <c r="T108" s="1014"/>
      <c r="U108" s="1014"/>
      <c r="V108" s="1014"/>
      <c r="W108" s="1014"/>
      <c r="X108" s="1014"/>
      <c r="Y108" s="1014"/>
      <c r="Z108" s="1014"/>
      <c r="AA108" s="1014"/>
      <c r="AB108" s="1014"/>
      <c r="AC108" s="1014"/>
      <c r="AD108" s="1014"/>
      <c r="AE108" s="1014"/>
      <c r="AF108" s="1014"/>
      <c r="AG108" s="1014"/>
      <c r="AH108" s="1014"/>
      <c r="AI108" s="1014"/>
      <c r="AJ108" s="1014"/>
    </row>
    <row r="109" spans="2:36" x14ac:dyDescent="0.25">
      <c r="B109" s="700"/>
      <c r="C109" s="700"/>
      <c r="D109" s="700"/>
      <c r="E109" s="1014"/>
      <c r="F109" s="1014"/>
      <c r="G109" s="1014"/>
      <c r="H109" s="1014"/>
      <c r="I109" s="1014"/>
      <c r="J109" s="1014"/>
      <c r="K109" s="1014"/>
      <c r="L109" s="1014"/>
      <c r="M109" s="1014"/>
      <c r="N109" s="1014"/>
      <c r="O109" s="1014"/>
      <c r="P109" s="1014"/>
      <c r="Q109" s="1014"/>
      <c r="R109" s="1014"/>
      <c r="S109" s="1014"/>
      <c r="T109" s="1014"/>
      <c r="U109" s="1014"/>
      <c r="V109" s="1014"/>
      <c r="W109" s="1014"/>
      <c r="X109" s="1014"/>
      <c r="Y109" s="1014"/>
      <c r="Z109" s="1014"/>
      <c r="AA109" s="1014"/>
      <c r="AB109" s="1014"/>
      <c r="AC109" s="1014"/>
      <c r="AD109" s="1014"/>
      <c r="AE109" s="1014"/>
      <c r="AF109" s="1014"/>
      <c r="AG109" s="1014"/>
      <c r="AH109" s="1014"/>
      <c r="AI109" s="1014"/>
      <c r="AJ109" s="1014"/>
    </row>
    <row r="110" spans="2:36" x14ac:dyDescent="0.25">
      <c r="B110" s="700"/>
      <c r="C110" s="700"/>
      <c r="D110" s="700"/>
      <c r="E110" s="1014"/>
      <c r="F110" s="1014"/>
      <c r="G110" s="1014"/>
      <c r="H110" s="1014"/>
      <c r="I110" s="1014"/>
      <c r="J110" s="1014"/>
      <c r="K110" s="1014"/>
      <c r="L110" s="1014"/>
      <c r="M110" s="1014"/>
      <c r="N110" s="1014"/>
      <c r="O110" s="1014"/>
      <c r="P110" s="1014"/>
      <c r="Q110" s="1014"/>
      <c r="R110" s="1014"/>
      <c r="S110" s="1014"/>
      <c r="T110" s="1014"/>
      <c r="U110" s="1014"/>
      <c r="V110" s="1014"/>
      <c r="W110" s="1014"/>
      <c r="X110" s="1014"/>
      <c r="Y110" s="1014"/>
      <c r="Z110" s="1014"/>
      <c r="AA110" s="1014"/>
      <c r="AB110" s="1014"/>
      <c r="AC110" s="1014"/>
      <c r="AD110" s="1014"/>
      <c r="AE110" s="1014"/>
      <c r="AF110" s="1014"/>
      <c r="AG110" s="1014"/>
      <c r="AH110" s="1014"/>
      <c r="AI110" s="1014"/>
      <c r="AJ110" s="1014"/>
    </row>
    <row r="111" spans="2:36" x14ac:dyDescent="0.25">
      <c r="B111" s="700"/>
      <c r="C111" s="700"/>
      <c r="D111" s="700"/>
      <c r="E111" s="1014"/>
      <c r="F111" s="1014"/>
      <c r="G111" s="1014"/>
      <c r="H111" s="1014"/>
      <c r="I111" s="1014"/>
      <c r="J111" s="1014"/>
      <c r="K111" s="1014"/>
      <c r="L111" s="1014"/>
      <c r="M111" s="1014"/>
      <c r="N111" s="1014"/>
      <c r="O111" s="1014"/>
      <c r="P111" s="1014"/>
      <c r="Q111" s="1014"/>
      <c r="R111" s="1014"/>
      <c r="S111" s="1014"/>
      <c r="T111" s="1014"/>
      <c r="U111" s="1014"/>
      <c r="V111" s="1014"/>
      <c r="W111" s="1014"/>
      <c r="X111" s="1014"/>
      <c r="Y111" s="1014"/>
      <c r="Z111" s="1014"/>
      <c r="AA111" s="1014"/>
      <c r="AB111" s="1014"/>
      <c r="AC111" s="1014"/>
      <c r="AD111" s="1014"/>
      <c r="AE111" s="1014"/>
      <c r="AF111" s="1014"/>
      <c r="AG111" s="1014"/>
      <c r="AH111" s="1014"/>
      <c r="AI111" s="1014"/>
      <c r="AJ111" s="1014"/>
    </row>
    <row r="112" spans="2:36" x14ac:dyDescent="0.25">
      <c r="B112" s="700"/>
      <c r="C112" s="700"/>
      <c r="D112" s="700"/>
      <c r="E112" s="1014"/>
      <c r="F112" s="1014"/>
      <c r="G112" s="1014"/>
      <c r="H112" s="1014"/>
      <c r="I112" s="1014"/>
      <c r="J112" s="1014"/>
      <c r="K112" s="1014"/>
      <c r="L112" s="1014"/>
      <c r="M112" s="1014"/>
      <c r="N112" s="1014"/>
      <c r="O112" s="1014"/>
      <c r="P112" s="1014"/>
      <c r="Q112" s="1014"/>
      <c r="R112" s="1014"/>
      <c r="S112" s="1014"/>
      <c r="T112" s="1014"/>
      <c r="U112" s="1014"/>
      <c r="V112" s="1014"/>
      <c r="W112" s="1014"/>
      <c r="X112" s="1014"/>
      <c r="Y112" s="1014"/>
      <c r="Z112" s="1014"/>
      <c r="AA112" s="1014"/>
      <c r="AB112" s="1014"/>
      <c r="AC112" s="1014"/>
      <c r="AD112" s="1014"/>
      <c r="AE112" s="1014"/>
      <c r="AF112" s="1014"/>
      <c r="AG112" s="1014"/>
      <c r="AH112" s="1014"/>
      <c r="AI112" s="1014"/>
      <c r="AJ112" s="1014"/>
    </row>
    <row r="113" spans="2:36" x14ac:dyDescent="0.25">
      <c r="B113" s="700"/>
      <c r="C113" s="700"/>
      <c r="D113" s="700"/>
      <c r="E113" s="1014"/>
      <c r="F113" s="1014"/>
      <c r="G113" s="1014"/>
      <c r="H113" s="1014"/>
      <c r="I113" s="1014"/>
      <c r="J113" s="1014"/>
      <c r="K113" s="1014"/>
      <c r="L113" s="1014"/>
      <c r="M113" s="1014"/>
      <c r="N113" s="1014"/>
      <c r="O113" s="1014"/>
      <c r="P113" s="1014"/>
      <c r="Q113" s="1014"/>
      <c r="R113" s="1014"/>
      <c r="S113" s="1014"/>
      <c r="T113" s="1014"/>
      <c r="U113" s="1014"/>
      <c r="V113" s="1014"/>
      <c r="W113" s="1014"/>
      <c r="X113" s="1014"/>
      <c r="Y113" s="1014"/>
      <c r="Z113" s="1014"/>
      <c r="AA113" s="1014"/>
      <c r="AB113" s="1014"/>
      <c r="AC113" s="1014"/>
      <c r="AD113" s="1014"/>
      <c r="AE113" s="1014"/>
      <c r="AF113" s="1014"/>
      <c r="AG113" s="1014"/>
      <c r="AH113" s="1014"/>
      <c r="AI113" s="1014"/>
      <c r="AJ113" s="1014"/>
    </row>
    <row r="114" spans="2:36" x14ac:dyDescent="0.25">
      <c r="B114" s="700"/>
      <c r="C114" s="700"/>
      <c r="D114" s="700"/>
      <c r="E114" s="1014"/>
      <c r="F114" s="1014"/>
      <c r="G114" s="1014"/>
      <c r="H114" s="1014"/>
      <c r="I114" s="1014"/>
      <c r="J114" s="1014"/>
      <c r="K114" s="1014"/>
      <c r="L114" s="1014"/>
      <c r="M114" s="1014"/>
      <c r="N114" s="1014"/>
      <c r="O114" s="1014"/>
      <c r="P114" s="1014"/>
      <c r="Q114" s="1014"/>
      <c r="R114" s="1014"/>
      <c r="S114" s="1014"/>
      <c r="T114" s="1014"/>
      <c r="U114" s="1014"/>
      <c r="V114" s="1014"/>
      <c r="W114" s="1014"/>
      <c r="X114" s="1014"/>
      <c r="Y114" s="1014"/>
      <c r="Z114" s="1014"/>
      <c r="AA114" s="1014"/>
      <c r="AB114" s="1014"/>
      <c r="AC114" s="1014"/>
      <c r="AD114" s="1014"/>
      <c r="AE114" s="1014"/>
      <c r="AF114" s="1014"/>
      <c r="AG114" s="1014"/>
      <c r="AH114" s="1014"/>
      <c r="AI114" s="1014"/>
      <c r="AJ114" s="1014"/>
    </row>
    <row r="115" spans="2:36" x14ac:dyDescent="0.25">
      <c r="B115" s="700"/>
      <c r="C115" s="700"/>
      <c r="D115" s="700"/>
      <c r="E115" s="1014"/>
      <c r="F115" s="1014"/>
      <c r="G115" s="1014"/>
      <c r="H115" s="1014"/>
      <c r="I115" s="1014"/>
      <c r="J115" s="1014"/>
      <c r="K115" s="1014"/>
      <c r="L115" s="1014"/>
      <c r="M115" s="1014"/>
      <c r="N115" s="1014"/>
      <c r="O115" s="1014"/>
      <c r="P115" s="1014"/>
      <c r="Q115" s="1014"/>
      <c r="R115" s="1014"/>
      <c r="S115" s="1014"/>
      <c r="T115" s="1014"/>
      <c r="U115" s="1014"/>
      <c r="V115" s="1014"/>
      <c r="W115" s="1014"/>
      <c r="X115" s="1014"/>
      <c r="Y115" s="1014"/>
      <c r="Z115" s="1014"/>
      <c r="AA115" s="1014"/>
      <c r="AB115" s="1014"/>
      <c r="AC115" s="1014"/>
      <c r="AD115" s="1014"/>
      <c r="AE115" s="1014"/>
      <c r="AF115" s="1014"/>
      <c r="AG115" s="1014"/>
      <c r="AH115" s="1014"/>
      <c r="AI115" s="1014"/>
      <c r="AJ115" s="1014"/>
    </row>
    <row r="116" spans="2:36" x14ac:dyDescent="0.25">
      <c r="B116" s="700"/>
      <c r="C116" s="700"/>
      <c r="D116" s="700"/>
      <c r="E116" s="1014"/>
      <c r="F116" s="1014"/>
      <c r="G116" s="1014"/>
      <c r="H116" s="1014"/>
      <c r="I116" s="1014"/>
      <c r="J116" s="1014"/>
      <c r="K116" s="1014"/>
      <c r="L116" s="1014"/>
      <c r="M116" s="1014"/>
      <c r="N116" s="1014"/>
      <c r="O116" s="1014"/>
      <c r="P116" s="1014"/>
      <c r="Q116" s="1014"/>
      <c r="R116" s="1014"/>
      <c r="S116" s="1014"/>
      <c r="T116" s="1014"/>
      <c r="U116" s="1014"/>
      <c r="V116" s="1014"/>
      <c r="W116" s="1014"/>
      <c r="X116" s="1014"/>
      <c r="Y116" s="1014"/>
      <c r="Z116" s="1014"/>
      <c r="AA116" s="1014"/>
      <c r="AB116" s="1014"/>
      <c r="AC116" s="1014"/>
      <c r="AD116" s="1014"/>
      <c r="AE116" s="1014"/>
      <c r="AF116" s="1014"/>
      <c r="AG116" s="1014"/>
      <c r="AH116" s="1014"/>
      <c r="AI116" s="1014"/>
      <c r="AJ116" s="1014"/>
    </row>
    <row r="117" spans="2:36" x14ac:dyDescent="0.25">
      <c r="B117" s="700"/>
      <c r="C117" s="700"/>
      <c r="D117" s="700"/>
      <c r="E117" s="1014"/>
      <c r="F117" s="1014"/>
      <c r="G117" s="1014"/>
      <c r="H117" s="1014"/>
      <c r="I117" s="1014"/>
      <c r="J117" s="1014"/>
      <c r="K117" s="1014"/>
      <c r="L117" s="1014"/>
      <c r="M117" s="1014"/>
      <c r="N117" s="1014"/>
      <c r="O117" s="1014"/>
      <c r="P117" s="1014"/>
      <c r="Q117" s="1014"/>
      <c r="R117" s="1014"/>
      <c r="S117" s="1014"/>
      <c r="T117" s="1014"/>
      <c r="U117" s="1014"/>
      <c r="V117" s="1014"/>
      <c r="W117" s="1014"/>
      <c r="X117" s="1014"/>
      <c r="Y117" s="1014"/>
      <c r="Z117" s="1014"/>
      <c r="AA117" s="1014"/>
      <c r="AB117" s="1014"/>
      <c r="AC117" s="1014"/>
      <c r="AD117" s="1014"/>
      <c r="AE117" s="1014"/>
      <c r="AF117" s="1014"/>
      <c r="AG117" s="1014"/>
      <c r="AH117" s="1014"/>
      <c r="AI117" s="1014"/>
      <c r="AJ117" s="1014"/>
    </row>
    <row r="118" spans="2:36" x14ac:dyDescent="0.25">
      <c r="B118" s="700"/>
      <c r="C118" s="700"/>
      <c r="D118" s="700"/>
      <c r="E118" s="1014"/>
      <c r="F118" s="1014"/>
      <c r="G118" s="1014"/>
      <c r="H118" s="1014"/>
      <c r="I118" s="1014"/>
      <c r="J118" s="1014"/>
      <c r="K118" s="1014"/>
      <c r="L118" s="1014"/>
      <c r="M118" s="1014"/>
      <c r="N118" s="1014"/>
      <c r="O118" s="1014"/>
      <c r="P118" s="1014"/>
      <c r="Q118" s="1014"/>
      <c r="R118" s="1014"/>
      <c r="S118" s="1014"/>
      <c r="T118" s="1014"/>
      <c r="U118" s="1014"/>
      <c r="V118" s="1014"/>
      <c r="W118" s="1014"/>
      <c r="X118" s="1014"/>
      <c r="Y118" s="1014"/>
      <c r="Z118" s="1014"/>
      <c r="AA118" s="1014"/>
      <c r="AB118" s="1014"/>
      <c r="AC118" s="1014"/>
      <c r="AD118" s="1014"/>
      <c r="AE118" s="1014"/>
      <c r="AF118" s="1014"/>
      <c r="AG118" s="1014"/>
      <c r="AH118" s="1014"/>
      <c r="AI118" s="1014"/>
      <c r="AJ118" s="1014"/>
    </row>
    <row r="119" spans="2:36" x14ac:dyDescent="0.25">
      <c r="B119" s="700"/>
      <c r="C119" s="700"/>
      <c r="D119" s="700"/>
      <c r="E119" s="1014"/>
      <c r="F119" s="1014"/>
      <c r="G119" s="1014"/>
      <c r="H119" s="1014"/>
      <c r="I119" s="1014"/>
      <c r="J119" s="1014"/>
      <c r="K119" s="1014"/>
      <c r="L119" s="1014"/>
      <c r="M119" s="1014"/>
      <c r="N119" s="1014"/>
      <c r="O119" s="1014"/>
      <c r="P119" s="1014"/>
      <c r="Q119" s="1014"/>
      <c r="R119" s="1014"/>
      <c r="S119" s="1014"/>
      <c r="T119" s="1014"/>
      <c r="U119" s="1014"/>
      <c r="V119" s="1014"/>
      <c r="W119" s="1014"/>
      <c r="X119" s="1014"/>
      <c r="Y119" s="1014"/>
      <c r="Z119" s="1014"/>
      <c r="AA119" s="1014"/>
      <c r="AB119" s="1014"/>
      <c r="AC119" s="1014"/>
      <c r="AD119" s="1014"/>
      <c r="AE119" s="1014"/>
      <c r="AF119" s="1014"/>
      <c r="AG119" s="1014"/>
      <c r="AH119" s="1014"/>
      <c r="AI119" s="1014"/>
      <c r="AJ119" s="1014"/>
    </row>
    <row r="120" spans="2:36" x14ac:dyDescent="0.25">
      <c r="B120" s="700"/>
      <c r="C120" s="700"/>
      <c r="D120" s="700"/>
      <c r="E120" s="1014"/>
      <c r="F120" s="1014"/>
      <c r="G120" s="1014"/>
      <c r="H120" s="1014"/>
      <c r="I120" s="1014"/>
      <c r="J120" s="1014"/>
      <c r="K120" s="1014"/>
      <c r="L120" s="1014"/>
      <c r="M120" s="1014"/>
      <c r="N120" s="1014"/>
      <c r="O120" s="1014"/>
      <c r="P120" s="1014"/>
      <c r="Q120" s="1014"/>
      <c r="R120" s="1014"/>
      <c r="S120" s="1014"/>
      <c r="T120" s="1014"/>
      <c r="U120" s="1014"/>
      <c r="V120" s="1014"/>
      <c r="W120" s="1014"/>
      <c r="X120" s="1014"/>
      <c r="Y120" s="1014"/>
      <c r="Z120" s="1014"/>
      <c r="AA120" s="1014"/>
      <c r="AB120" s="1014"/>
      <c r="AC120" s="1014"/>
      <c r="AD120" s="1014"/>
      <c r="AE120" s="1014"/>
      <c r="AF120" s="1014"/>
      <c r="AG120" s="1014"/>
      <c r="AH120" s="1014"/>
      <c r="AI120" s="1014"/>
      <c r="AJ120" s="1014"/>
    </row>
    <row r="121" spans="2:36" x14ac:dyDescent="0.25">
      <c r="B121" s="700"/>
      <c r="C121" s="700"/>
      <c r="D121" s="700"/>
      <c r="E121" s="1014"/>
      <c r="F121" s="1014"/>
      <c r="G121" s="1014"/>
      <c r="H121" s="1014"/>
      <c r="I121" s="1014"/>
      <c r="J121" s="1014"/>
      <c r="K121" s="1014"/>
      <c r="L121" s="1014"/>
      <c r="M121" s="1014"/>
      <c r="N121" s="1014"/>
      <c r="O121" s="1014"/>
      <c r="P121" s="1014"/>
      <c r="Q121" s="1014"/>
      <c r="R121" s="1014"/>
      <c r="S121" s="1014"/>
      <c r="T121" s="1014"/>
      <c r="U121" s="1014"/>
      <c r="V121" s="1014"/>
      <c r="W121" s="1014"/>
      <c r="X121" s="1014"/>
      <c r="Y121" s="1014"/>
      <c r="Z121" s="1014"/>
      <c r="AA121" s="1014"/>
      <c r="AB121" s="1014"/>
      <c r="AC121" s="1014"/>
      <c r="AD121" s="1014"/>
      <c r="AE121" s="1014"/>
      <c r="AF121" s="1014"/>
      <c r="AG121" s="1014"/>
      <c r="AH121" s="1014"/>
      <c r="AI121" s="1014"/>
      <c r="AJ121" s="1014"/>
    </row>
    <row r="122" spans="2:36" x14ac:dyDescent="0.25">
      <c r="B122" s="700"/>
      <c r="C122" s="700"/>
      <c r="D122" s="700"/>
      <c r="E122" s="1014"/>
      <c r="F122" s="1014"/>
      <c r="G122" s="1014"/>
      <c r="H122" s="1014"/>
      <c r="I122" s="1014"/>
      <c r="J122" s="1014"/>
      <c r="K122" s="1014"/>
      <c r="L122" s="1014"/>
      <c r="M122" s="1014"/>
      <c r="N122" s="1014"/>
      <c r="O122" s="1014"/>
      <c r="P122" s="1014"/>
      <c r="Q122" s="1014"/>
      <c r="R122" s="1014"/>
      <c r="S122" s="1014"/>
      <c r="T122" s="1014"/>
      <c r="U122" s="1014"/>
      <c r="V122" s="1014"/>
      <c r="W122" s="1014"/>
      <c r="X122" s="1014"/>
      <c r="Y122" s="1014"/>
      <c r="Z122" s="1014"/>
      <c r="AA122" s="1014"/>
      <c r="AB122" s="1014"/>
      <c r="AC122" s="1014"/>
      <c r="AD122" s="1014"/>
      <c r="AE122" s="1014"/>
      <c r="AF122" s="1014"/>
      <c r="AG122" s="1014"/>
      <c r="AH122" s="1014"/>
      <c r="AI122" s="1014"/>
      <c r="AJ122" s="1014"/>
    </row>
    <row r="123" spans="2:36" x14ac:dyDescent="0.25">
      <c r="B123" s="700"/>
      <c r="C123" s="700"/>
      <c r="D123" s="700"/>
      <c r="E123" s="1014"/>
      <c r="F123" s="1014"/>
      <c r="G123" s="1014"/>
      <c r="H123" s="1014"/>
      <c r="I123" s="1014"/>
      <c r="J123" s="1014"/>
      <c r="K123" s="1014"/>
      <c r="L123" s="1014"/>
      <c r="M123" s="1014"/>
      <c r="N123" s="1014"/>
      <c r="O123" s="1014"/>
      <c r="P123" s="1014"/>
      <c r="Q123" s="1014"/>
      <c r="R123" s="1014"/>
      <c r="S123" s="1014"/>
      <c r="T123" s="1014"/>
      <c r="U123" s="1014"/>
      <c r="V123" s="1014"/>
      <c r="W123" s="1014"/>
      <c r="X123" s="1014"/>
      <c r="Y123" s="1014"/>
      <c r="Z123" s="1014"/>
      <c r="AA123" s="1014"/>
      <c r="AB123" s="1014"/>
      <c r="AC123" s="1014"/>
      <c r="AD123" s="1014"/>
      <c r="AE123" s="1014"/>
      <c r="AF123" s="1014"/>
      <c r="AG123" s="1014"/>
      <c r="AH123" s="1014"/>
      <c r="AI123" s="1014"/>
      <c r="AJ123" s="1014"/>
    </row>
    <row r="124" spans="2:36" x14ac:dyDescent="0.25">
      <c r="B124" s="700"/>
      <c r="C124" s="700"/>
      <c r="D124" s="700"/>
      <c r="E124" s="1014"/>
      <c r="F124" s="1014"/>
      <c r="G124" s="1014"/>
      <c r="H124" s="1014"/>
      <c r="I124" s="1014"/>
      <c r="J124" s="1014"/>
      <c r="K124" s="1014"/>
      <c r="L124" s="1014"/>
      <c r="M124" s="1014"/>
      <c r="N124" s="1014"/>
      <c r="O124" s="1014"/>
      <c r="P124" s="1014"/>
      <c r="Q124" s="1014"/>
      <c r="R124" s="1014"/>
      <c r="S124" s="1014"/>
      <c r="T124" s="1014"/>
      <c r="U124" s="1014"/>
      <c r="V124" s="1014"/>
      <c r="W124" s="1014"/>
      <c r="X124" s="1014"/>
      <c r="Y124" s="1014"/>
      <c r="Z124" s="1014"/>
      <c r="AA124" s="1014"/>
      <c r="AB124" s="1014"/>
      <c r="AC124" s="1014"/>
      <c r="AD124" s="1014"/>
      <c r="AE124" s="1014"/>
      <c r="AF124" s="1014"/>
      <c r="AG124" s="1014"/>
      <c r="AH124" s="1014"/>
      <c r="AI124" s="1014"/>
      <c r="AJ124" s="1014"/>
    </row>
    <row r="125" spans="2:36" x14ac:dyDescent="0.25">
      <c r="B125" s="700"/>
      <c r="C125" s="700"/>
      <c r="D125" s="700"/>
      <c r="E125" s="1014"/>
      <c r="F125" s="1014"/>
      <c r="G125" s="1014"/>
      <c r="H125" s="1014"/>
      <c r="I125" s="1014"/>
      <c r="J125" s="1014"/>
      <c r="K125" s="1014"/>
      <c r="L125" s="1014"/>
      <c r="M125" s="1014"/>
      <c r="N125" s="1014"/>
      <c r="O125" s="1014"/>
      <c r="P125" s="1014"/>
      <c r="Q125" s="1014"/>
      <c r="R125" s="1014"/>
      <c r="S125" s="1014"/>
      <c r="T125" s="1014"/>
      <c r="U125" s="1014"/>
      <c r="V125" s="1014"/>
      <c r="W125" s="1014"/>
      <c r="X125" s="1014"/>
      <c r="Y125" s="1014"/>
      <c r="Z125" s="1014"/>
      <c r="AA125" s="1014"/>
      <c r="AB125" s="1014"/>
      <c r="AC125" s="1014"/>
      <c r="AD125" s="1014"/>
      <c r="AE125" s="1014"/>
      <c r="AF125" s="1014"/>
      <c r="AG125" s="1014"/>
      <c r="AH125" s="1014"/>
      <c r="AI125" s="1014"/>
      <c r="AJ125" s="1014"/>
    </row>
    <row r="126" spans="2:36" x14ac:dyDescent="0.25">
      <c r="B126" s="700"/>
      <c r="C126" s="700"/>
      <c r="D126" s="700"/>
      <c r="E126" s="1014"/>
      <c r="F126" s="1014"/>
      <c r="G126" s="1014"/>
      <c r="H126" s="1014"/>
      <c r="I126" s="1014"/>
      <c r="J126" s="1014"/>
      <c r="K126" s="1014"/>
      <c r="L126" s="1014"/>
      <c r="M126" s="1014"/>
      <c r="N126" s="1014"/>
      <c r="O126" s="1014"/>
      <c r="P126" s="1014"/>
      <c r="Q126" s="1014"/>
      <c r="R126" s="1014"/>
      <c r="S126" s="1014"/>
      <c r="T126" s="1014"/>
      <c r="U126" s="1014"/>
      <c r="V126" s="1014"/>
      <c r="W126" s="1014"/>
      <c r="X126" s="1014"/>
      <c r="Y126" s="1014"/>
      <c r="Z126" s="1014"/>
      <c r="AA126" s="1014"/>
      <c r="AB126" s="1014"/>
      <c r="AC126" s="1014"/>
      <c r="AD126" s="1014"/>
      <c r="AE126" s="1014"/>
      <c r="AF126" s="1014"/>
      <c r="AG126" s="1014"/>
      <c r="AH126" s="1014"/>
      <c r="AI126" s="1014"/>
      <c r="AJ126" s="1014"/>
    </row>
    <row r="127" spans="2:36" x14ac:dyDescent="0.25">
      <c r="B127" s="700"/>
      <c r="C127" s="700"/>
      <c r="D127" s="700"/>
      <c r="E127" s="1014"/>
      <c r="F127" s="1014"/>
      <c r="G127" s="1014"/>
      <c r="H127" s="1014"/>
      <c r="I127" s="1014"/>
      <c r="J127" s="1014"/>
      <c r="K127" s="1014"/>
      <c r="L127" s="1014"/>
      <c r="M127" s="1014"/>
      <c r="N127" s="1014"/>
      <c r="O127" s="1014"/>
      <c r="P127" s="1014"/>
      <c r="Q127" s="1014"/>
      <c r="R127" s="1014"/>
      <c r="S127" s="1014"/>
      <c r="T127" s="1014"/>
      <c r="U127" s="1014"/>
      <c r="V127" s="1014"/>
      <c r="W127" s="1014"/>
      <c r="X127" s="1014"/>
      <c r="Y127" s="1014"/>
      <c r="Z127" s="1014"/>
      <c r="AA127" s="1014"/>
      <c r="AB127" s="1014"/>
      <c r="AC127" s="1014"/>
      <c r="AD127" s="1014"/>
      <c r="AE127" s="1014"/>
      <c r="AF127" s="1014"/>
      <c r="AG127" s="1014"/>
      <c r="AH127" s="1014"/>
      <c r="AI127" s="1014"/>
      <c r="AJ127" s="1014"/>
    </row>
    <row r="128" spans="2:36" x14ac:dyDescent="0.25">
      <c r="B128" s="700"/>
      <c r="C128" s="700"/>
      <c r="D128" s="700"/>
      <c r="E128" s="1014"/>
      <c r="F128" s="1014"/>
      <c r="G128" s="1014"/>
      <c r="H128" s="1014"/>
      <c r="I128" s="1014"/>
      <c r="J128" s="1014"/>
      <c r="K128" s="1014"/>
      <c r="L128" s="1014"/>
      <c r="M128" s="1014"/>
      <c r="N128" s="1014"/>
      <c r="O128" s="1014"/>
      <c r="P128" s="1014"/>
      <c r="Q128" s="1014"/>
      <c r="R128" s="1014"/>
      <c r="S128" s="1014"/>
      <c r="T128" s="1014"/>
      <c r="U128" s="1014"/>
      <c r="V128" s="1014"/>
      <c r="W128" s="1014"/>
      <c r="X128" s="1014"/>
      <c r="Y128" s="1014"/>
      <c r="Z128" s="1014"/>
      <c r="AA128" s="1014"/>
      <c r="AB128" s="1014"/>
      <c r="AC128" s="1014"/>
      <c r="AD128" s="1014"/>
      <c r="AE128" s="1014"/>
      <c r="AF128" s="1014"/>
      <c r="AG128" s="1014"/>
      <c r="AH128" s="1014"/>
      <c r="AI128" s="1014"/>
      <c r="AJ128" s="1014"/>
    </row>
    <row r="129" spans="2:36" x14ac:dyDescent="0.25">
      <c r="B129" s="700"/>
      <c r="C129" s="700"/>
      <c r="D129" s="700"/>
      <c r="E129" s="1014"/>
      <c r="F129" s="1014"/>
      <c r="G129" s="1014"/>
      <c r="H129" s="1014"/>
      <c r="I129" s="1014"/>
      <c r="J129" s="1014"/>
      <c r="K129" s="1014"/>
      <c r="L129" s="1014"/>
      <c r="M129" s="1014"/>
      <c r="N129" s="1014"/>
      <c r="O129" s="1014"/>
      <c r="P129" s="1014"/>
      <c r="Q129" s="1014"/>
      <c r="R129" s="1014"/>
      <c r="S129" s="1014"/>
      <c r="T129" s="1014"/>
      <c r="U129" s="1014"/>
      <c r="V129" s="1014"/>
      <c r="W129" s="1014"/>
      <c r="X129" s="1014"/>
      <c r="Y129" s="1014"/>
      <c r="Z129" s="1014"/>
      <c r="AA129" s="1014"/>
      <c r="AB129" s="1014"/>
      <c r="AC129" s="1014"/>
      <c r="AD129" s="1014"/>
      <c r="AE129" s="1014"/>
      <c r="AF129" s="1014"/>
      <c r="AG129" s="1014"/>
      <c r="AH129" s="1014"/>
      <c r="AI129" s="1014"/>
      <c r="AJ129" s="1014"/>
    </row>
    <row r="130" spans="2:36" x14ac:dyDescent="0.25">
      <c r="B130" s="700"/>
      <c r="C130" s="700"/>
      <c r="D130" s="700"/>
      <c r="E130" s="1014"/>
      <c r="F130" s="1014"/>
      <c r="G130" s="1014"/>
      <c r="H130" s="1014"/>
      <c r="I130" s="1014"/>
      <c r="J130" s="1014"/>
      <c r="K130" s="1014"/>
      <c r="L130" s="1014"/>
      <c r="M130" s="1014"/>
      <c r="N130" s="1014"/>
      <c r="O130" s="1014"/>
      <c r="P130" s="1014"/>
      <c r="Q130" s="1014"/>
      <c r="R130" s="1014"/>
      <c r="S130" s="1014"/>
      <c r="T130" s="1014"/>
      <c r="U130" s="1014"/>
      <c r="V130" s="1014"/>
      <c r="W130" s="1014"/>
      <c r="X130" s="1014"/>
      <c r="Y130" s="1014"/>
      <c r="Z130" s="1014"/>
      <c r="AA130" s="1014"/>
      <c r="AB130" s="1014"/>
      <c r="AC130" s="1014"/>
      <c r="AD130" s="1014"/>
      <c r="AE130" s="1014"/>
      <c r="AF130" s="1014"/>
      <c r="AG130" s="1014"/>
      <c r="AH130" s="1014"/>
      <c r="AI130" s="1014"/>
      <c r="AJ130" s="1014"/>
    </row>
    <row r="131" spans="2:36" x14ac:dyDescent="0.25">
      <c r="B131" s="700"/>
      <c r="C131" s="700"/>
      <c r="D131" s="700"/>
      <c r="E131" s="1014"/>
      <c r="F131" s="1014"/>
      <c r="G131" s="1014"/>
      <c r="H131" s="1014"/>
      <c r="I131" s="1014"/>
      <c r="J131" s="1014"/>
      <c r="K131" s="1014"/>
      <c r="L131" s="1014"/>
      <c r="M131" s="1014"/>
      <c r="N131" s="1014"/>
      <c r="O131" s="1014"/>
      <c r="P131" s="1014"/>
      <c r="Q131" s="1014"/>
      <c r="R131" s="1014"/>
      <c r="S131" s="1014"/>
      <c r="T131" s="1014"/>
      <c r="U131" s="1014"/>
      <c r="V131" s="1014"/>
      <c r="W131" s="1014"/>
      <c r="X131" s="1014"/>
      <c r="Y131" s="1014"/>
      <c r="Z131" s="1014"/>
      <c r="AA131" s="1014"/>
      <c r="AB131" s="1014"/>
      <c r="AC131" s="1014"/>
      <c r="AD131" s="1014"/>
      <c r="AE131" s="1014"/>
      <c r="AF131" s="1014"/>
      <c r="AG131" s="1014"/>
      <c r="AH131" s="1014"/>
      <c r="AI131" s="1014"/>
      <c r="AJ131" s="1014"/>
    </row>
    <row r="132" spans="2:36" x14ac:dyDescent="0.25">
      <c r="B132" s="700"/>
      <c r="C132" s="700"/>
      <c r="D132" s="700"/>
      <c r="E132" s="1014"/>
      <c r="F132" s="1014"/>
      <c r="G132" s="1014"/>
      <c r="H132" s="1014"/>
      <c r="I132" s="1014"/>
      <c r="J132" s="1014"/>
      <c r="K132" s="1014"/>
      <c r="L132" s="1014"/>
      <c r="M132" s="1014"/>
      <c r="N132" s="1014"/>
      <c r="O132" s="1014"/>
      <c r="P132" s="1014"/>
      <c r="Q132" s="1014"/>
      <c r="R132" s="1014"/>
      <c r="S132" s="1014"/>
      <c r="T132" s="1014"/>
      <c r="U132" s="1014"/>
      <c r="V132" s="1014"/>
      <c r="W132" s="1014"/>
      <c r="X132" s="1014"/>
      <c r="Y132" s="1014"/>
      <c r="Z132" s="1014"/>
      <c r="AA132" s="1014"/>
      <c r="AB132" s="1014"/>
      <c r="AC132" s="1014"/>
      <c r="AD132" s="1014"/>
      <c r="AE132" s="1014"/>
      <c r="AF132" s="1014"/>
      <c r="AG132" s="1014"/>
      <c r="AH132" s="1014"/>
      <c r="AI132" s="1014"/>
      <c r="AJ132" s="1014"/>
    </row>
    <row r="133" spans="2:36" x14ac:dyDescent="0.25">
      <c r="B133" s="700"/>
      <c r="C133" s="700"/>
      <c r="D133" s="700"/>
      <c r="E133" s="1014"/>
      <c r="F133" s="1014"/>
      <c r="G133" s="1014"/>
      <c r="H133" s="1014"/>
      <c r="I133" s="1014"/>
      <c r="J133" s="1014"/>
      <c r="K133" s="1014"/>
      <c r="L133" s="1014"/>
      <c r="M133" s="1014"/>
      <c r="N133" s="1014"/>
      <c r="O133" s="1014"/>
      <c r="P133" s="1014"/>
      <c r="Q133" s="1014"/>
      <c r="R133" s="1014"/>
      <c r="S133" s="1014"/>
      <c r="T133" s="1014"/>
      <c r="U133" s="1014"/>
      <c r="V133" s="1014"/>
      <c r="W133" s="1014"/>
      <c r="X133" s="1014"/>
      <c r="Y133" s="1014"/>
      <c r="Z133" s="1014"/>
      <c r="AA133" s="1014"/>
      <c r="AB133" s="1014"/>
      <c r="AC133" s="1014"/>
      <c r="AD133" s="1014"/>
      <c r="AE133" s="1014"/>
      <c r="AF133" s="1014"/>
      <c r="AG133" s="1014"/>
      <c r="AH133" s="1014"/>
      <c r="AI133" s="1014"/>
      <c r="AJ133" s="1014"/>
    </row>
    <row r="134" spans="2:36" x14ac:dyDescent="0.25">
      <c r="B134" s="700"/>
      <c r="C134" s="700"/>
      <c r="D134" s="700"/>
      <c r="E134" s="1014"/>
      <c r="F134" s="1014"/>
      <c r="G134" s="1014"/>
      <c r="H134" s="1014"/>
      <c r="I134" s="1014"/>
      <c r="J134" s="1014"/>
      <c r="K134" s="1014"/>
      <c r="L134" s="1014"/>
      <c r="M134" s="1014"/>
      <c r="N134" s="1014"/>
      <c r="O134" s="1014"/>
      <c r="P134" s="1014"/>
      <c r="Q134" s="1014"/>
      <c r="R134" s="1014"/>
      <c r="S134" s="1014"/>
      <c r="T134" s="1014"/>
      <c r="U134" s="1014"/>
      <c r="V134" s="1014"/>
      <c r="W134" s="1014"/>
      <c r="X134" s="1014"/>
      <c r="Y134" s="1014"/>
      <c r="Z134" s="1014"/>
      <c r="AA134" s="1014"/>
      <c r="AB134" s="1014"/>
      <c r="AC134" s="1014"/>
      <c r="AD134" s="1014"/>
      <c r="AE134" s="1014"/>
      <c r="AF134" s="1014"/>
      <c r="AG134" s="1014"/>
      <c r="AH134" s="1014"/>
      <c r="AI134" s="1014"/>
      <c r="AJ134" s="1014"/>
    </row>
    <row r="135" spans="2:36" x14ac:dyDescent="0.25">
      <c r="B135" s="700"/>
      <c r="C135" s="700"/>
      <c r="D135" s="700"/>
      <c r="E135" s="1014"/>
      <c r="F135" s="1014"/>
      <c r="G135" s="1014"/>
      <c r="H135" s="1014"/>
      <c r="I135" s="1014"/>
      <c r="J135" s="1014"/>
      <c r="K135" s="1014"/>
      <c r="L135" s="1014"/>
      <c r="M135" s="1014"/>
      <c r="N135" s="1014"/>
      <c r="O135" s="1014"/>
      <c r="P135" s="1014"/>
      <c r="Q135" s="1014"/>
      <c r="R135" s="1014"/>
      <c r="S135" s="1014"/>
      <c r="T135" s="1014"/>
      <c r="U135" s="1014"/>
      <c r="V135" s="1014"/>
      <c r="W135" s="1014"/>
      <c r="X135" s="1014"/>
      <c r="Y135" s="1014"/>
      <c r="Z135" s="1014"/>
      <c r="AA135" s="1014"/>
      <c r="AB135" s="1014"/>
      <c r="AC135" s="1014"/>
      <c r="AD135" s="1014"/>
      <c r="AE135" s="1014"/>
      <c r="AF135" s="1014"/>
      <c r="AG135" s="1014"/>
      <c r="AH135" s="1014"/>
      <c r="AI135" s="1014"/>
      <c r="AJ135" s="1014"/>
    </row>
    <row r="136" spans="2:36" x14ac:dyDescent="0.25">
      <c r="B136" s="700"/>
      <c r="C136" s="700"/>
      <c r="D136" s="700"/>
      <c r="E136" s="1014"/>
      <c r="F136" s="1014"/>
      <c r="G136" s="1014"/>
      <c r="H136" s="1014"/>
      <c r="I136" s="1014"/>
      <c r="J136" s="1014"/>
      <c r="K136" s="1014"/>
      <c r="L136" s="1014"/>
      <c r="M136" s="1014"/>
      <c r="N136" s="1014"/>
      <c r="O136" s="1014"/>
      <c r="P136" s="1014"/>
      <c r="Q136" s="1014"/>
      <c r="R136" s="1014"/>
      <c r="S136" s="1014"/>
      <c r="T136" s="1014"/>
      <c r="U136" s="1014"/>
      <c r="V136" s="1014"/>
      <c r="W136" s="1014"/>
      <c r="X136" s="1014"/>
      <c r="Y136" s="1014"/>
      <c r="Z136" s="1014"/>
      <c r="AA136" s="1014"/>
      <c r="AB136" s="1014"/>
      <c r="AC136" s="1014"/>
      <c r="AD136" s="1014"/>
      <c r="AE136" s="1014"/>
      <c r="AF136" s="1014"/>
      <c r="AG136" s="1014"/>
      <c r="AH136" s="1014"/>
      <c r="AI136" s="1014"/>
      <c r="AJ136" s="1014"/>
    </row>
    <row r="137" spans="2:36" x14ac:dyDescent="0.25">
      <c r="B137" s="700"/>
      <c r="C137" s="700"/>
      <c r="D137" s="700"/>
      <c r="E137" s="1014"/>
      <c r="F137" s="1014"/>
      <c r="G137" s="1014"/>
      <c r="H137" s="1014"/>
      <c r="I137" s="1014"/>
      <c r="J137" s="1014"/>
      <c r="K137" s="1014"/>
      <c r="L137" s="1014"/>
      <c r="M137" s="1014"/>
      <c r="N137" s="1014"/>
      <c r="O137" s="1014"/>
      <c r="P137" s="1014"/>
      <c r="Q137" s="1014"/>
      <c r="R137" s="1014"/>
      <c r="S137" s="1014"/>
      <c r="T137" s="1014"/>
      <c r="U137" s="1014"/>
      <c r="V137" s="1014"/>
      <c r="W137" s="1014"/>
      <c r="X137" s="1014"/>
      <c r="Y137" s="1014"/>
      <c r="Z137" s="1014"/>
      <c r="AA137" s="1014"/>
      <c r="AB137" s="1014"/>
      <c r="AC137" s="1014"/>
      <c r="AD137" s="1014"/>
      <c r="AE137" s="1014"/>
      <c r="AF137" s="1014"/>
      <c r="AG137" s="1014"/>
      <c r="AH137" s="1014"/>
      <c r="AI137" s="1014"/>
      <c r="AJ137" s="1014"/>
    </row>
    <row r="138" spans="2:36" x14ac:dyDescent="0.25">
      <c r="B138" s="700"/>
      <c r="C138" s="700"/>
      <c r="D138" s="700"/>
      <c r="E138" s="1014"/>
      <c r="F138" s="1014"/>
      <c r="G138" s="1014"/>
      <c r="H138" s="1014"/>
      <c r="I138" s="1014"/>
      <c r="J138" s="1014"/>
      <c r="K138" s="1014"/>
      <c r="L138" s="1014"/>
      <c r="M138" s="1014"/>
      <c r="N138" s="1014"/>
      <c r="O138" s="1014"/>
      <c r="P138" s="1014"/>
      <c r="Q138" s="1014"/>
      <c r="R138" s="1014"/>
      <c r="S138" s="1014"/>
      <c r="T138" s="1014"/>
      <c r="U138" s="1014"/>
      <c r="V138" s="1014"/>
      <c r="W138" s="1014"/>
      <c r="X138" s="1014"/>
      <c r="Y138" s="1014"/>
      <c r="Z138" s="1014"/>
      <c r="AA138" s="1014"/>
      <c r="AB138" s="1014"/>
      <c r="AC138" s="1014"/>
      <c r="AD138" s="1014"/>
      <c r="AE138" s="1014"/>
      <c r="AF138" s="1014"/>
      <c r="AG138" s="1014"/>
      <c r="AH138" s="1014"/>
      <c r="AI138" s="1014"/>
      <c r="AJ138" s="1014"/>
    </row>
    <row r="139" spans="2:36" x14ac:dyDescent="0.25">
      <c r="B139" s="700"/>
      <c r="C139" s="700"/>
      <c r="D139" s="700"/>
      <c r="E139" s="1014"/>
      <c r="F139" s="1014"/>
      <c r="G139" s="1014"/>
      <c r="H139" s="1014"/>
      <c r="I139" s="1014"/>
      <c r="J139" s="1014"/>
      <c r="K139" s="1014"/>
      <c r="L139" s="1014"/>
      <c r="M139" s="1014"/>
      <c r="N139" s="1014"/>
      <c r="O139" s="1014"/>
      <c r="P139" s="1014"/>
      <c r="Q139" s="1014"/>
      <c r="R139" s="1014"/>
      <c r="S139" s="1014"/>
      <c r="T139" s="1014"/>
      <c r="U139" s="1014"/>
      <c r="V139" s="1014"/>
      <c r="W139" s="1014"/>
      <c r="X139" s="1014"/>
      <c r="Y139" s="1014"/>
      <c r="Z139" s="1014"/>
      <c r="AA139" s="1014"/>
      <c r="AB139" s="1014"/>
      <c r="AC139" s="1014"/>
      <c r="AD139" s="1014"/>
      <c r="AE139" s="1014"/>
      <c r="AF139" s="1014"/>
      <c r="AG139" s="1014"/>
      <c r="AH139" s="1014"/>
      <c r="AI139" s="1014"/>
      <c r="AJ139" s="1014"/>
    </row>
    <row r="140" spans="2:36" x14ac:dyDescent="0.25">
      <c r="B140" s="700"/>
      <c r="C140" s="700"/>
      <c r="D140" s="700"/>
      <c r="E140" s="1014"/>
      <c r="F140" s="1014"/>
      <c r="G140" s="1014"/>
      <c r="H140" s="1014"/>
      <c r="I140" s="1014"/>
      <c r="J140" s="1014"/>
      <c r="K140" s="1014"/>
      <c r="L140" s="1014"/>
      <c r="M140" s="1014"/>
      <c r="N140" s="1014"/>
      <c r="O140" s="1014"/>
      <c r="P140" s="1014"/>
      <c r="Q140" s="1014"/>
      <c r="R140" s="1014"/>
      <c r="S140" s="1014"/>
      <c r="T140" s="1014"/>
      <c r="U140" s="1014"/>
      <c r="V140" s="1014"/>
      <c r="W140" s="1014"/>
      <c r="X140" s="1014"/>
      <c r="Y140" s="1014"/>
      <c r="Z140" s="1014"/>
      <c r="AA140" s="1014"/>
      <c r="AB140" s="1014"/>
      <c r="AC140" s="1014"/>
      <c r="AD140" s="1014"/>
      <c r="AE140" s="1014"/>
      <c r="AF140" s="1014"/>
      <c r="AG140" s="1014"/>
      <c r="AH140" s="1014"/>
      <c r="AI140" s="1014"/>
      <c r="AJ140" s="1014"/>
    </row>
    <row r="141" spans="2:36" x14ac:dyDescent="0.25">
      <c r="B141" s="700"/>
      <c r="C141" s="700"/>
      <c r="D141" s="700"/>
      <c r="E141" s="1014"/>
      <c r="F141" s="1014"/>
      <c r="G141" s="1014"/>
      <c r="H141" s="1014"/>
      <c r="I141" s="1014"/>
      <c r="J141" s="1014"/>
      <c r="K141" s="1014"/>
      <c r="L141" s="1014"/>
      <c r="M141" s="1014"/>
      <c r="N141" s="1014"/>
      <c r="O141" s="1014"/>
      <c r="P141" s="1014"/>
      <c r="Q141" s="1014"/>
      <c r="R141" s="1014"/>
      <c r="S141" s="1014"/>
      <c r="T141" s="1014"/>
      <c r="U141" s="1014"/>
      <c r="V141" s="1014"/>
      <c r="W141" s="1014"/>
      <c r="X141" s="1014"/>
      <c r="Y141" s="1014"/>
      <c r="Z141" s="1014"/>
      <c r="AA141" s="1014"/>
      <c r="AB141" s="1014"/>
      <c r="AC141" s="1014"/>
      <c r="AD141" s="1014"/>
      <c r="AE141" s="1014"/>
      <c r="AF141" s="1014"/>
      <c r="AG141" s="1014"/>
      <c r="AH141" s="1014"/>
      <c r="AI141" s="1014"/>
      <c r="AJ141" s="1014"/>
    </row>
    <row r="142" spans="2:36" x14ac:dyDescent="0.25">
      <c r="B142" s="700"/>
      <c r="C142" s="700"/>
      <c r="D142" s="700"/>
      <c r="E142" s="1014"/>
      <c r="F142" s="1014"/>
      <c r="G142" s="1014"/>
      <c r="H142" s="1014"/>
      <c r="I142" s="1014"/>
      <c r="J142" s="1014"/>
      <c r="K142" s="1014"/>
      <c r="L142" s="1014"/>
      <c r="M142" s="1014"/>
      <c r="N142" s="1014"/>
      <c r="O142" s="1014"/>
      <c r="P142" s="1014"/>
      <c r="Q142" s="1014"/>
      <c r="R142" s="1014"/>
      <c r="S142" s="1014"/>
      <c r="T142" s="1014"/>
      <c r="U142" s="1014"/>
      <c r="V142" s="1014"/>
      <c r="W142" s="1014"/>
      <c r="X142" s="1014"/>
      <c r="Y142" s="1014"/>
      <c r="Z142" s="1014"/>
      <c r="AA142" s="1014"/>
      <c r="AB142" s="1014"/>
      <c r="AC142" s="1014"/>
      <c r="AD142" s="1014"/>
      <c r="AE142" s="1014"/>
      <c r="AF142" s="1014"/>
      <c r="AG142" s="1014"/>
      <c r="AH142" s="1014"/>
      <c r="AI142" s="1014"/>
      <c r="AJ142" s="1014"/>
    </row>
    <row r="143" spans="2:36" x14ac:dyDescent="0.25">
      <c r="B143" s="700"/>
      <c r="C143" s="700"/>
      <c r="D143" s="700"/>
      <c r="E143" s="1014"/>
      <c r="F143" s="1014"/>
      <c r="G143" s="1014"/>
      <c r="H143" s="1014"/>
      <c r="I143" s="1014"/>
      <c r="J143" s="1014"/>
      <c r="K143" s="1014"/>
      <c r="L143" s="1014"/>
      <c r="M143" s="1014"/>
      <c r="N143" s="1014"/>
      <c r="O143" s="1014"/>
      <c r="P143" s="1014"/>
      <c r="Q143" s="1014"/>
      <c r="R143" s="1014"/>
      <c r="S143" s="1014"/>
      <c r="T143" s="1014"/>
      <c r="U143" s="1014"/>
      <c r="V143" s="1014"/>
      <c r="W143" s="1014"/>
      <c r="X143" s="1014"/>
      <c r="Y143" s="1014"/>
      <c r="Z143" s="1014"/>
      <c r="AA143" s="1014"/>
      <c r="AB143" s="1014"/>
      <c r="AC143" s="1014"/>
      <c r="AD143" s="1014"/>
      <c r="AE143" s="1014"/>
      <c r="AF143" s="1014"/>
      <c r="AG143" s="1014"/>
      <c r="AH143" s="1014"/>
      <c r="AI143" s="1014"/>
      <c r="AJ143" s="1014"/>
    </row>
    <row r="144" spans="2:36" x14ac:dyDescent="0.25">
      <c r="B144" s="700"/>
      <c r="C144" s="700"/>
      <c r="D144" s="700"/>
      <c r="E144" s="1014"/>
      <c r="F144" s="1014"/>
      <c r="G144" s="1014"/>
      <c r="H144" s="1014"/>
      <c r="I144" s="1014"/>
      <c r="J144" s="1014"/>
      <c r="K144" s="1014"/>
      <c r="L144" s="1014"/>
      <c r="M144" s="1014"/>
      <c r="N144" s="1014"/>
      <c r="O144" s="1014"/>
      <c r="P144" s="1014"/>
      <c r="Q144" s="1014"/>
      <c r="R144" s="1014"/>
      <c r="S144" s="1014"/>
      <c r="T144" s="1014"/>
      <c r="U144" s="1014"/>
      <c r="V144" s="1014"/>
      <c r="W144" s="1014"/>
      <c r="X144" s="1014"/>
      <c r="Y144" s="1014"/>
      <c r="Z144" s="1014"/>
      <c r="AA144" s="1014"/>
      <c r="AB144" s="1014"/>
      <c r="AC144" s="1014"/>
      <c r="AD144" s="1014"/>
      <c r="AE144" s="1014"/>
      <c r="AF144" s="1014"/>
      <c r="AG144" s="1014"/>
      <c r="AH144" s="1014"/>
      <c r="AI144" s="1014"/>
      <c r="AJ144" s="1014"/>
    </row>
    <row r="145" spans="2:36" x14ac:dyDescent="0.25">
      <c r="B145" s="700"/>
      <c r="C145" s="700"/>
      <c r="D145" s="700"/>
      <c r="E145" s="1014"/>
      <c r="F145" s="1014"/>
      <c r="G145" s="1014"/>
      <c r="H145" s="1014"/>
      <c r="I145" s="1014"/>
      <c r="J145" s="1014"/>
      <c r="K145" s="1014"/>
      <c r="L145" s="1014"/>
      <c r="M145" s="1014"/>
      <c r="N145" s="1014"/>
      <c r="O145" s="1014"/>
      <c r="P145" s="1014"/>
      <c r="Q145" s="1014"/>
      <c r="R145" s="1014"/>
      <c r="S145" s="1014"/>
      <c r="T145" s="1014"/>
      <c r="U145" s="1014"/>
      <c r="V145" s="1014"/>
      <c r="W145" s="1014"/>
      <c r="X145" s="1014"/>
      <c r="Y145" s="1014"/>
      <c r="Z145" s="1014"/>
      <c r="AA145" s="1014"/>
      <c r="AB145" s="1014"/>
      <c r="AC145" s="1014"/>
      <c r="AD145" s="1014"/>
      <c r="AE145" s="1014"/>
      <c r="AF145" s="1014"/>
      <c r="AG145" s="1014"/>
      <c r="AH145" s="1014"/>
      <c r="AI145" s="1014"/>
      <c r="AJ145" s="1014"/>
    </row>
    <row r="146" spans="2:36" x14ac:dyDescent="0.25">
      <c r="B146" s="700"/>
      <c r="C146" s="700"/>
      <c r="D146" s="700"/>
      <c r="E146" s="1014"/>
      <c r="F146" s="1014"/>
      <c r="G146" s="1014"/>
      <c r="H146" s="1014"/>
      <c r="I146" s="1014"/>
      <c r="J146" s="1014"/>
      <c r="K146" s="1014"/>
      <c r="L146" s="1014"/>
      <c r="M146" s="1014"/>
      <c r="N146" s="1014"/>
      <c r="O146" s="1014"/>
      <c r="P146" s="1014"/>
      <c r="Q146" s="1014"/>
      <c r="R146" s="1014"/>
      <c r="S146" s="1014"/>
      <c r="T146" s="1014"/>
      <c r="U146" s="1014"/>
      <c r="V146" s="1014"/>
      <c r="W146" s="1014"/>
      <c r="X146" s="1014"/>
      <c r="Y146" s="1014"/>
      <c r="Z146" s="1014"/>
      <c r="AA146" s="1014"/>
      <c r="AB146" s="1014"/>
      <c r="AC146" s="1014"/>
      <c r="AD146" s="1014"/>
      <c r="AE146" s="1014"/>
      <c r="AF146" s="1014"/>
      <c r="AG146" s="1014"/>
      <c r="AH146" s="1014"/>
      <c r="AI146" s="1014"/>
      <c r="AJ146" s="1014"/>
    </row>
    <row r="147" spans="2:36" x14ac:dyDescent="0.25">
      <c r="B147" s="700"/>
      <c r="C147" s="700"/>
      <c r="D147" s="700"/>
      <c r="E147" s="1014"/>
      <c r="F147" s="1014"/>
      <c r="G147" s="1014"/>
      <c r="H147" s="1014"/>
      <c r="I147" s="1014"/>
      <c r="J147" s="1014"/>
      <c r="K147" s="1014"/>
      <c r="L147" s="1014"/>
      <c r="M147" s="1014"/>
      <c r="N147" s="1014"/>
      <c r="O147" s="1014"/>
      <c r="P147" s="1014"/>
      <c r="Q147" s="1014"/>
      <c r="R147" s="1014"/>
      <c r="S147" s="1014"/>
      <c r="T147" s="1014"/>
      <c r="U147" s="1014"/>
      <c r="V147" s="1014"/>
      <c r="W147" s="1014"/>
      <c r="X147" s="1014"/>
      <c r="Y147" s="1014"/>
      <c r="Z147" s="1014"/>
      <c r="AA147" s="1014"/>
      <c r="AB147" s="1014"/>
      <c r="AC147" s="1014"/>
      <c r="AD147" s="1014"/>
      <c r="AE147" s="1014"/>
      <c r="AF147" s="1014"/>
      <c r="AG147" s="1014"/>
      <c r="AH147" s="1014"/>
      <c r="AI147" s="1014"/>
      <c r="AJ147" s="1014"/>
    </row>
    <row r="148" spans="2:36" x14ac:dyDescent="0.25">
      <c r="B148" s="700"/>
      <c r="C148" s="700"/>
      <c r="D148" s="700"/>
      <c r="E148" s="1014"/>
      <c r="F148" s="1014"/>
      <c r="G148" s="1014"/>
      <c r="H148" s="1014"/>
      <c r="I148" s="1014"/>
      <c r="J148" s="1014"/>
      <c r="K148" s="1014"/>
      <c r="L148" s="1014"/>
      <c r="M148" s="1014"/>
      <c r="N148" s="1014"/>
      <c r="O148" s="1014"/>
      <c r="P148" s="1014"/>
      <c r="Q148" s="1014"/>
      <c r="R148" s="1014"/>
      <c r="S148" s="1014"/>
      <c r="T148" s="1014"/>
      <c r="U148" s="1014"/>
      <c r="V148" s="1014"/>
      <c r="W148" s="1014"/>
      <c r="X148" s="1014"/>
      <c r="Y148" s="1014"/>
      <c r="Z148" s="1014"/>
      <c r="AA148" s="1014"/>
      <c r="AB148" s="1014"/>
      <c r="AC148" s="1014"/>
      <c r="AD148" s="1014"/>
      <c r="AE148" s="1014"/>
      <c r="AF148" s="1014"/>
      <c r="AG148" s="1014"/>
      <c r="AH148" s="1014"/>
      <c r="AI148" s="1014"/>
      <c r="AJ148" s="1014"/>
    </row>
    <row r="149" spans="2:36" x14ac:dyDescent="0.25">
      <c r="B149" s="700"/>
      <c r="C149" s="700"/>
      <c r="D149" s="700"/>
      <c r="E149" s="1014"/>
      <c r="F149" s="1014"/>
      <c r="G149" s="1014"/>
      <c r="H149" s="1014"/>
      <c r="I149" s="1014"/>
      <c r="J149" s="1014"/>
      <c r="K149" s="1014"/>
      <c r="L149" s="1014"/>
      <c r="M149" s="1014"/>
      <c r="N149" s="1014"/>
      <c r="O149" s="1014"/>
      <c r="P149" s="1014"/>
      <c r="Q149" s="1014"/>
      <c r="R149" s="1014"/>
      <c r="S149" s="1014"/>
      <c r="T149" s="1014"/>
      <c r="U149" s="1014"/>
      <c r="V149" s="1014"/>
      <c r="W149" s="1014"/>
      <c r="X149" s="1014"/>
      <c r="Y149" s="1014"/>
      <c r="Z149" s="1014"/>
      <c r="AA149" s="1014"/>
      <c r="AB149" s="1014"/>
      <c r="AC149" s="1014"/>
      <c r="AD149" s="1014"/>
      <c r="AE149" s="1014"/>
      <c r="AF149" s="1014"/>
      <c r="AG149" s="1014"/>
      <c r="AH149" s="1014"/>
      <c r="AI149" s="1014"/>
      <c r="AJ149" s="1014"/>
    </row>
    <row r="150" spans="2:36" x14ac:dyDescent="0.25">
      <c r="B150" s="700"/>
      <c r="C150" s="700"/>
      <c r="D150" s="700"/>
      <c r="E150" s="1014"/>
      <c r="F150" s="1014"/>
      <c r="G150" s="1014"/>
      <c r="H150" s="1014"/>
      <c r="I150" s="1014"/>
      <c r="J150" s="1014"/>
      <c r="K150" s="1014"/>
      <c r="L150" s="1014"/>
      <c r="M150" s="1014"/>
      <c r="N150" s="1014"/>
      <c r="O150" s="1014"/>
      <c r="P150" s="1014"/>
      <c r="Q150" s="1014"/>
      <c r="R150" s="1014"/>
      <c r="S150" s="1014"/>
      <c r="T150" s="1014"/>
      <c r="U150" s="1014"/>
      <c r="V150" s="1014"/>
      <c r="W150" s="1014"/>
      <c r="X150" s="1014"/>
      <c r="Y150" s="1014"/>
      <c r="Z150" s="1014"/>
      <c r="AA150" s="1014"/>
      <c r="AB150" s="1014"/>
      <c r="AC150" s="1014"/>
      <c r="AD150" s="1014"/>
      <c r="AE150" s="1014"/>
      <c r="AF150" s="1014"/>
      <c r="AG150" s="1014"/>
      <c r="AH150" s="1014"/>
      <c r="AI150" s="1014"/>
      <c r="AJ150" s="1014"/>
    </row>
    <row r="151" spans="2:36" x14ac:dyDescent="0.25">
      <c r="B151" s="700"/>
      <c r="C151" s="700"/>
      <c r="D151" s="700"/>
      <c r="E151" s="1014"/>
      <c r="F151" s="1014"/>
      <c r="G151" s="1014"/>
      <c r="H151" s="1014"/>
      <c r="I151" s="1014"/>
      <c r="J151" s="1014"/>
      <c r="K151" s="1014"/>
      <c r="L151" s="1014"/>
      <c r="M151" s="1014"/>
      <c r="N151" s="1014"/>
      <c r="O151" s="1014"/>
      <c r="P151" s="1014"/>
      <c r="Q151" s="1014"/>
      <c r="R151" s="1014"/>
      <c r="S151" s="1014"/>
      <c r="T151" s="1014"/>
      <c r="U151" s="1014"/>
      <c r="V151" s="1014"/>
      <c r="W151" s="1014"/>
      <c r="X151" s="1014"/>
      <c r="Y151" s="1014"/>
      <c r="Z151" s="1014"/>
      <c r="AA151" s="1014"/>
      <c r="AB151" s="1014"/>
      <c r="AC151" s="1014"/>
      <c r="AD151" s="1014"/>
      <c r="AE151" s="1014"/>
      <c r="AF151" s="1014"/>
      <c r="AG151" s="1014"/>
      <c r="AH151" s="1014"/>
      <c r="AI151" s="1014"/>
      <c r="AJ151" s="1014"/>
    </row>
    <row r="152" spans="2:36" x14ac:dyDescent="0.25">
      <c r="B152" s="700"/>
      <c r="C152" s="700"/>
      <c r="D152" s="700"/>
      <c r="E152" s="1014"/>
      <c r="F152" s="1014"/>
      <c r="G152" s="1014"/>
      <c r="H152" s="1014"/>
      <c r="I152" s="1014"/>
      <c r="J152" s="1014"/>
      <c r="K152" s="1014"/>
      <c r="L152" s="1014"/>
      <c r="M152" s="1014"/>
      <c r="N152" s="1014"/>
      <c r="O152" s="1014"/>
      <c r="P152" s="1014"/>
      <c r="Q152" s="1014"/>
      <c r="R152" s="1014"/>
      <c r="S152" s="1014"/>
      <c r="T152" s="1014"/>
      <c r="U152" s="1014"/>
      <c r="V152" s="1014"/>
      <c r="W152" s="1014"/>
      <c r="X152" s="1014"/>
      <c r="Y152" s="1014"/>
      <c r="Z152" s="1014"/>
      <c r="AA152" s="1014"/>
      <c r="AB152" s="1014"/>
      <c r="AC152" s="1014"/>
      <c r="AD152" s="1014"/>
      <c r="AE152" s="1014"/>
      <c r="AF152" s="1014"/>
      <c r="AG152" s="1014"/>
      <c r="AH152" s="1014"/>
      <c r="AI152" s="1014"/>
      <c r="AJ152" s="1014"/>
    </row>
    <row r="153" spans="2:36" x14ac:dyDescent="0.25">
      <c r="B153" s="700"/>
      <c r="C153" s="700"/>
      <c r="D153" s="700"/>
      <c r="E153" s="1014"/>
      <c r="F153" s="1014"/>
      <c r="G153" s="1014"/>
      <c r="H153" s="1014"/>
      <c r="I153" s="1014"/>
      <c r="J153" s="1014"/>
      <c r="K153" s="1014"/>
      <c r="L153" s="1014"/>
      <c r="M153" s="1014"/>
      <c r="N153" s="1014"/>
      <c r="O153" s="1014"/>
      <c r="P153" s="1014"/>
      <c r="Q153" s="1014"/>
      <c r="R153" s="1014"/>
      <c r="S153" s="1014"/>
      <c r="T153" s="1014"/>
      <c r="U153" s="1014"/>
      <c r="V153" s="1014"/>
      <c r="W153" s="1014"/>
      <c r="X153" s="1014"/>
      <c r="Y153" s="1014"/>
      <c r="Z153" s="1014"/>
      <c r="AA153" s="1014"/>
      <c r="AB153" s="1014"/>
      <c r="AC153" s="1014"/>
      <c r="AD153" s="1014"/>
      <c r="AE153" s="1014"/>
      <c r="AF153" s="1014"/>
      <c r="AG153" s="1014"/>
      <c r="AH153" s="1014"/>
      <c r="AI153" s="1014"/>
      <c r="AJ153" s="1014"/>
    </row>
    <row r="154" spans="2:36" x14ac:dyDescent="0.25">
      <c r="B154" s="700"/>
      <c r="C154" s="700"/>
      <c r="D154" s="700"/>
      <c r="E154" s="1014"/>
      <c r="F154" s="1014"/>
      <c r="G154" s="1014"/>
      <c r="H154" s="1014"/>
      <c r="I154" s="1014"/>
      <c r="J154" s="1014"/>
      <c r="K154" s="1014"/>
      <c r="L154" s="1014"/>
      <c r="M154" s="1014"/>
      <c r="N154" s="1014"/>
      <c r="O154" s="1014"/>
      <c r="P154" s="1014"/>
      <c r="Q154" s="1014"/>
      <c r="R154" s="1014"/>
      <c r="S154" s="1014"/>
      <c r="T154" s="1014"/>
      <c r="U154" s="1014"/>
      <c r="V154" s="1014"/>
      <c r="W154" s="1014"/>
      <c r="X154" s="1014"/>
      <c r="Y154" s="1014"/>
      <c r="Z154" s="1014"/>
      <c r="AA154" s="1014"/>
      <c r="AB154" s="1014"/>
      <c r="AC154" s="1014"/>
      <c r="AD154" s="1014"/>
      <c r="AE154" s="1014"/>
      <c r="AF154" s="1014"/>
      <c r="AG154" s="1014"/>
      <c r="AH154" s="1014"/>
      <c r="AI154" s="1014"/>
      <c r="AJ154" s="1014"/>
    </row>
    <row r="155" spans="2:36" x14ac:dyDescent="0.25">
      <c r="B155" s="700"/>
      <c r="C155" s="700"/>
      <c r="D155" s="700"/>
      <c r="E155" s="1014"/>
      <c r="F155" s="1014"/>
      <c r="G155" s="1014"/>
      <c r="H155" s="1014"/>
      <c r="I155" s="1014"/>
      <c r="J155" s="1014"/>
      <c r="K155" s="1014"/>
      <c r="L155" s="1014"/>
      <c r="M155" s="1014"/>
      <c r="N155" s="1014"/>
      <c r="O155" s="1014"/>
      <c r="P155" s="1014"/>
      <c r="Q155" s="1014"/>
      <c r="R155" s="1014"/>
      <c r="S155" s="1014"/>
      <c r="T155" s="1014"/>
      <c r="U155" s="1014"/>
      <c r="V155" s="1014"/>
      <c r="W155" s="1014"/>
      <c r="X155" s="1014"/>
      <c r="Y155" s="1014"/>
      <c r="Z155" s="1014"/>
      <c r="AA155" s="1014"/>
      <c r="AB155" s="1014"/>
      <c r="AC155" s="1014"/>
      <c r="AD155" s="1014"/>
      <c r="AE155" s="1014"/>
      <c r="AF155" s="1014"/>
      <c r="AG155" s="1014"/>
      <c r="AH155" s="1014"/>
      <c r="AI155" s="1014"/>
      <c r="AJ155" s="1014"/>
    </row>
    <row r="156" spans="2:36" x14ac:dyDescent="0.25">
      <c r="B156" s="700"/>
      <c r="C156" s="700"/>
      <c r="D156" s="700"/>
      <c r="E156" s="1014"/>
      <c r="F156" s="1014"/>
      <c r="G156" s="1014"/>
      <c r="H156" s="1014"/>
      <c r="I156" s="1014"/>
      <c r="J156" s="1014"/>
      <c r="K156" s="1014"/>
      <c r="L156" s="1014"/>
      <c r="M156" s="1014"/>
      <c r="N156" s="1014"/>
      <c r="O156" s="1014"/>
      <c r="P156" s="1014"/>
      <c r="Q156" s="1014"/>
      <c r="R156" s="1014"/>
      <c r="S156" s="1014"/>
      <c r="T156" s="1014"/>
      <c r="U156" s="1014"/>
      <c r="V156" s="1014"/>
      <c r="W156" s="1014"/>
      <c r="X156" s="1014"/>
      <c r="Y156" s="1014"/>
      <c r="Z156" s="1014"/>
      <c r="AA156" s="1014"/>
      <c r="AB156" s="1014"/>
      <c r="AC156" s="1014"/>
      <c r="AD156" s="1014"/>
      <c r="AE156" s="1014"/>
      <c r="AF156" s="1014"/>
      <c r="AG156" s="1014"/>
      <c r="AH156" s="1014"/>
      <c r="AI156" s="1014"/>
      <c r="AJ156" s="1014"/>
    </row>
    <row r="157" spans="2:36" x14ac:dyDescent="0.25">
      <c r="B157" s="700"/>
      <c r="C157" s="700"/>
      <c r="D157" s="700"/>
      <c r="E157" s="1014"/>
      <c r="F157" s="1014"/>
      <c r="G157" s="1014"/>
      <c r="H157" s="1014"/>
      <c r="I157" s="1014"/>
      <c r="J157" s="1014"/>
      <c r="K157" s="1014"/>
      <c r="L157" s="1014"/>
      <c r="M157" s="1014"/>
      <c r="N157" s="1014"/>
      <c r="O157" s="1014"/>
      <c r="P157" s="1014"/>
      <c r="Q157" s="1014"/>
      <c r="R157" s="1014"/>
      <c r="S157" s="1014"/>
      <c r="T157" s="1014"/>
      <c r="U157" s="1014"/>
      <c r="V157" s="1014"/>
      <c r="W157" s="1014"/>
      <c r="X157" s="1014"/>
      <c r="Y157" s="1014"/>
      <c r="Z157" s="1014"/>
      <c r="AA157" s="1014"/>
      <c r="AB157" s="1014"/>
      <c r="AC157" s="1014"/>
      <c r="AD157" s="1014"/>
      <c r="AE157" s="1014"/>
      <c r="AF157" s="1014"/>
      <c r="AG157" s="1014"/>
      <c r="AH157" s="1014"/>
      <c r="AI157" s="1014"/>
      <c r="AJ157" s="1014"/>
    </row>
    <row r="158" spans="2:36" x14ac:dyDescent="0.25">
      <c r="B158" s="700"/>
      <c r="C158" s="700"/>
      <c r="D158" s="700"/>
      <c r="E158" s="1014"/>
      <c r="F158" s="1014"/>
      <c r="G158" s="1014"/>
      <c r="H158" s="1014"/>
      <c r="I158" s="1014"/>
      <c r="J158" s="1014"/>
      <c r="K158" s="1014"/>
      <c r="L158" s="1014"/>
      <c r="M158" s="1014"/>
      <c r="N158" s="1014"/>
      <c r="O158" s="1014"/>
      <c r="P158" s="1014"/>
      <c r="Q158" s="1014"/>
      <c r="R158" s="1014"/>
      <c r="S158" s="1014"/>
      <c r="T158" s="1014"/>
      <c r="U158" s="1014"/>
      <c r="V158" s="1014"/>
      <c r="W158" s="1014"/>
      <c r="X158" s="1014"/>
      <c r="Y158" s="1014"/>
      <c r="Z158" s="1014"/>
      <c r="AA158" s="1014"/>
      <c r="AB158" s="1014"/>
      <c r="AC158" s="1014"/>
      <c r="AD158" s="1014"/>
      <c r="AE158" s="1014"/>
      <c r="AF158" s="1014"/>
      <c r="AG158" s="1014"/>
      <c r="AH158" s="1014"/>
      <c r="AI158" s="1014"/>
      <c r="AJ158" s="1014"/>
    </row>
    <row r="159" spans="2:36" x14ac:dyDescent="0.25">
      <c r="B159" s="700"/>
      <c r="C159" s="700"/>
      <c r="D159" s="700"/>
      <c r="E159" s="1014"/>
      <c r="F159" s="1014"/>
      <c r="G159" s="1014"/>
      <c r="H159" s="1014"/>
      <c r="I159" s="1014"/>
      <c r="J159" s="1014"/>
      <c r="K159" s="1014"/>
      <c r="L159" s="1014"/>
      <c r="M159" s="1014"/>
      <c r="N159" s="1014"/>
      <c r="O159" s="1014"/>
      <c r="P159" s="1014"/>
      <c r="Q159" s="1014"/>
      <c r="R159" s="1014"/>
      <c r="S159" s="1014"/>
      <c r="T159" s="1014"/>
      <c r="U159" s="1014"/>
      <c r="V159" s="1014"/>
      <c r="W159" s="1014"/>
      <c r="X159" s="1014"/>
      <c r="Y159" s="1014"/>
      <c r="Z159" s="1014"/>
      <c r="AA159" s="1014"/>
      <c r="AB159" s="1014"/>
      <c r="AC159" s="1014"/>
      <c r="AD159" s="1014"/>
      <c r="AE159" s="1014"/>
      <c r="AF159" s="1014"/>
      <c r="AG159" s="1014"/>
      <c r="AH159" s="1014"/>
      <c r="AI159" s="1014"/>
      <c r="AJ159" s="1014"/>
    </row>
    <row r="160" spans="2:36" x14ac:dyDescent="0.25">
      <c r="B160" s="700"/>
      <c r="C160" s="700"/>
      <c r="D160" s="700"/>
      <c r="E160" s="1014"/>
      <c r="F160" s="1014"/>
      <c r="G160" s="1014"/>
      <c r="H160" s="1014"/>
      <c r="I160" s="1014"/>
      <c r="J160" s="1014"/>
      <c r="K160" s="1014"/>
      <c r="L160" s="1014"/>
      <c r="M160" s="1014"/>
      <c r="N160" s="1014"/>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row>
    <row r="161" spans="2:36" x14ac:dyDescent="0.25">
      <c r="B161" s="700"/>
      <c r="C161" s="700"/>
      <c r="D161" s="700"/>
      <c r="E161" s="1014"/>
      <c r="F161" s="1014"/>
      <c r="G161" s="1014"/>
      <c r="H161" s="1014"/>
      <c r="I161" s="1014"/>
      <c r="J161" s="1014"/>
      <c r="K161" s="1014"/>
      <c r="L161" s="1014"/>
      <c r="M161" s="1014"/>
      <c r="N161" s="1014"/>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row>
    <row r="162" spans="2:36" x14ac:dyDescent="0.25">
      <c r="B162" s="700"/>
      <c r="C162" s="700"/>
      <c r="D162" s="700"/>
      <c r="E162" s="1014"/>
      <c r="F162" s="1014"/>
      <c r="G162" s="1014"/>
      <c r="H162" s="1014"/>
      <c r="I162" s="1014"/>
      <c r="J162" s="1014"/>
      <c r="K162" s="1014"/>
      <c r="L162" s="1014"/>
      <c r="M162" s="1014"/>
      <c r="N162" s="1014"/>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row>
    <row r="163" spans="2:36" x14ac:dyDescent="0.25">
      <c r="B163" s="700"/>
      <c r="C163" s="700"/>
      <c r="D163" s="700"/>
      <c r="E163" s="1014"/>
      <c r="F163" s="1014"/>
      <c r="G163" s="1014"/>
      <c r="H163" s="1014"/>
      <c r="I163" s="1014"/>
      <c r="J163" s="1014"/>
      <c r="K163" s="1014"/>
      <c r="L163" s="1014"/>
      <c r="M163" s="1014"/>
      <c r="N163" s="1014"/>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row>
    <row r="164" spans="2:36" x14ac:dyDescent="0.25">
      <c r="B164" s="700"/>
      <c r="C164" s="700"/>
      <c r="D164" s="700"/>
      <c r="E164" s="1014"/>
      <c r="F164" s="1014"/>
      <c r="G164" s="1014"/>
      <c r="H164" s="1014"/>
      <c r="I164" s="1014"/>
      <c r="J164" s="1014"/>
      <c r="K164" s="1014"/>
      <c r="L164" s="1014"/>
      <c r="M164" s="1014"/>
      <c r="N164" s="1014"/>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row>
    <row r="165" spans="2:36" x14ac:dyDescent="0.25">
      <c r="B165" s="700"/>
      <c r="C165" s="700"/>
      <c r="D165" s="700"/>
      <c r="E165" s="1014"/>
      <c r="F165" s="1014"/>
      <c r="G165" s="1014"/>
      <c r="H165" s="1014"/>
      <c r="I165" s="1014"/>
      <c r="J165" s="1014"/>
      <c r="K165" s="1014"/>
      <c r="L165" s="1014"/>
      <c r="M165" s="1014"/>
      <c r="N165" s="1014"/>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row>
    <row r="166" spans="2:36" x14ac:dyDescent="0.25">
      <c r="B166" s="700"/>
      <c r="C166" s="700"/>
      <c r="D166" s="700"/>
      <c r="E166" s="1014"/>
      <c r="F166" s="1014"/>
      <c r="G166" s="1014"/>
      <c r="H166" s="1014"/>
      <c r="I166" s="1014"/>
      <c r="J166" s="1014"/>
      <c r="K166" s="1014"/>
      <c r="L166" s="1014"/>
      <c r="M166" s="1014"/>
      <c r="N166" s="1014"/>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row>
    <row r="167" spans="2:36" x14ac:dyDescent="0.25">
      <c r="B167" s="700"/>
      <c r="C167" s="700"/>
      <c r="D167" s="700"/>
      <c r="E167" s="1014"/>
      <c r="F167" s="1014"/>
      <c r="G167" s="1014"/>
      <c r="H167" s="1014"/>
      <c r="I167" s="1014"/>
      <c r="J167" s="1014"/>
      <c r="K167" s="1014"/>
      <c r="L167" s="1014"/>
      <c r="M167" s="1014"/>
      <c r="N167" s="1014"/>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row>
    <row r="168" spans="2:36" x14ac:dyDescent="0.25">
      <c r="B168" s="700"/>
      <c r="C168" s="700"/>
      <c r="D168" s="700"/>
      <c r="E168" s="1014"/>
      <c r="F168" s="1014"/>
      <c r="G168" s="1014"/>
      <c r="H168" s="1014"/>
      <c r="I168" s="1014"/>
      <c r="J168" s="1014"/>
      <c r="K168" s="1014"/>
      <c r="L168" s="1014"/>
      <c r="M168" s="1014"/>
      <c r="N168" s="1014"/>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row>
    <row r="169" spans="2:36" x14ac:dyDescent="0.25">
      <c r="B169" s="700"/>
      <c r="C169" s="700"/>
      <c r="D169" s="700"/>
      <c r="E169" s="1014"/>
      <c r="F169" s="1014"/>
      <c r="G169" s="1014"/>
      <c r="H169" s="1014"/>
      <c r="I169" s="1014"/>
      <c r="J169" s="1014"/>
      <c r="K169" s="1014"/>
      <c r="L169" s="1014"/>
      <c r="M169" s="1014"/>
      <c r="N169" s="1014"/>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row>
    <row r="170" spans="2:36" x14ac:dyDescent="0.25">
      <c r="B170" s="700"/>
      <c r="C170" s="700"/>
      <c r="D170" s="700"/>
      <c r="E170" s="1014"/>
      <c r="F170" s="1014"/>
      <c r="G170" s="1014"/>
      <c r="H170" s="1014"/>
      <c r="I170" s="1014"/>
      <c r="J170" s="1014"/>
      <c r="K170" s="1014"/>
      <c r="L170" s="1014"/>
      <c r="M170" s="1014"/>
      <c r="N170" s="1014"/>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row>
    <row r="171" spans="2:36" x14ac:dyDescent="0.25">
      <c r="B171" s="700"/>
      <c r="C171" s="700"/>
      <c r="D171" s="700"/>
      <c r="E171" s="1014"/>
      <c r="F171" s="1014"/>
      <c r="G171" s="1014"/>
      <c r="H171" s="1014"/>
      <c r="I171" s="1014"/>
      <c r="J171" s="1014"/>
      <c r="K171" s="1014"/>
      <c r="L171" s="1014"/>
      <c r="M171" s="1014"/>
      <c r="N171" s="1014"/>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row>
    <row r="172" spans="2:36" x14ac:dyDescent="0.25">
      <c r="B172" s="700"/>
      <c r="C172" s="700"/>
      <c r="D172" s="700"/>
      <c r="E172" s="1014"/>
      <c r="F172" s="1014"/>
      <c r="G172" s="1014"/>
      <c r="H172" s="1014"/>
      <c r="I172" s="1014"/>
      <c r="J172" s="1014"/>
      <c r="K172" s="1014"/>
      <c r="L172" s="1014"/>
      <c r="M172" s="1014"/>
      <c r="N172" s="1014"/>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row>
    <row r="173" spans="2:36" x14ac:dyDescent="0.25">
      <c r="B173" s="700"/>
      <c r="C173" s="700"/>
      <c r="D173" s="700"/>
      <c r="E173" s="1014"/>
      <c r="F173" s="1014"/>
      <c r="G173" s="1014"/>
      <c r="H173" s="1014"/>
      <c r="I173" s="1014"/>
      <c r="J173" s="1014"/>
      <c r="K173" s="1014"/>
      <c r="L173" s="1014"/>
      <c r="M173" s="1014"/>
      <c r="N173" s="1014"/>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row>
    <row r="174" spans="2:36" x14ac:dyDescent="0.25">
      <c r="B174" s="700"/>
      <c r="C174" s="700"/>
      <c r="D174" s="700"/>
      <c r="E174" s="1014"/>
      <c r="F174" s="1014"/>
      <c r="G174" s="1014"/>
      <c r="H174" s="1014"/>
      <c r="I174" s="1014"/>
      <c r="J174" s="1014"/>
      <c r="K174" s="1014"/>
      <c r="L174" s="1014"/>
      <c r="M174" s="1014"/>
      <c r="N174" s="1014"/>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row>
    <row r="175" spans="2:36" x14ac:dyDescent="0.25">
      <c r="B175" s="700"/>
      <c r="C175" s="700"/>
      <c r="D175" s="700"/>
      <c r="E175" s="1014"/>
      <c r="F175" s="1014"/>
      <c r="G175" s="1014"/>
      <c r="H175" s="1014"/>
      <c r="I175" s="1014"/>
      <c r="J175" s="1014"/>
      <c r="K175" s="1014"/>
      <c r="L175" s="1014"/>
      <c r="M175" s="1014"/>
      <c r="N175" s="1014"/>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row>
    <row r="176" spans="2:36" x14ac:dyDescent="0.25">
      <c r="B176" s="700"/>
      <c r="C176" s="700"/>
      <c r="D176" s="700"/>
      <c r="E176" s="1014"/>
      <c r="F176" s="1014"/>
      <c r="G176" s="1014"/>
      <c r="H176" s="1014"/>
      <c r="I176" s="1014"/>
      <c r="J176" s="1014"/>
      <c r="K176" s="1014"/>
      <c r="L176" s="1014"/>
      <c r="M176" s="1014"/>
      <c r="N176" s="1014"/>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row>
    <row r="177" spans="2:36" x14ac:dyDescent="0.25">
      <c r="B177" s="700"/>
      <c r="C177" s="700"/>
      <c r="D177" s="700"/>
      <c r="E177" s="1014"/>
      <c r="F177" s="1014"/>
      <c r="G177" s="1014"/>
      <c r="H177" s="1014"/>
      <c r="I177" s="1014"/>
      <c r="J177" s="1014"/>
      <c r="K177" s="1014"/>
      <c r="L177" s="1014"/>
      <c r="M177" s="1014"/>
      <c r="N177" s="1014"/>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row>
    <row r="178" spans="2:36" x14ac:dyDescent="0.25">
      <c r="B178" s="700"/>
      <c r="C178" s="700"/>
      <c r="D178" s="700"/>
      <c r="E178" s="1014"/>
      <c r="F178" s="1014"/>
      <c r="G178" s="1014"/>
      <c r="H178" s="1014"/>
      <c r="I178" s="1014"/>
      <c r="J178" s="1014"/>
      <c r="K178" s="1014"/>
      <c r="L178" s="1014"/>
      <c r="M178" s="1014"/>
      <c r="N178" s="1014"/>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row>
    <row r="179" spans="2:36" x14ac:dyDescent="0.25">
      <c r="B179" s="700"/>
      <c r="C179" s="700"/>
      <c r="D179" s="700"/>
      <c r="E179" s="1014"/>
      <c r="F179" s="1014"/>
      <c r="G179" s="1014"/>
      <c r="H179" s="1014"/>
      <c r="I179" s="1014"/>
      <c r="J179" s="1014"/>
      <c r="K179" s="1014"/>
      <c r="L179" s="1014"/>
      <c r="M179" s="1014"/>
      <c r="N179" s="1014"/>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row>
    <row r="180" spans="2:36" x14ac:dyDescent="0.25">
      <c r="B180" s="700"/>
      <c r="C180" s="700"/>
      <c r="D180" s="700"/>
      <c r="E180" s="1014"/>
      <c r="F180" s="1014"/>
      <c r="G180" s="1014"/>
      <c r="H180" s="1014"/>
      <c r="I180" s="1014"/>
      <c r="J180" s="1014"/>
      <c r="K180" s="1014"/>
      <c r="L180" s="1014"/>
      <c r="M180" s="1014"/>
      <c r="N180" s="1014"/>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row>
    <row r="181" spans="2:36" x14ac:dyDescent="0.25">
      <c r="B181" s="700"/>
      <c r="C181" s="700"/>
      <c r="D181" s="700"/>
      <c r="E181" s="1014"/>
      <c r="F181" s="1014"/>
      <c r="G181" s="1014"/>
      <c r="H181" s="1014"/>
      <c r="I181" s="1014"/>
      <c r="J181" s="1014"/>
      <c r="K181" s="1014"/>
      <c r="L181" s="1014"/>
      <c r="M181" s="1014"/>
      <c r="N181" s="1014"/>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row>
    <row r="182" spans="2:36" x14ac:dyDescent="0.25">
      <c r="B182" s="700"/>
      <c r="C182" s="700"/>
      <c r="D182" s="700"/>
      <c r="E182" s="1014"/>
      <c r="F182" s="1014"/>
      <c r="G182" s="1014"/>
      <c r="H182" s="1014"/>
      <c r="I182" s="1014"/>
      <c r="J182" s="1014"/>
      <c r="K182" s="1014"/>
      <c r="L182" s="1014"/>
      <c r="M182" s="1014"/>
      <c r="N182" s="1014"/>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row>
    <row r="183" spans="2:36" x14ac:dyDescent="0.25">
      <c r="B183" s="700"/>
      <c r="C183" s="700"/>
      <c r="D183" s="700"/>
      <c r="E183" s="1014"/>
      <c r="F183" s="1014"/>
      <c r="G183" s="1014"/>
      <c r="H183" s="1014"/>
      <c r="I183" s="1014"/>
      <c r="J183" s="1014"/>
      <c r="K183" s="1014"/>
      <c r="L183" s="1014"/>
      <c r="M183" s="1014"/>
      <c r="N183" s="1014"/>
      <c r="O183" s="1014"/>
      <c r="P183" s="1014"/>
      <c r="Q183" s="1014"/>
      <c r="R183" s="1014"/>
      <c r="S183" s="1014"/>
      <c r="T183" s="1014"/>
      <c r="U183" s="1014"/>
      <c r="V183" s="1014"/>
      <c r="W183" s="1014"/>
      <c r="X183" s="1014"/>
      <c r="Y183" s="1014"/>
      <c r="Z183" s="1014"/>
      <c r="AA183" s="1014"/>
      <c r="AB183" s="1014"/>
      <c r="AC183" s="1014"/>
      <c r="AD183" s="1014"/>
      <c r="AE183" s="1014"/>
      <c r="AF183" s="1014"/>
      <c r="AG183" s="1014"/>
      <c r="AH183" s="1014"/>
      <c r="AI183" s="1014"/>
      <c r="AJ183" s="1014"/>
    </row>
    <row r="184" spans="2:36" x14ac:dyDescent="0.25">
      <c r="B184" s="700"/>
      <c r="C184" s="700"/>
      <c r="D184" s="700"/>
      <c r="E184" s="1014"/>
      <c r="F184" s="1014"/>
      <c r="G184" s="1014"/>
      <c r="H184" s="1014"/>
      <c r="I184" s="1014"/>
      <c r="J184" s="1014"/>
      <c r="K184" s="1014"/>
      <c r="L184" s="1014"/>
      <c r="M184" s="1014"/>
      <c r="N184" s="1014"/>
      <c r="O184" s="1014"/>
      <c r="P184" s="1014"/>
      <c r="Q184" s="1014"/>
      <c r="R184" s="1014"/>
      <c r="S184" s="1014"/>
      <c r="T184" s="1014"/>
      <c r="U184" s="1014"/>
      <c r="V184" s="1014"/>
      <c r="W184" s="1014"/>
      <c r="X184" s="1014"/>
      <c r="Y184" s="1014"/>
      <c r="Z184" s="1014"/>
      <c r="AA184" s="1014"/>
      <c r="AB184" s="1014"/>
      <c r="AC184" s="1014"/>
      <c r="AD184" s="1014"/>
      <c r="AE184" s="1014"/>
      <c r="AF184" s="1014"/>
      <c r="AG184" s="1014"/>
      <c r="AH184" s="1014"/>
      <c r="AI184" s="1014"/>
      <c r="AJ184" s="1014"/>
    </row>
    <row r="185" spans="2:36" x14ac:dyDescent="0.25">
      <c r="B185" s="700"/>
      <c r="C185" s="700"/>
      <c r="D185" s="700"/>
      <c r="E185" s="1014"/>
      <c r="F185" s="1014"/>
      <c r="G185" s="1014"/>
      <c r="H185" s="1014"/>
      <c r="I185" s="1014"/>
      <c r="J185" s="1014"/>
      <c r="K185" s="1014"/>
      <c r="L185" s="1014"/>
      <c r="M185" s="1014"/>
      <c r="N185" s="1014"/>
      <c r="O185" s="1014"/>
      <c r="P185" s="1014"/>
      <c r="Q185" s="1014"/>
      <c r="R185" s="1014"/>
      <c r="S185" s="1014"/>
      <c r="T185" s="1014"/>
      <c r="U185" s="1014"/>
      <c r="V185" s="1014"/>
      <c r="W185" s="1014"/>
      <c r="X185" s="1014"/>
      <c r="Y185" s="1014"/>
      <c r="Z185" s="1014"/>
      <c r="AA185" s="1014"/>
      <c r="AB185" s="1014"/>
      <c r="AC185" s="1014"/>
      <c r="AD185" s="1014"/>
      <c r="AE185" s="1014"/>
      <c r="AF185" s="1014"/>
      <c r="AG185" s="1014"/>
      <c r="AH185" s="1014"/>
      <c r="AI185" s="1014"/>
      <c r="AJ185" s="1014"/>
    </row>
    <row r="186" spans="2:36" x14ac:dyDescent="0.25">
      <c r="B186" s="700"/>
      <c r="C186" s="700"/>
      <c r="D186" s="700"/>
      <c r="E186" s="1014"/>
      <c r="F186" s="1014"/>
      <c r="G186" s="1014"/>
      <c r="H186" s="1014"/>
      <c r="I186" s="1014"/>
      <c r="J186" s="1014"/>
      <c r="K186" s="1014"/>
      <c r="L186" s="1014"/>
      <c r="M186" s="1014"/>
      <c r="N186" s="1014"/>
      <c r="O186" s="1014"/>
      <c r="P186" s="1014"/>
      <c r="Q186" s="1014"/>
      <c r="R186" s="1014"/>
      <c r="S186" s="1014"/>
      <c r="T186" s="1014"/>
      <c r="U186" s="1014"/>
      <c r="V186" s="1014"/>
      <c r="W186" s="1014"/>
      <c r="X186" s="1014"/>
      <c r="Y186" s="1014"/>
      <c r="Z186" s="1014"/>
      <c r="AA186" s="1014"/>
      <c r="AB186" s="1014"/>
      <c r="AC186" s="1014"/>
      <c r="AD186" s="1014"/>
      <c r="AE186" s="1014"/>
      <c r="AF186" s="1014"/>
      <c r="AG186" s="1014"/>
      <c r="AH186" s="1014"/>
      <c r="AI186" s="1014"/>
      <c r="AJ186" s="1014"/>
    </row>
    <row r="187" spans="2:36" x14ac:dyDescent="0.25">
      <c r="B187" s="700"/>
      <c r="C187" s="700"/>
      <c r="D187" s="700"/>
      <c r="E187" s="1014"/>
      <c r="F187" s="1014"/>
      <c r="G187" s="1014"/>
      <c r="H187" s="1014"/>
      <c r="I187" s="1014"/>
      <c r="J187" s="1014"/>
      <c r="K187" s="1014"/>
      <c r="L187" s="1014"/>
      <c r="M187" s="1014"/>
      <c r="N187" s="1014"/>
      <c r="O187" s="1014"/>
      <c r="P187" s="1014"/>
      <c r="Q187" s="1014"/>
      <c r="R187" s="1014"/>
      <c r="S187" s="1014"/>
      <c r="T187" s="1014"/>
      <c r="U187" s="1014"/>
      <c r="V187" s="1014"/>
      <c r="W187" s="1014"/>
      <c r="X187" s="1014"/>
      <c r="Y187" s="1014"/>
      <c r="Z187" s="1014"/>
      <c r="AA187" s="1014"/>
      <c r="AB187" s="1014"/>
      <c r="AC187" s="1014"/>
      <c r="AD187" s="1014"/>
      <c r="AE187" s="1014"/>
      <c r="AF187" s="1014"/>
      <c r="AG187" s="1014"/>
      <c r="AH187" s="1014"/>
      <c r="AI187" s="1014"/>
      <c r="AJ187" s="1014"/>
    </row>
    <row r="188" spans="2:36" x14ac:dyDescent="0.25">
      <c r="B188" s="700"/>
      <c r="C188" s="700"/>
      <c r="D188" s="700"/>
      <c r="E188" s="1014"/>
      <c r="F188" s="1014"/>
      <c r="G188" s="1014"/>
      <c r="H188" s="1014"/>
      <c r="I188" s="1014"/>
      <c r="J188" s="1014"/>
      <c r="K188" s="1014"/>
      <c r="L188" s="1014"/>
      <c r="M188" s="1014"/>
      <c r="N188" s="1014"/>
      <c r="O188" s="1014"/>
      <c r="P188" s="1014"/>
      <c r="Q188" s="1014"/>
      <c r="R188" s="1014"/>
      <c r="S188" s="1014"/>
      <c r="T188" s="1014"/>
      <c r="U188" s="1014"/>
      <c r="V188" s="1014"/>
      <c r="W188" s="1014"/>
      <c r="X188" s="1014"/>
      <c r="Y188" s="1014"/>
      <c r="Z188" s="1014"/>
      <c r="AA188" s="1014"/>
      <c r="AB188" s="1014"/>
      <c r="AC188" s="1014"/>
      <c r="AD188" s="1014"/>
      <c r="AE188" s="1014"/>
      <c r="AF188" s="1014"/>
      <c r="AG188" s="1014"/>
      <c r="AH188" s="1014"/>
      <c r="AI188" s="1014"/>
      <c r="AJ188" s="1014"/>
    </row>
    <row r="189" spans="2:36" x14ac:dyDescent="0.25">
      <c r="B189" s="700"/>
      <c r="C189" s="700"/>
      <c r="D189" s="700"/>
      <c r="E189" s="1014"/>
      <c r="F189" s="1014"/>
      <c r="G189" s="1014"/>
      <c r="H189" s="1014"/>
      <c r="I189" s="1014"/>
      <c r="J189" s="1014"/>
      <c r="K189" s="1014"/>
      <c r="L189" s="1014"/>
      <c r="M189" s="1014"/>
      <c r="N189" s="1014"/>
      <c r="O189" s="1014"/>
      <c r="P189" s="1014"/>
      <c r="Q189" s="1014"/>
      <c r="R189" s="1014"/>
      <c r="S189" s="1014"/>
      <c r="T189" s="1014"/>
      <c r="U189" s="1014"/>
      <c r="V189" s="1014"/>
      <c r="W189" s="1014"/>
      <c r="X189" s="1014"/>
      <c r="Y189" s="1014"/>
      <c r="Z189" s="1014"/>
      <c r="AA189" s="1014"/>
      <c r="AB189" s="1014"/>
      <c r="AC189" s="1014"/>
      <c r="AD189" s="1014"/>
      <c r="AE189" s="1014"/>
      <c r="AF189" s="1014"/>
      <c r="AG189" s="1014"/>
      <c r="AH189" s="1014"/>
      <c r="AI189" s="1014"/>
      <c r="AJ189" s="1014"/>
    </row>
    <row r="190" spans="2:36" x14ac:dyDescent="0.25">
      <c r="B190" s="700"/>
      <c r="C190" s="700"/>
      <c r="D190" s="700"/>
      <c r="E190" s="1014"/>
      <c r="F190" s="1014"/>
      <c r="G190" s="1014"/>
      <c r="H190" s="1014"/>
      <c r="I190" s="1014"/>
      <c r="J190" s="1014"/>
      <c r="K190" s="1014"/>
      <c r="L190" s="1014"/>
      <c r="M190" s="1014"/>
      <c r="N190" s="1014"/>
      <c r="O190" s="1014"/>
      <c r="P190" s="1014"/>
      <c r="Q190" s="1014"/>
      <c r="R190" s="1014"/>
      <c r="S190" s="1014"/>
      <c r="T190" s="1014"/>
      <c r="U190" s="1014"/>
      <c r="V190" s="1014"/>
      <c r="W190" s="1014"/>
      <c r="X190" s="1014"/>
      <c r="Y190" s="1014"/>
      <c r="Z190" s="1014"/>
      <c r="AA190" s="1014"/>
      <c r="AB190" s="1014"/>
      <c r="AC190" s="1014"/>
      <c r="AD190" s="1014"/>
      <c r="AE190" s="1014"/>
      <c r="AF190" s="1014"/>
      <c r="AG190" s="1014"/>
      <c r="AH190" s="1014"/>
      <c r="AI190" s="1014"/>
      <c r="AJ190" s="1014"/>
    </row>
    <row r="191" spans="2:36" x14ac:dyDescent="0.25">
      <c r="B191" s="700"/>
      <c r="C191" s="700"/>
      <c r="D191" s="700"/>
      <c r="E191" s="1014"/>
      <c r="F191" s="1014"/>
      <c r="G191" s="1014"/>
      <c r="H191" s="1014"/>
      <c r="I191" s="1014"/>
      <c r="J191" s="1014"/>
      <c r="K191" s="1014"/>
      <c r="L191" s="1014"/>
      <c r="M191" s="1014"/>
      <c r="N191" s="1014"/>
      <c r="O191" s="1014"/>
      <c r="P191" s="1014"/>
      <c r="Q191" s="1014"/>
      <c r="R191" s="1014"/>
      <c r="S191" s="1014"/>
      <c r="T191" s="1014"/>
      <c r="U191" s="1014"/>
      <c r="V191" s="1014"/>
      <c r="W191" s="1014"/>
      <c r="X191" s="1014"/>
      <c r="Y191" s="1014"/>
      <c r="Z191" s="1014"/>
      <c r="AA191" s="1014"/>
      <c r="AB191" s="1014"/>
      <c r="AC191" s="1014"/>
      <c r="AD191" s="1014"/>
      <c r="AE191" s="1014"/>
      <c r="AF191" s="1014"/>
      <c r="AG191" s="1014"/>
      <c r="AH191" s="1014"/>
      <c r="AI191" s="1014"/>
      <c r="AJ191" s="1014"/>
    </row>
    <row r="192" spans="2:36" x14ac:dyDescent="0.25">
      <c r="B192" s="700"/>
      <c r="C192" s="700"/>
      <c r="D192" s="700"/>
      <c r="E192" s="1014"/>
      <c r="F192" s="1014"/>
      <c r="G192" s="1014"/>
      <c r="H192" s="1014"/>
      <c r="I192" s="1014"/>
      <c r="J192" s="1014"/>
      <c r="K192" s="1014"/>
      <c r="L192" s="1014"/>
      <c r="M192" s="1014"/>
      <c r="N192" s="1014"/>
      <c r="O192" s="1014"/>
      <c r="P192" s="1014"/>
      <c r="Q192" s="1014"/>
      <c r="R192" s="1014"/>
      <c r="S192" s="1014"/>
      <c r="T192" s="1014"/>
      <c r="U192" s="1014"/>
      <c r="V192" s="1014"/>
      <c r="W192" s="1014"/>
      <c r="X192" s="1014"/>
      <c r="Y192" s="1014"/>
      <c r="Z192" s="1014"/>
      <c r="AA192" s="1014"/>
      <c r="AB192" s="1014"/>
      <c r="AC192" s="1014"/>
      <c r="AD192" s="1014"/>
      <c r="AE192" s="1014"/>
      <c r="AF192" s="1014"/>
      <c r="AG192" s="1014"/>
      <c r="AH192" s="1014"/>
      <c r="AI192" s="1014"/>
      <c r="AJ192" s="1014"/>
    </row>
    <row r="193" spans="2:36" x14ac:dyDescent="0.25">
      <c r="B193" s="700"/>
      <c r="C193" s="700"/>
      <c r="D193" s="700"/>
      <c r="E193" s="1014"/>
      <c r="F193" s="1014"/>
      <c r="G193" s="1014"/>
      <c r="H193" s="1014"/>
      <c r="I193" s="1014"/>
      <c r="J193" s="1014"/>
      <c r="K193" s="1014"/>
      <c r="L193" s="1014"/>
      <c r="M193" s="1014"/>
      <c r="N193" s="1014"/>
      <c r="O193" s="1014"/>
      <c r="P193" s="1014"/>
      <c r="Q193" s="1014"/>
      <c r="R193" s="1014"/>
      <c r="S193" s="1014"/>
      <c r="T193" s="1014"/>
      <c r="U193" s="1014"/>
      <c r="V193" s="1014"/>
      <c r="W193" s="1014"/>
      <c r="X193" s="1014"/>
      <c r="Y193" s="1014"/>
      <c r="Z193" s="1014"/>
      <c r="AA193" s="1014"/>
      <c r="AB193" s="1014"/>
      <c r="AC193" s="1014"/>
      <c r="AD193" s="1014"/>
      <c r="AE193" s="1014"/>
      <c r="AF193" s="1014"/>
      <c r="AG193" s="1014"/>
      <c r="AH193" s="1014"/>
      <c r="AI193" s="1014"/>
      <c r="AJ193" s="1014"/>
    </row>
    <row r="194" spans="2:36" x14ac:dyDescent="0.25">
      <c r="B194" s="700"/>
      <c r="C194" s="700"/>
      <c r="D194" s="700"/>
      <c r="E194" s="1014"/>
      <c r="F194" s="1014"/>
      <c r="G194" s="1014"/>
      <c r="H194" s="1014"/>
      <c r="I194" s="1014"/>
      <c r="J194" s="1014"/>
      <c r="K194" s="1014"/>
      <c r="L194" s="1014"/>
      <c r="M194" s="1014"/>
      <c r="N194" s="1014"/>
      <c r="O194" s="1014"/>
      <c r="P194" s="1014"/>
      <c r="Q194" s="1014"/>
      <c r="R194" s="1014"/>
      <c r="S194" s="1014"/>
      <c r="T194" s="1014"/>
      <c r="U194" s="1014"/>
      <c r="V194" s="1014"/>
      <c r="W194" s="1014"/>
      <c r="X194" s="1014"/>
      <c r="Y194" s="1014"/>
      <c r="Z194" s="1014"/>
      <c r="AA194" s="1014"/>
      <c r="AB194" s="1014"/>
      <c r="AC194" s="1014"/>
      <c r="AD194" s="1014"/>
      <c r="AE194" s="1014"/>
      <c r="AF194" s="1014"/>
      <c r="AG194" s="1014"/>
      <c r="AH194" s="1014"/>
      <c r="AI194" s="1014"/>
      <c r="AJ194" s="1014"/>
    </row>
    <row r="195" spans="2:36" x14ac:dyDescent="0.25">
      <c r="B195" s="700"/>
      <c r="C195" s="700"/>
      <c r="D195" s="700"/>
      <c r="E195" s="1014"/>
      <c r="F195" s="1014"/>
      <c r="G195" s="1014"/>
      <c r="H195" s="1014"/>
      <c r="I195" s="1014"/>
      <c r="J195" s="1014"/>
      <c r="K195" s="1014"/>
      <c r="L195" s="1014"/>
      <c r="M195" s="1014"/>
      <c r="N195" s="1014"/>
      <c r="O195" s="1014"/>
      <c r="P195" s="1014"/>
      <c r="Q195" s="1014"/>
      <c r="R195" s="1014"/>
      <c r="S195" s="1014"/>
      <c r="T195" s="1014"/>
      <c r="U195" s="1014"/>
      <c r="V195" s="1014"/>
      <c r="W195" s="1014"/>
      <c r="X195" s="1014"/>
      <c r="Y195" s="1014"/>
      <c r="Z195" s="1014"/>
      <c r="AA195" s="1014"/>
      <c r="AB195" s="1014"/>
      <c r="AC195" s="1014"/>
      <c r="AD195" s="1014"/>
      <c r="AE195" s="1014"/>
      <c r="AF195" s="1014"/>
      <c r="AG195" s="1014"/>
      <c r="AH195" s="1014"/>
      <c r="AI195" s="1014"/>
      <c r="AJ195" s="1014"/>
    </row>
    <row r="196" spans="2:36" x14ac:dyDescent="0.25">
      <c r="B196" s="700"/>
      <c r="C196" s="700"/>
      <c r="D196" s="700"/>
      <c r="E196" s="1014"/>
      <c r="F196" s="1014"/>
      <c r="G196" s="1014"/>
      <c r="H196" s="1014"/>
      <c r="I196" s="1014"/>
      <c r="J196" s="1014"/>
      <c r="K196" s="1014"/>
      <c r="L196" s="1014"/>
      <c r="M196" s="1014"/>
      <c r="N196" s="1014"/>
      <c r="O196" s="1014"/>
      <c r="P196" s="1014"/>
      <c r="Q196" s="1014"/>
      <c r="R196" s="1014"/>
      <c r="S196" s="1014"/>
      <c r="T196" s="1014"/>
      <c r="U196" s="1014"/>
      <c r="V196" s="1014"/>
      <c r="W196" s="1014"/>
      <c r="X196" s="1014"/>
      <c r="Y196" s="1014"/>
      <c r="Z196" s="1014"/>
      <c r="AA196" s="1014"/>
      <c r="AB196" s="1014"/>
      <c r="AC196" s="1014"/>
      <c r="AD196" s="1014"/>
      <c r="AE196" s="1014"/>
      <c r="AF196" s="1014"/>
      <c r="AG196" s="1014"/>
      <c r="AH196" s="1014"/>
      <c r="AI196" s="1014"/>
      <c r="AJ196" s="1014"/>
    </row>
    <row r="197" spans="2:36" x14ac:dyDescent="0.25">
      <c r="B197" s="700"/>
      <c r="C197" s="700"/>
      <c r="D197" s="700"/>
      <c r="E197" s="1014"/>
      <c r="F197" s="1014"/>
      <c r="G197" s="1014"/>
      <c r="H197" s="1014"/>
      <c r="I197" s="1014"/>
      <c r="J197" s="1014"/>
      <c r="K197" s="1014"/>
      <c r="L197" s="1014"/>
      <c r="M197" s="1014"/>
      <c r="N197" s="1014"/>
      <c r="O197" s="1014"/>
      <c r="P197" s="1014"/>
      <c r="Q197" s="1014"/>
      <c r="R197" s="1014"/>
      <c r="S197" s="1014"/>
      <c r="T197" s="1014"/>
      <c r="U197" s="1014"/>
      <c r="V197" s="1014"/>
      <c r="W197" s="1014"/>
      <c r="X197" s="1014"/>
      <c r="Y197" s="1014"/>
      <c r="Z197" s="1014"/>
      <c r="AA197" s="1014"/>
      <c r="AB197" s="1014"/>
      <c r="AC197" s="1014"/>
      <c r="AD197" s="1014"/>
      <c r="AE197" s="1014"/>
      <c r="AF197" s="1014"/>
      <c r="AG197" s="1014"/>
      <c r="AH197" s="1014"/>
      <c r="AI197" s="1014"/>
      <c r="AJ197" s="1014"/>
    </row>
    <row r="198" spans="2:36" x14ac:dyDescent="0.25">
      <c r="B198" s="700"/>
      <c r="C198" s="700"/>
      <c r="D198" s="700"/>
      <c r="E198" s="1014"/>
      <c r="F198" s="1014"/>
      <c r="G198" s="1014"/>
      <c r="H198" s="1014"/>
      <c r="I198" s="1014"/>
      <c r="J198" s="1014"/>
      <c r="K198" s="1014"/>
      <c r="L198" s="1014"/>
      <c r="M198" s="1014"/>
      <c r="N198" s="1014"/>
      <c r="O198" s="1014"/>
      <c r="P198" s="1014"/>
      <c r="Q198" s="1014"/>
      <c r="R198" s="1014"/>
      <c r="S198" s="1014"/>
      <c r="T198" s="1014"/>
      <c r="U198" s="1014"/>
      <c r="V198" s="1014"/>
      <c r="W198" s="1014"/>
      <c r="X198" s="1014"/>
      <c r="Y198" s="1014"/>
      <c r="Z198" s="1014"/>
      <c r="AA198" s="1014"/>
      <c r="AB198" s="1014"/>
      <c r="AC198" s="1014"/>
      <c r="AD198" s="1014"/>
      <c r="AE198" s="1014"/>
      <c r="AF198" s="1014"/>
      <c r="AG198" s="1014"/>
      <c r="AH198" s="1014"/>
      <c r="AI198" s="1014"/>
      <c r="AJ198" s="1014"/>
    </row>
    <row r="199" spans="2:36" x14ac:dyDescent="0.25">
      <c r="B199" s="700"/>
      <c r="C199" s="700"/>
      <c r="D199" s="700"/>
      <c r="E199" s="1014"/>
      <c r="F199" s="1014"/>
      <c r="G199" s="1014"/>
      <c r="H199" s="1014"/>
      <c r="I199" s="1014"/>
      <c r="J199" s="1014"/>
      <c r="K199" s="1014"/>
      <c r="L199" s="1014"/>
      <c r="M199" s="1014"/>
      <c r="N199" s="1014"/>
      <c r="O199" s="1014"/>
      <c r="P199" s="1014"/>
      <c r="Q199" s="1014"/>
      <c r="R199" s="1014"/>
      <c r="S199" s="1014"/>
      <c r="T199" s="1014"/>
      <c r="U199" s="1014"/>
      <c r="V199" s="1014"/>
      <c r="W199" s="1014"/>
      <c r="X199" s="1014"/>
      <c r="Y199" s="1014"/>
      <c r="Z199" s="1014"/>
      <c r="AA199" s="1014"/>
      <c r="AB199" s="1014"/>
      <c r="AC199" s="1014"/>
      <c r="AD199" s="1014"/>
      <c r="AE199" s="1014"/>
      <c r="AF199" s="1014"/>
      <c r="AG199" s="1014"/>
      <c r="AH199" s="1014"/>
      <c r="AI199" s="1014"/>
      <c r="AJ199" s="1014"/>
    </row>
    <row r="200" spans="2:36" x14ac:dyDescent="0.25">
      <c r="B200" s="700"/>
      <c r="C200" s="700"/>
      <c r="D200" s="700"/>
      <c r="E200" s="1014"/>
      <c r="F200" s="1014"/>
      <c r="G200" s="1014"/>
      <c r="H200" s="1014"/>
      <c r="I200" s="1014"/>
      <c r="J200" s="1014"/>
      <c r="K200" s="1014"/>
      <c r="L200" s="1014"/>
      <c r="M200" s="1014"/>
      <c r="N200" s="1014"/>
      <c r="O200" s="1014"/>
      <c r="P200" s="1014"/>
      <c r="Q200" s="1014"/>
      <c r="R200" s="1014"/>
      <c r="S200" s="1014"/>
      <c r="T200" s="1014"/>
      <c r="U200" s="1014"/>
      <c r="V200" s="1014"/>
      <c r="W200" s="1014"/>
      <c r="X200" s="1014"/>
      <c r="Y200" s="1014"/>
      <c r="Z200" s="1014"/>
      <c r="AA200" s="1014"/>
      <c r="AB200" s="1014"/>
      <c r="AC200" s="1014"/>
      <c r="AD200" s="1014"/>
      <c r="AE200" s="1014"/>
      <c r="AF200" s="1014"/>
      <c r="AG200" s="1014"/>
      <c r="AH200" s="1014"/>
      <c r="AI200" s="1014"/>
      <c r="AJ200" s="1014"/>
    </row>
    <row r="201" spans="2:36" x14ac:dyDescent="0.25">
      <c r="B201" s="700"/>
      <c r="C201" s="700"/>
      <c r="D201" s="700"/>
      <c r="E201" s="1014"/>
      <c r="F201" s="1014"/>
      <c r="G201" s="1014"/>
      <c r="H201" s="1014"/>
      <c r="I201" s="1014"/>
      <c r="J201" s="1014"/>
      <c r="K201" s="1014"/>
      <c r="L201" s="1014"/>
      <c r="M201" s="1014"/>
      <c r="N201" s="1014"/>
      <c r="O201" s="1014"/>
      <c r="P201" s="1014"/>
      <c r="Q201" s="1014"/>
      <c r="R201" s="1014"/>
      <c r="S201" s="1014"/>
      <c r="T201" s="1014"/>
      <c r="U201" s="1014"/>
      <c r="V201" s="1014"/>
      <c r="W201" s="1014"/>
      <c r="X201" s="1014"/>
      <c r="Y201" s="1014"/>
      <c r="Z201" s="1014"/>
      <c r="AA201" s="1014"/>
      <c r="AB201" s="1014"/>
      <c r="AC201" s="1014"/>
      <c r="AD201" s="1014"/>
      <c r="AE201" s="1014"/>
      <c r="AF201" s="1014"/>
      <c r="AG201" s="1014"/>
      <c r="AH201" s="1014"/>
      <c r="AI201" s="1014"/>
      <c r="AJ201" s="1014"/>
    </row>
    <row r="202" spans="2:36" x14ac:dyDescent="0.25">
      <c r="B202" s="700"/>
      <c r="C202" s="700"/>
      <c r="D202" s="700"/>
      <c r="E202" s="1014"/>
      <c r="F202" s="1014"/>
      <c r="G202" s="1014"/>
      <c r="H202" s="1014"/>
      <c r="I202" s="1014"/>
      <c r="J202" s="1014"/>
      <c r="K202" s="1014"/>
      <c r="L202" s="1014"/>
      <c r="M202" s="1014"/>
      <c r="N202" s="1014"/>
      <c r="O202" s="1014"/>
      <c r="P202" s="1014"/>
      <c r="Q202" s="1014"/>
      <c r="R202" s="1014"/>
      <c r="S202" s="1014"/>
      <c r="T202" s="1014"/>
      <c r="U202" s="1014"/>
      <c r="V202" s="1014"/>
      <c r="W202" s="1014"/>
      <c r="X202" s="1014"/>
      <c r="Y202" s="1014"/>
      <c r="Z202" s="1014"/>
      <c r="AA202" s="1014"/>
      <c r="AB202" s="1014"/>
      <c r="AC202" s="1014"/>
      <c r="AD202" s="1014"/>
      <c r="AE202" s="1014"/>
      <c r="AF202" s="1014"/>
      <c r="AG202" s="1014"/>
      <c r="AH202" s="1014"/>
      <c r="AI202" s="1014"/>
      <c r="AJ202" s="1014"/>
    </row>
    <row r="203" spans="2:36" x14ac:dyDescent="0.25">
      <c r="B203" s="700"/>
      <c r="C203" s="700"/>
      <c r="D203" s="700"/>
      <c r="E203" s="1014"/>
      <c r="F203" s="1014"/>
      <c r="G203" s="1014"/>
      <c r="H203" s="1014"/>
      <c r="I203" s="1014"/>
      <c r="J203" s="1014"/>
      <c r="K203" s="1014"/>
      <c r="L203" s="1014"/>
      <c r="M203" s="1014"/>
      <c r="N203" s="1014"/>
      <c r="O203" s="1014"/>
      <c r="P203" s="1014"/>
      <c r="Q203" s="1014"/>
      <c r="R203" s="1014"/>
      <c r="S203" s="1014"/>
      <c r="T203" s="1014"/>
      <c r="U203" s="1014"/>
      <c r="V203" s="1014"/>
      <c r="W203" s="1014"/>
      <c r="X203" s="1014"/>
      <c r="Y203" s="1014"/>
      <c r="Z203" s="1014"/>
      <c r="AA203" s="1014"/>
      <c r="AB203" s="1014"/>
      <c r="AC203" s="1014"/>
      <c r="AD203" s="1014"/>
      <c r="AE203" s="1014"/>
      <c r="AF203" s="1014"/>
      <c r="AG203" s="1014"/>
      <c r="AH203" s="1014"/>
      <c r="AI203" s="1014"/>
      <c r="AJ203" s="1014"/>
    </row>
    <row r="204" spans="2:36" x14ac:dyDescent="0.25">
      <c r="B204" s="700"/>
      <c r="C204" s="700"/>
      <c r="D204" s="700"/>
      <c r="E204" s="1014"/>
      <c r="F204" s="1014"/>
      <c r="G204" s="1014"/>
      <c r="H204" s="1014"/>
      <c r="I204" s="1014"/>
      <c r="J204" s="1014"/>
      <c r="K204" s="1014"/>
      <c r="L204" s="1014"/>
      <c r="M204" s="1014"/>
      <c r="N204" s="1014"/>
      <c r="O204" s="1014"/>
      <c r="P204" s="1014"/>
      <c r="Q204" s="1014"/>
      <c r="R204" s="1014"/>
      <c r="S204" s="1014"/>
      <c r="T204" s="1014"/>
      <c r="U204" s="1014"/>
      <c r="V204" s="1014"/>
      <c r="W204" s="1014"/>
      <c r="X204" s="1014"/>
      <c r="Y204" s="1014"/>
      <c r="Z204" s="1014"/>
      <c r="AA204" s="1014"/>
      <c r="AB204" s="1014"/>
      <c r="AC204" s="1014"/>
      <c r="AD204" s="1014"/>
      <c r="AE204" s="1014"/>
      <c r="AF204" s="1014"/>
      <c r="AG204" s="1014"/>
      <c r="AH204" s="1014"/>
      <c r="AI204" s="1014"/>
      <c r="AJ204" s="1014"/>
    </row>
    <row r="205" spans="2:36" x14ac:dyDescent="0.25">
      <c r="B205" s="700"/>
      <c r="C205" s="700"/>
      <c r="D205" s="700"/>
      <c r="E205" s="1014"/>
      <c r="F205" s="1014"/>
      <c r="G205" s="1014"/>
      <c r="H205" s="1014"/>
      <c r="I205" s="1014"/>
      <c r="J205" s="1014"/>
      <c r="K205" s="1014"/>
      <c r="L205" s="1014"/>
      <c r="M205" s="1014"/>
      <c r="N205" s="1014"/>
      <c r="O205" s="1014"/>
      <c r="P205" s="1014"/>
      <c r="Q205" s="1014"/>
      <c r="R205" s="1014"/>
      <c r="S205" s="1014"/>
      <c r="T205" s="1014"/>
      <c r="U205" s="1014"/>
      <c r="V205" s="1014"/>
      <c r="W205" s="1014"/>
      <c r="X205" s="1014"/>
      <c r="Y205" s="1014"/>
      <c r="Z205" s="1014"/>
      <c r="AA205" s="1014"/>
      <c r="AB205" s="1014"/>
      <c r="AC205" s="1014"/>
      <c r="AD205" s="1014"/>
      <c r="AE205" s="1014"/>
      <c r="AF205" s="1014"/>
      <c r="AG205" s="1014"/>
      <c r="AH205" s="1014"/>
      <c r="AI205" s="1014"/>
      <c r="AJ205" s="1014"/>
    </row>
    <row r="206" spans="2:36" x14ac:dyDescent="0.25">
      <c r="B206" s="700"/>
      <c r="C206" s="700"/>
      <c r="D206" s="700"/>
      <c r="E206" s="1014"/>
      <c r="F206" s="1014"/>
      <c r="G206" s="1014"/>
      <c r="H206" s="1014"/>
      <c r="I206" s="1014"/>
      <c r="J206" s="1014"/>
      <c r="K206" s="1014"/>
      <c r="L206" s="1014"/>
      <c r="M206" s="1014"/>
      <c r="N206" s="1014"/>
      <c r="O206" s="1014"/>
      <c r="P206" s="1014"/>
      <c r="Q206" s="1014"/>
      <c r="R206" s="1014"/>
      <c r="S206" s="1014"/>
      <c r="T206" s="1014"/>
      <c r="U206" s="1014"/>
      <c r="V206" s="1014"/>
      <c r="W206" s="1014"/>
      <c r="X206" s="1014"/>
      <c r="Y206" s="1014"/>
      <c r="Z206" s="1014"/>
      <c r="AA206" s="1014"/>
      <c r="AB206" s="1014"/>
      <c r="AC206" s="1014"/>
      <c r="AD206" s="1014"/>
      <c r="AE206" s="1014"/>
      <c r="AF206" s="1014"/>
      <c r="AG206" s="1014"/>
      <c r="AH206" s="1014"/>
      <c r="AI206" s="1014"/>
      <c r="AJ206" s="1014"/>
    </row>
    <row r="207" spans="2:36" x14ac:dyDescent="0.25">
      <c r="B207" s="700"/>
      <c r="C207" s="700"/>
      <c r="D207" s="700"/>
      <c r="E207" s="1014"/>
      <c r="F207" s="1014"/>
      <c r="G207" s="1014"/>
      <c r="H207" s="1014"/>
      <c r="I207" s="1014"/>
      <c r="J207" s="1014"/>
      <c r="K207" s="1014"/>
      <c r="L207" s="1014"/>
      <c r="M207" s="1014"/>
      <c r="N207" s="1014"/>
      <c r="O207" s="1014"/>
      <c r="P207" s="1014"/>
      <c r="Q207" s="1014"/>
      <c r="R207" s="1014"/>
      <c r="S207" s="1014"/>
      <c r="T207" s="1014"/>
      <c r="U207" s="1014"/>
      <c r="V207" s="1014"/>
      <c r="W207" s="1014"/>
      <c r="X207" s="1014"/>
      <c r="Y207" s="1014"/>
      <c r="Z207" s="1014"/>
      <c r="AA207" s="1014"/>
      <c r="AB207" s="1014"/>
      <c r="AC207" s="1014"/>
      <c r="AD207" s="1014"/>
      <c r="AE207" s="1014"/>
      <c r="AF207" s="1014"/>
      <c r="AG207" s="1014"/>
      <c r="AH207" s="1014"/>
      <c r="AI207" s="1014"/>
      <c r="AJ207" s="1014"/>
    </row>
    <row r="208" spans="2:36" x14ac:dyDescent="0.25">
      <c r="B208" s="700"/>
      <c r="C208" s="700"/>
      <c r="D208" s="700"/>
      <c r="E208" s="1014"/>
      <c r="F208" s="1014"/>
      <c r="G208" s="1014"/>
      <c r="H208" s="1014"/>
      <c r="I208" s="1014"/>
      <c r="J208" s="1014"/>
      <c r="K208" s="1014"/>
      <c r="L208" s="1014"/>
      <c r="M208" s="1014"/>
      <c r="N208" s="1014"/>
      <c r="O208" s="1014"/>
      <c r="P208" s="1014"/>
      <c r="Q208" s="1014"/>
      <c r="R208" s="1014"/>
      <c r="S208" s="1014"/>
      <c r="T208" s="1014"/>
      <c r="U208" s="1014"/>
      <c r="V208" s="1014"/>
      <c r="W208" s="1014"/>
      <c r="X208" s="1014"/>
      <c r="Y208" s="1014"/>
      <c r="Z208" s="1014"/>
      <c r="AA208" s="1014"/>
      <c r="AB208" s="1014"/>
      <c r="AC208" s="1014"/>
      <c r="AD208" s="1014"/>
      <c r="AE208" s="1014"/>
      <c r="AF208" s="1014"/>
      <c r="AG208" s="1014"/>
      <c r="AH208" s="1014"/>
      <c r="AI208" s="1014"/>
      <c r="AJ208" s="1014"/>
    </row>
    <row r="209" spans="2:36" x14ac:dyDescent="0.25">
      <c r="B209" s="700"/>
      <c r="C209" s="700"/>
      <c r="D209" s="700"/>
      <c r="E209" s="1014"/>
      <c r="F209" s="1014"/>
      <c r="G209" s="1014"/>
      <c r="H209" s="1014"/>
      <c r="I209" s="1014"/>
      <c r="J209" s="1014"/>
      <c r="K209" s="1014"/>
      <c r="L209" s="1014"/>
      <c r="M209" s="1014"/>
      <c r="N209" s="1014"/>
      <c r="O209" s="1014"/>
      <c r="P209" s="1014"/>
      <c r="Q209" s="1014"/>
      <c r="R209" s="1014"/>
      <c r="S209" s="1014"/>
      <c r="T209" s="1014"/>
      <c r="U209" s="1014"/>
      <c r="V209" s="1014"/>
      <c r="W209" s="1014"/>
      <c r="X209" s="1014"/>
      <c r="Y209" s="1014"/>
      <c r="Z209" s="1014"/>
      <c r="AA209" s="1014"/>
      <c r="AB209" s="1014"/>
      <c r="AC209" s="1014"/>
      <c r="AD209" s="1014"/>
      <c r="AE209" s="1014"/>
      <c r="AF209" s="1014"/>
      <c r="AG209" s="1014"/>
      <c r="AH209" s="1014"/>
      <c r="AI209" s="1014"/>
      <c r="AJ209" s="1014"/>
    </row>
    <row r="210" spans="2:36" x14ac:dyDescent="0.25">
      <c r="B210" s="700"/>
      <c r="C210" s="700"/>
      <c r="D210" s="700"/>
      <c r="E210" s="1014"/>
      <c r="F210" s="1014"/>
      <c r="G210" s="1014"/>
      <c r="H210" s="1014"/>
      <c r="I210" s="1014"/>
      <c r="J210" s="1014"/>
      <c r="K210" s="1014"/>
      <c r="L210" s="1014"/>
      <c r="M210" s="1014"/>
      <c r="N210" s="1014"/>
      <c r="O210" s="1014"/>
      <c r="P210" s="1014"/>
      <c r="Q210" s="1014"/>
      <c r="R210" s="1014"/>
      <c r="S210" s="1014"/>
      <c r="T210" s="1014"/>
      <c r="U210" s="1014"/>
      <c r="V210" s="1014"/>
      <c r="W210" s="1014"/>
      <c r="X210" s="1014"/>
      <c r="Y210" s="1014"/>
      <c r="Z210" s="1014"/>
      <c r="AA210" s="1014"/>
      <c r="AB210" s="1014"/>
      <c r="AC210" s="1014"/>
      <c r="AD210" s="1014"/>
      <c r="AE210" s="1014"/>
      <c r="AF210" s="1014"/>
      <c r="AG210" s="1014"/>
      <c r="AH210" s="1014"/>
      <c r="AI210" s="1014"/>
      <c r="AJ210" s="1014"/>
    </row>
    <row r="211" spans="2:36" x14ac:dyDescent="0.25">
      <c r="B211" s="700"/>
      <c r="C211" s="700"/>
      <c r="D211" s="700"/>
      <c r="E211" s="1014"/>
      <c r="F211" s="1014"/>
      <c r="G211" s="1014"/>
      <c r="H211" s="1014"/>
      <c r="I211" s="1014"/>
      <c r="J211" s="1014"/>
      <c r="K211" s="1014"/>
      <c r="L211" s="1014"/>
      <c r="M211" s="1014"/>
      <c r="N211" s="1014"/>
      <c r="O211" s="1014"/>
      <c r="P211" s="1014"/>
      <c r="Q211" s="1014"/>
      <c r="R211" s="1014"/>
      <c r="S211" s="1014"/>
      <c r="T211" s="1014"/>
      <c r="U211" s="1014"/>
      <c r="V211" s="1014"/>
      <c r="W211" s="1014"/>
      <c r="X211" s="1014"/>
      <c r="Y211" s="1014"/>
      <c r="Z211" s="1014"/>
      <c r="AA211" s="1014"/>
      <c r="AB211" s="1014"/>
      <c r="AC211" s="1014"/>
      <c r="AD211" s="1014"/>
      <c r="AE211" s="1014"/>
      <c r="AF211" s="1014"/>
      <c r="AG211" s="1014"/>
      <c r="AH211" s="1014"/>
      <c r="AI211" s="1014"/>
      <c r="AJ211" s="1014"/>
    </row>
    <row r="212" spans="2:36" x14ac:dyDescent="0.25">
      <c r="B212" s="700"/>
      <c r="C212" s="700"/>
      <c r="D212" s="700"/>
      <c r="E212" s="1014"/>
      <c r="F212" s="1014"/>
      <c r="G212" s="1014"/>
      <c r="H212" s="1014"/>
      <c r="I212" s="1014"/>
      <c r="J212" s="1014"/>
      <c r="K212" s="1014"/>
      <c r="L212" s="1014"/>
      <c r="M212" s="1014"/>
      <c r="N212" s="1014"/>
      <c r="O212" s="1014"/>
      <c r="P212" s="1014"/>
      <c r="Q212" s="1014"/>
      <c r="R212" s="1014"/>
      <c r="S212" s="1014"/>
      <c r="T212" s="1014"/>
      <c r="U212" s="1014"/>
      <c r="V212" s="1014"/>
      <c r="W212" s="1014"/>
      <c r="X212" s="1014"/>
      <c r="Y212" s="1014"/>
      <c r="Z212" s="1014"/>
      <c r="AA212" s="1014"/>
      <c r="AB212" s="1014"/>
      <c r="AC212" s="1014"/>
      <c r="AD212" s="1014"/>
      <c r="AE212" s="1014"/>
      <c r="AF212" s="1014"/>
      <c r="AG212" s="1014"/>
      <c r="AH212" s="1014"/>
      <c r="AI212" s="1014"/>
      <c r="AJ212" s="1014"/>
    </row>
    <row r="213" spans="2:36" x14ac:dyDescent="0.25">
      <c r="B213" s="700"/>
      <c r="C213" s="700"/>
      <c r="D213" s="700"/>
      <c r="E213" s="1014"/>
      <c r="F213" s="1014"/>
      <c r="G213" s="1014"/>
      <c r="H213" s="1014"/>
      <c r="I213" s="1014"/>
      <c r="J213" s="1014"/>
      <c r="K213" s="1014"/>
      <c r="L213" s="1014"/>
      <c r="M213" s="1014"/>
      <c r="N213" s="1014"/>
      <c r="O213" s="1014"/>
      <c r="P213" s="1014"/>
      <c r="Q213" s="1014"/>
      <c r="R213" s="1014"/>
      <c r="S213" s="1014"/>
      <c r="T213" s="1014"/>
      <c r="U213" s="1014"/>
      <c r="V213" s="1014"/>
      <c r="W213" s="1014"/>
      <c r="X213" s="1014"/>
      <c r="Y213" s="1014"/>
      <c r="Z213" s="1014"/>
      <c r="AA213" s="1014"/>
      <c r="AB213" s="1014"/>
      <c r="AC213" s="1014"/>
      <c r="AD213" s="1014"/>
      <c r="AE213" s="1014"/>
      <c r="AF213" s="1014"/>
      <c r="AG213" s="1014"/>
      <c r="AH213" s="1014"/>
      <c r="AI213" s="1014"/>
      <c r="AJ213" s="1014"/>
    </row>
    <row r="214" spans="2:36" x14ac:dyDescent="0.25">
      <c r="B214" s="700"/>
      <c r="C214" s="700"/>
      <c r="D214" s="700"/>
      <c r="E214" s="1014"/>
      <c r="F214" s="1014"/>
      <c r="G214" s="1014"/>
      <c r="H214" s="1014"/>
      <c r="I214" s="1014"/>
      <c r="J214" s="1014"/>
      <c r="K214" s="1014"/>
      <c r="L214" s="1014"/>
      <c r="M214" s="1014"/>
      <c r="N214" s="1014"/>
      <c r="O214" s="1014"/>
      <c r="P214" s="1014"/>
      <c r="Q214" s="1014"/>
      <c r="R214" s="1014"/>
      <c r="S214" s="1014"/>
      <c r="T214" s="1014"/>
      <c r="U214" s="1014"/>
      <c r="V214" s="1014"/>
      <c r="W214" s="1014"/>
      <c r="X214" s="1014"/>
      <c r="Y214" s="1014"/>
      <c r="Z214" s="1014"/>
      <c r="AA214" s="1014"/>
      <c r="AB214" s="1014"/>
      <c r="AC214" s="1014"/>
      <c r="AD214" s="1014"/>
      <c r="AE214" s="1014"/>
      <c r="AF214" s="1014"/>
      <c r="AG214" s="1014"/>
      <c r="AH214" s="1014"/>
      <c r="AI214" s="1014"/>
      <c r="AJ214" s="1014"/>
    </row>
    <row r="215" spans="2:36" x14ac:dyDescent="0.25">
      <c r="B215" s="700"/>
      <c r="C215" s="700"/>
      <c r="D215" s="700"/>
      <c r="E215" s="1014"/>
      <c r="F215" s="1014"/>
      <c r="G215" s="1014"/>
      <c r="H215" s="1014"/>
      <c r="I215" s="1014"/>
      <c r="J215" s="1014"/>
      <c r="K215" s="1014"/>
      <c r="L215" s="1014"/>
      <c r="M215" s="1014"/>
      <c r="N215" s="1014"/>
      <c r="O215" s="1014"/>
      <c r="P215" s="1014"/>
      <c r="Q215" s="1014"/>
      <c r="R215" s="1014"/>
      <c r="S215" s="1014"/>
      <c r="T215" s="1014"/>
      <c r="U215" s="1014"/>
      <c r="V215" s="1014"/>
      <c r="W215" s="1014"/>
      <c r="X215" s="1014"/>
      <c r="Y215" s="1014"/>
      <c r="Z215" s="1014"/>
      <c r="AA215" s="1014"/>
      <c r="AB215" s="1014"/>
      <c r="AC215" s="1014"/>
      <c r="AD215" s="1014"/>
      <c r="AE215" s="1014"/>
      <c r="AF215" s="1014"/>
      <c r="AG215" s="1014"/>
      <c r="AH215" s="1014"/>
      <c r="AI215" s="1014"/>
      <c r="AJ215" s="1014"/>
    </row>
    <row r="216" spans="2:36" x14ac:dyDescent="0.25">
      <c r="B216" s="700"/>
      <c r="C216" s="700"/>
      <c r="D216" s="700"/>
      <c r="E216" s="1014"/>
      <c r="F216" s="1014"/>
      <c r="G216" s="1014"/>
      <c r="H216" s="1014"/>
      <c r="I216" s="1014"/>
      <c r="J216" s="1014"/>
      <c r="K216" s="1014"/>
      <c r="L216" s="1014"/>
      <c r="M216" s="1014"/>
      <c r="N216" s="1014"/>
      <c r="O216" s="1014"/>
      <c r="P216" s="1014"/>
      <c r="Q216" s="1014"/>
      <c r="R216" s="1014"/>
      <c r="S216" s="1014"/>
      <c r="T216" s="1014"/>
      <c r="U216" s="1014"/>
      <c r="V216" s="1014"/>
      <c r="W216" s="1014"/>
      <c r="X216" s="1014"/>
      <c r="Y216" s="1014"/>
      <c r="Z216" s="1014"/>
      <c r="AA216" s="1014"/>
      <c r="AB216" s="1014"/>
      <c r="AC216" s="1014"/>
      <c r="AD216" s="1014"/>
      <c r="AE216" s="1014"/>
      <c r="AF216" s="1014"/>
      <c r="AG216" s="1014"/>
      <c r="AH216" s="1014"/>
      <c r="AI216" s="1014"/>
      <c r="AJ216" s="1014"/>
    </row>
    <row r="217" spans="2:36" x14ac:dyDescent="0.25">
      <c r="B217" s="700"/>
      <c r="C217" s="700"/>
      <c r="D217" s="700"/>
      <c r="E217" s="1014"/>
      <c r="F217" s="1014"/>
      <c r="G217" s="1014"/>
      <c r="H217" s="1014"/>
      <c r="I217" s="1014"/>
      <c r="J217" s="1014"/>
      <c r="K217" s="1014"/>
      <c r="L217" s="1014"/>
      <c r="M217" s="1014"/>
      <c r="N217" s="1014"/>
      <c r="O217" s="1014"/>
      <c r="P217" s="1014"/>
      <c r="Q217" s="1014"/>
      <c r="R217" s="1014"/>
      <c r="S217" s="1014"/>
      <c r="T217" s="1014"/>
      <c r="U217" s="1014"/>
      <c r="V217" s="1014"/>
      <c r="W217" s="1014"/>
      <c r="X217" s="1014"/>
      <c r="Y217" s="1014"/>
      <c r="Z217" s="1014"/>
      <c r="AA217" s="1014"/>
      <c r="AB217" s="1014"/>
      <c r="AC217" s="1014"/>
      <c r="AD217" s="1014"/>
      <c r="AE217" s="1014"/>
      <c r="AF217" s="1014"/>
      <c r="AG217" s="1014"/>
      <c r="AH217" s="1014"/>
      <c r="AI217" s="1014"/>
      <c r="AJ217" s="1014"/>
    </row>
    <row r="218" spans="2:36" x14ac:dyDescent="0.25">
      <c r="B218" s="700"/>
      <c r="C218" s="700"/>
      <c r="D218" s="700"/>
      <c r="E218" s="1014"/>
      <c r="F218" s="1014"/>
      <c r="G218" s="1014"/>
      <c r="H218" s="1014"/>
      <c r="I218" s="1014"/>
      <c r="J218" s="1014"/>
      <c r="K218" s="1014"/>
      <c r="L218" s="1014"/>
      <c r="M218" s="1014"/>
      <c r="N218" s="1014"/>
      <c r="O218" s="1014"/>
      <c r="P218" s="1014"/>
      <c r="Q218" s="1014"/>
      <c r="R218" s="1014"/>
      <c r="S218" s="1014"/>
      <c r="T218" s="1014"/>
      <c r="U218" s="1014"/>
      <c r="V218" s="1014"/>
      <c r="W218" s="1014"/>
      <c r="X218" s="1014"/>
      <c r="Y218" s="1014"/>
      <c r="Z218" s="1014"/>
      <c r="AA218" s="1014"/>
      <c r="AB218" s="1014"/>
      <c r="AC218" s="1014"/>
      <c r="AD218" s="1014"/>
      <c r="AE218" s="1014"/>
      <c r="AF218" s="1014"/>
      <c r="AG218" s="1014"/>
      <c r="AH218" s="1014"/>
      <c r="AI218" s="1014"/>
      <c r="AJ218" s="1014"/>
    </row>
    <row r="219" spans="2:36" x14ac:dyDescent="0.25">
      <c r="B219" s="700"/>
      <c r="C219" s="700"/>
      <c r="D219" s="700"/>
      <c r="E219" s="1014"/>
      <c r="F219" s="1014"/>
      <c r="G219" s="1014"/>
      <c r="H219" s="1014"/>
      <c r="I219" s="1014"/>
      <c r="J219" s="1014"/>
      <c r="K219" s="1014"/>
      <c r="L219" s="1014"/>
      <c r="M219" s="1014"/>
      <c r="N219" s="1014"/>
      <c r="O219" s="1014"/>
      <c r="P219" s="1014"/>
      <c r="Q219" s="1014"/>
      <c r="R219" s="1014"/>
      <c r="S219" s="1014"/>
      <c r="T219" s="1014"/>
      <c r="U219" s="1014"/>
      <c r="V219" s="1014"/>
      <c r="W219" s="1014"/>
      <c r="X219" s="1014"/>
      <c r="Y219" s="1014"/>
      <c r="Z219" s="1014"/>
      <c r="AA219" s="1014"/>
      <c r="AB219" s="1014"/>
      <c r="AC219" s="1014"/>
      <c r="AD219" s="1014"/>
      <c r="AE219" s="1014"/>
      <c r="AF219" s="1014"/>
      <c r="AG219" s="1014"/>
      <c r="AH219" s="1014"/>
      <c r="AI219" s="1014"/>
      <c r="AJ219" s="1014"/>
    </row>
    <row r="220" spans="2:36" x14ac:dyDescent="0.25">
      <c r="B220" s="700"/>
      <c r="C220" s="700"/>
      <c r="D220" s="700"/>
      <c r="E220" s="1014"/>
      <c r="F220" s="1014"/>
      <c r="G220" s="1014"/>
      <c r="H220" s="1014"/>
      <c r="I220" s="1014"/>
      <c r="J220" s="1014"/>
      <c r="K220" s="1014"/>
      <c r="L220" s="1014"/>
      <c r="M220" s="1014"/>
      <c r="N220" s="1014"/>
      <c r="O220" s="1014"/>
      <c r="P220" s="1014"/>
      <c r="Q220" s="1014"/>
      <c r="R220" s="1014"/>
      <c r="S220" s="1014"/>
      <c r="T220" s="1014"/>
      <c r="U220" s="1014"/>
      <c r="V220" s="1014"/>
      <c r="W220" s="1014"/>
      <c r="X220" s="1014"/>
      <c r="Y220" s="1014"/>
      <c r="Z220" s="1014"/>
      <c r="AA220" s="1014"/>
      <c r="AB220" s="1014"/>
      <c r="AC220" s="1014"/>
      <c r="AD220" s="1014"/>
      <c r="AE220" s="1014"/>
      <c r="AF220" s="1014"/>
      <c r="AG220" s="1014"/>
      <c r="AH220" s="1014"/>
      <c r="AI220" s="1014"/>
      <c r="AJ220" s="1014"/>
    </row>
    <row r="221" spans="2:36" x14ac:dyDescent="0.25">
      <c r="B221" s="700"/>
      <c r="C221" s="700"/>
      <c r="D221" s="700"/>
      <c r="E221" s="1014"/>
      <c r="F221" s="1014"/>
      <c r="G221" s="1014"/>
      <c r="H221" s="1014"/>
      <c r="I221" s="1014"/>
      <c r="J221" s="1014"/>
      <c r="K221" s="1014"/>
      <c r="L221" s="1014"/>
      <c r="M221" s="1014"/>
      <c r="N221" s="1014"/>
      <c r="O221" s="1014"/>
      <c r="P221" s="1014"/>
      <c r="Q221" s="1014"/>
      <c r="R221" s="1014"/>
      <c r="S221" s="1014"/>
      <c r="T221" s="1014"/>
      <c r="U221" s="1014"/>
      <c r="V221" s="1014"/>
      <c r="W221" s="1014"/>
      <c r="X221" s="1014"/>
      <c r="Y221" s="1014"/>
      <c r="Z221" s="1014"/>
      <c r="AA221" s="1014"/>
      <c r="AB221" s="1014"/>
      <c r="AC221" s="1014"/>
      <c r="AD221" s="1014"/>
      <c r="AE221" s="1014"/>
      <c r="AF221" s="1014"/>
      <c r="AG221" s="1014"/>
      <c r="AH221" s="1014"/>
      <c r="AI221" s="1014"/>
      <c r="AJ221" s="1014"/>
    </row>
    <row r="222" spans="2:36" x14ac:dyDescent="0.25">
      <c r="B222" s="700"/>
      <c r="C222" s="700"/>
      <c r="D222" s="700"/>
      <c r="E222" s="1014"/>
      <c r="F222" s="1014"/>
      <c r="G222" s="1014"/>
      <c r="H222" s="1014"/>
      <c r="I222" s="1014"/>
      <c r="J222" s="1014"/>
      <c r="K222" s="1014"/>
      <c r="L222" s="1014"/>
      <c r="M222" s="1014"/>
      <c r="N222" s="1014"/>
      <c r="O222" s="1014"/>
      <c r="P222" s="1014"/>
      <c r="Q222" s="1014"/>
      <c r="R222" s="1014"/>
      <c r="S222" s="1014"/>
      <c r="T222" s="1014"/>
      <c r="U222" s="1014"/>
      <c r="V222" s="1014"/>
      <c r="W222" s="1014"/>
      <c r="X222" s="1014"/>
      <c r="Y222" s="1014"/>
      <c r="Z222" s="1014"/>
      <c r="AA222" s="1014"/>
      <c r="AB222" s="1014"/>
      <c r="AC222" s="1014"/>
      <c r="AD222" s="1014"/>
      <c r="AE222" s="1014"/>
      <c r="AF222" s="1014"/>
      <c r="AG222" s="1014"/>
      <c r="AH222" s="1014"/>
      <c r="AI222" s="1014"/>
      <c r="AJ222" s="1014"/>
    </row>
    <row r="223" spans="2:36" x14ac:dyDescent="0.25">
      <c r="B223" s="700"/>
      <c r="C223" s="700"/>
      <c r="D223" s="700"/>
      <c r="E223" s="1014"/>
      <c r="F223" s="1014"/>
      <c r="G223" s="1014"/>
      <c r="H223" s="1014"/>
      <c r="I223" s="1014"/>
      <c r="J223" s="1014"/>
      <c r="K223" s="1014"/>
      <c r="L223" s="1014"/>
      <c r="M223" s="1014"/>
      <c r="N223" s="1014"/>
      <c r="O223" s="1014"/>
      <c r="P223" s="1014"/>
      <c r="Q223" s="1014"/>
      <c r="R223" s="1014"/>
      <c r="S223" s="1014"/>
      <c r="T223" s="1014"/>
      <c r="U223" s="1014"/>
      <c r="V223" s="1014"/>
      <c r="W223" s="1014"/>
      <c r="X223" s="1014"/>
      <c r="Y223" s="1014"/>
      <c r="Z223" s="1014"/>
      <c r="AA223" s="1014"/>
      <c r="AB223" s="1014"/>
      <c r="AC223" s="1014"/>
      <c r="AD223" s="1014"/>
      <c r="AE223" s="1014"/>
      <c r="AF223" s="1014"/>
      <c r="AG223" s="1014"/>
      <c r="AH223" s="1014"/>
      <c r="AI223" s="1014"/>
      <c r="AJ223" s="1014"/>
    </row>
    <row r="224" spans="2:36" x14ac:dyDescent="0.25">
      <c r="B224" s="700"/>
      <c r="C224" s="700"/>
      <c r="D224" s="700"/>
      <c r="E224" s="1014"/>
      <c r="F224" s="1014"/>
      <c r="G224" s="1014"/>
      <c r="H224" s="1014"/>
      <c r="I224" s="1014"/>
      <c r="J224" s="1014"/>
      <c r="K224" s="1014"/>
      <c r="L224" s="1014"/>
      <c r="M224" s="1014"/>
      <c r="N224" s="1014"/>
      <c r="O224" s="1014"/>
      <c r="P224" s="1014"/>
      <c r="Q224" s="1014"/>
      <c r="R224" s="1014"/>
      <c r="S224" s="1014"/>
      <c r="T224" s="1014"/>
      <c r="U224" s="1014"/>
      <c r="V224" s="1014"/>
      <c r="W224" s="1014"/>
      <c r="X224" s="1014"/>
      <c r="Y224" s="1014"/>
      <c r="Z224" s="1014"/>
      <c r="AA224" s="1014"/>
      <c r="AB224" s="1014"/>
      <c r="AC224" s="1014"/>
      <c r="AD224" s="1014"/>
      <c r="AE224" s="1014"/>
      <c r="AF224" s="1014"/>
      <c r="AG224" s="1014"/>
      <c r="AH224" s="1014"/>
      <c r="AI224" s="1014"/>
      <c r="AJ224" s="1014"/>
    </row>
    <row r="225" spans="2:36" x14ac:dyDescent="0.25">
      <c r="B225" s="700"/>
      <c r="C225" s="700"/>
      <c r="D225" s="700"/>
      <c r="E225" s="1014"/>
      <c r="F225" s="1014"/>
      <c r="G225" s="1014"/>
      <c r="H225" s="1014"/>
      <c r="I225" s="1014"/>
      <c r="J225" s="1014"/>
      <c r="K225" s="1014"/>
      <c r="L225" s="1014"/>
      <c r="M225" s="1014"/>
      <c r="N225" s="1014"/>
      <c r="O225" s="1014"/>
      <c r="P225" s="1014"/>
      <c r="Q225" s="1014"/>
      <c r="R225" s="1014"/>
      <c r="S225" s="1014"/>
      <c r="T225" s="1014"/>
      <c r="U225" s="1014"/>
      <c r="V225" s="1014"/>
      <c r="W225" s="1014"/>
      <c r="X225" s="1014"/>
      <c r="Y225" s="1014"/>
      <c r="Z225" s="1014"/>
      <c r="AA225" s="1014"/>
      <c r="AB225" s="1014"/>
      <c r="AC225" s="1014"/>
      <c r="AD225" s="1014"/>
      <c r="AE225" s="1014"/>
      <c r="AF225" s="1014"/>
      <c r="AG225" s="1014"/>
      <c r="AH225" s="1014"/>
      <c r="AI225" s="1014"/>
      <c r="AJ225" s="1014"/>
    </row>
    <row r="226" spans="2:36" x14ac:dyDescent="0.25">
      <c r="B226" s="700"/>
      <c r="C226" s="700"/>
      <c r="D226" s="700"/>
      <c r="E226" s="1014"/>
      <c r="F226" s="1014"/>
      <c r="G226" s="1014"/>
      <c r="H226" s="1014"/>
      <c r="I226" s="1014"/>
      <c r="J226" s="1014"/>
      <c r="K226" s="1014"/>
      <c r="L226" s="1014"/>
      <c r="M226" s="1014"/>
      <c r="N226" s="1014"/>
      <c r="O226" s="1014"/>
      <c r="P226" s="1014"/>
      <c r="Q226" s="1014"/>
      <c r="R226" s="1014"/>
      <c r="S226" s="1014"/>
      <c r="T226" s="1014"/>
      <c r="U226" s="1014"/>
      <c r="V226" s="1014"/>
      <c r="W226" s="1014"/>
      <c r="X226" s="1014"/>
      <c r="Y226" s="1014"/>
      <c r="Z226" s="1014"/>
      <c r="AA226" s="1014"/>
      <c r="AB226" s="1014"/>
      <c r="AC226" s="1014"/>
      <c r="AD226" s="1014"/>
      <c r="AE226" s="1014"/>
      <c r="AF226" s="1014"/>
      <c r="AG226" s="1014"/>
      <c r="AH226" s="1014"/>
      <c r="AI226" s="1014"/>
      <c r="AJ226" s="1014"/>
    </row>
    <row r="227" spans="2:36" x14ac:dyDescent="0.25">
      <c r="B227" s="700"/>
      <c r="C227" s="700"/>
      <c r="D227" s="700"/>
      <c r="E227" s="1014"/>
      <c r="F227" s="1014"/>
      <c r="G227" s="1014"/>
      <c r="H227" s="1014"/>
      <c r="I227" s="1014"/>
      <c r="J227" s="1014"/>
      <c r="K227" s="1014"/>
      <c r="L227" s="1014"/>
      <c r="M227" s="1014"/>
      <c r="N227" s="1014"/>
      <c r="O227" s="1014"/>
      <c r="P227" s="1014"/>
      <c r="Q227" s="1014"/>
      <c r="R227" s="1014"/>
      <c r="S227" s="1014"/>
      <c r="T227" s="1014"/>
      <c r="U227" s="1014"/>
      <c r="V227" s="1014"/>
      <c r="W227" s="1014"/>
      <c r="X227" s="1014"/>
      <c r="Y227" s="1014"/>
      <c r="Z227" s="1014"/>
      <c r="AA227" s="1014"/>
      <c r="AB227" s="1014"/>
      <c r="AC227" s="1014"/>
      <c r="AD227" s="1014"/>
      <c r="AE227" s="1014"/>
      <c r="AF227" s="1014"/>
      <c r="AG227" s="1014"/>
      <c r="AH227" s="1014"/>
      <c r="AI227" s="1014"/>
      <c r="AJ227" s="1014"/>
    </row>
    <row r="228" spans="2:36" x14ac:dyDescent="0.25">
      <c r="B228" s="700"/>
      <c r="C228" s="700"/>
      <c r="D228" s="700"/>
      <c r="E228" s="1014"/>
      <c r="F228" s="1014"/>
      <c r="G228" s="1014"/>
      <c r="H228" s="1014"/>
      <c r="I228" s="1014"/>
      <c r="J228" s="1014"/>
      <c r="K228" s="1014"/>
      <c r="L228" s="1014"/>
      <c r="M228" s="1014"/>
      <c r="N228" s="1014"/>
      <c r="O228" s="1014"/>
      <c r="P228" s="1014"/>
      <c r="Q228" s="1014"/>
      <c r="R228" s="1014"/>
      <c r="S228" s="1014"/>
      <c r="T228" s="1014"/>
      <c r="U228" s="1014"/>
      <c r="V228" s="1014"/>
      <c r="W228" s="1014"/>
      <c r="X228" s="1014"/>
      <c r="Y228" s="1014"/>
      <c r="Z228" s="1014"/>
      <c r="AA228" s="1014"/>
      <c r="AB228" s="1014"/>
      <c r="AC228" s="1014"/>
      <c r="AD228" s="1014"/>
      <c r="AE228" s="1014"/>
      <c r="AF228" s="1014"/>
      <c r="AG228" s="1014"/>
      <c r="AH228" s="1014"/>
      <c r="AI228" s="1014"/>
      <c r="AJ228" s="1014"/>
    </row>
    <row r="229" spans="2:36" x14ac:dyDescent="0.25">
      <c r="B229" s="700"/>
      <c r="C229" s="700"/>
      <c r="D229" s="700"/>
      <c r="E229" s="1014"/>
      <c r="F229" s="1014"/>
      <c r="G229" s="1014"/>
      <c r="H229" s="1014"/>
      <c r="I229" s="1014"/>
      <c r="J229" s="1014"/>
      <c r="K229" s="1014"/>
      <c r="L229" s="1014"/>
      <c r="M229" s="1014"/>
      <c r="N229" s="1014"/>
      <c r="O229" s="1014"/>
      <c r="P229" s="1014"/>
      <c r="Q229" s="1014"/>
      <c r="R229" s="1014"/>
      <c r="S229" s="1014"/>
      <c r="T229" s="1014"/>
      <c r="U229" s="1014"/>
      <c r="V229" s="1014"/>
      <c r="W229" s="1014"/>
      <c r="X229" s="1014"/>
      <c r="Y229" s="1014"/>
      <c r="Z229" s="1014"/>
      <c r="AA229" s="1014"/>
      <c r="AB229" s="1014"/>
      <c r="AC229" s="1014"/>
      <c r="AD229" s="1014"/>
      <c r="AE229" s="1014"/>
      <c r="AF229" s="1014"/>
      <c r="AG229" s="1014"/>
      <c r="AH229" s="1014"/>
      <c r="AI229" s="1014"/>
      <c r="AJ229" s="1014"/>
    </row>
    <row r="230" spans="2:36" x14ac:dyDescent="0.25">
      <c r="B230" s="700"/>
      <c r="C230" s="700"/>
      <c r="D230" s="700"/>
      <c r="E230" s="1014"/>
      <c r="F230" s="1014"/>
      <c r="G230" s="1014"/>
      <c r="H230" s="1014"/>
      <c r="I230" s="1014"/>
      <c r="J230" s="1014"/>
      <c r="K230" s="1014"/>
      <c r="L230" s="1014"/>
      <c r="M230" s="1014"/>
      <c r="N230" s="1014"/>
      <c r="O230" s="1014"/>
      <c r="P230" s="1014"/>
      <c r="Q230" s="1014"/>
      <c r="R230" s="1014"/>
      <c r="S230" s="1014"/>
      <c r="T230" s="1014"/>
      <c r="U230" s="1014"/>
      <c r="V230" s="1014"/>
      <c r="W230" s="1014"/>
      <c r="X230" s="1014"/>
      <c r="Y230" s="1014"/>
      <c r="Z230" s="1014"/>
      <c r="AA230" s="1014"/>
      <c r="AB230" s="1014"/>
      <c r="AC230" s="1014"/>
      <c r="AD230" s="1014"/>
      <c r="AE230" s="1014"/>
      <c r="AF230" s="1014"/>
      <c r="AG230" s="1014"/>
      <c r="AH230" s="1014"/>
      <c r="AI230" s="1014"/>
      <c r="AJ230" s="1014"/>
    </row>
    <row r="231" spans="2:36" x14ac:dyDescent="0.25">
      <c r="B231" s="700"/>
      <c r="C231" s="700"/>
      <c r="D231" s="700"/>
      <c r="E231" s="1014"/>
      <c r="F231" s="1014"/>
      <c r="G231" s="1014"/>
      <c r="H231" s="1014"/>
      <c r="I231" s="1014"/>
      <c r="J231" s="1014"/>
      <c r="K231" s="1014"/>
      <c r="L231" s="1014"/>
      <c r="M231" s="1014"/>
      <c r="N231" s="1014"/>
      <c r="O231" s="1014"/>
      <c r="P231" s="1014"/>
      <c r="Q231" s="1014"/>
      <c r="R231" s="1014"/>
      <c r="S231" s="1014"/>
      <c r="T231" s="1014"/>
      <c r="U231" s="1014"/>
      <c r="V231" s="1014"/>
      <c r="W231" s="1014"/>
      <c r="X231" s="1014"/>
      <c r="Y231" s="1014"/>
      <c r="Z231" s="1014"/>
      <c r="AA231" s="1014"/>
      <c r="AB231" s="1014"/>
      <c r="AC231" s="1014"/>
      <c r="AD231" s="1014"/>
      <c r="AE231" s="1014"/>
      <c r="AF231" s="1014"/>
      <c r="AG231" s="1014"/>
      <c r="AH231" s="1014"/>
      <c r="AI231" s="1014"/>
      <c r="AJ231" s="1014"/>
    </row>
    <row r="232" spans="2:36" x14ac:dyDescent="0.25">
      <c r="B232" s="700"/>
      <c r="C232" s="700"/>
      <c r="D232" s="700"/>
      <c r="E232" s="1014"/>
      <c r="F232" s="1014"/>
      <c r="G232" s="1014"/>
      <c r="H232" s="1014"/>
      <c r="I232" s="1014"/>
      <c r="J232" s="1014"/>
      <c r="K232" s="1014"/>
      <c r="L232" s="1014"/>
      <c r="M232" s="1014"/>
      <c r="N232" s="1014"/>
      <c r="O232" s="1014"/>
      <c r="P232" s="1014"/>
      <c r="Q232" s="1014"/>
      <c r="R232" s="1014"/>
      <c r="S232" s="1014"/>
      <c r="T232" s="1014"/>
      <c r="U232" s="1014"/>
      <c r="V232" s="1014"/>
      <c r="W232" s="1014"/>
      <c r="X232" s="1014"/>
      <c r="Y232" s="1014"/>
      <c r="Z232" s="1014"/>
      <c r="AA232" s="1014"/>
      <c r="AB232" s="1014"/>
      <c r="AC232" s="1014"/>
      <c r="AD232" s="1014"/>
      <c r="AE232" s="1014"/>
      <c r="AF232" s="1014"/>
      <c r="AG232" s="1014"/>
      <c r="AH232" s="1014"/>
      <c r="AI232" s="1014"/>
      <c r="AJ232" s="1014"/>
    </row>
    <row r="233" spans="2:36" x14ac:dyDescent="0.25">
      <c r="B233" s="700"/>
      <c r="C233" s="700"/>
      <c r="D233" s="700"/>
      <c r="E233" s="1014"/>
      <c r="F233" s="1014"/>
      <c r="G233" s="1014"/>
      <c r="H233" s="1014"/>
      <c r="I233" s="1014"/>
      <c r="J233" s="1014"/>
      <c r="K233" s="1014"/>
      <c r="L233" s="1014"/>
      <c r="M233" s="1014"/>
      <c r="N233" s="1014"/>
      <c r="O233" s="1014"/>
      <c r="P233" s="1014"/>
      <c r="Q233" s="1014"/>
      <c r="R233" s="1014"/>
      <c r="S233" s="1014"/>
      <c r="T233" s="1014"/>
      <c r="U233" s="1014"/>
      <c r="V233" s="1014"/>
      <c r="W233" s="1014"/>
      <c r="X233" s="1014"/>
      <c r="Y233" s="1014"/>
      <c r="Z233" s="1014"/>
      <c r="AA233" s="1014"/>
      <c r="AB233" s="1014"/>
      <c r="AC233" s="1014"/>
      <c r="AD233" s="1014"/>
      <c r="AE233" s="1014"/>
      <c r="AF233" s="1014"/>
      <c r="AG233" s="1014"/>
      <c r="AH233" s="1014"/>
      <c r="AI233" s="1014"/>
      <c r="AJ233" s="1014"/>
    </row>
    <row r="234" spans="2:36" x14ac:dyDescent="0.25">
      <c r="B234" s="700"/>
      <c r="C234" s="700"/>
      <c r="D234" s="700"/>
      <c r="E234" s="1014"/>
      <c r="F234" s="1014"/>
      <c r="G234" s="1014"/>
      <c r="H234" s="1014"/>
      <c r="I234" s="1014"/>
      <c r="J234" s="1014"/>
      <c r="K234" s="1014"/>
      <c r="L234" s="1014"/>
      <c r="M234" s="1014"/>
      <c r="N234" s="1014"/>
      <c r="O234" s="1014"/>
      <c r="P234" s="1014"/>
      <c r="Q234" s="1014"/>
      <c r="R234" s="1014"/>
      <c r="S234" s="1014"/>
      <c r="T234" s="1014"/>
      <c r="U234" s="1014"/>
      <c r="V234" s="1014"/>
      <c r="W234" s="1014"/>
      <c r="X234" s="1014"/>
      <c r="Y234" s="1014"/>
      <c r="Z234" s="1014"/>
      <c r="AA234" s="1014"/>
      <c r="AB234" s="1014"/>
      <c r="AC234" s="1014"/>
      <c r="AD234" s="1014"/>
      <c r="AE234" s="1014"/>
      <c r="AF234" s="1014"/>
      <c r="AG234" s="1014"/>
      <c r="AH234" s="1014"/>
      <c r="AI234" s="1014"/>
      <c r="AJ234" s="1014"/>
    </row>
    <row r="235" spans="2:36" x14ac:dyDescent="0.25">
      <c r="B235" s="700"/>
      <c r="C235" s="700"/>
      <c r="D235" s="700"/>
      <c r="E235" s="1014"/>
      <c r="F235" s="1014"/>
      <c r="G235" s="1014"/>
      <c r="H235" s="1014"/>
      <c r="I235" s="1014"/>
      <c r="J235" s="1014"/>
      <c r="K235" s="1014"/>
      <c r="L235" s="1014"/>
      <c r="M235" s="1014"/>
      <c r="N235" s="1014"/>
      <c r="O235" s="1014"/>
      <c r="P235" s="1014"/>
      <c r="Q235" s="1014"/>
      <c r="R235" s="1014"/>
      <c r="S235" s="1014"/>
      <c r="T235" s="1014"/>
      <c r="U235" s="1014"/>
      <c r="V235" s="1014"/>
      <c r="W235" s="1014"/>
      <c r="X235" s="1014"/>
      <c r="Y235" s="1014"/>
      <c r="Z235" s="1014"/>
      <c r="AA235" s="1014"/>
      <c r="AB235" s="1014"/>
      <c r="AC235" s="1014"/>
      <c r="AD235" s="1014"/>
      <c r="AE235" s="1014"/>
      <c r="AF235" s="1014"/>
      <c r="AG235" s="1014"/>
      <c r="AH235" s="1014"/>
      <c r="AI235" s="1014"/>
      <c r="AJ235" s="1014"/>
    </row>
    <row r="236" spans="2:36" x14ac:dyDescent="0.25">
      <c r="B236" s="700"/>
      <c r="C236" s="700"/>
      <c r="D236" s="700"/>
      <c r="E236" s="1014"/>
      <c r="F236" s="1014"/>
      <c r="G236" s="1014"/>
      <c r="H236" s="1014"/>
      <c r="I236" s="1014"/>
      <c r="J236" s="1014"/>
      <c r="K236" s="1014"/>
      <c r="L236" s="1014"/>
      <c r="M236" s="1014"/>
      <c r="N236" s="1014"/>
      <c r="O236" s="1014"/>
      <c r="P236" s="1014"/>
      <c r="Q236" s="1014"/>
      <c r="R236" s="1014"/>
      <c r="S236" s="1014"/>
      <c r="T236" s="1014"/>
      <c r="U236" s="1014"/>
      <c r="V236" s="1014"/>
      <c r="W236" s="1014"/>
      <c r="X236" s="1014"/>
      <c r="Y236" s="1014"/>
      <c r="Z236" s="1014"/>
      <c r="AA236" s="1014"/>
      <c r="AB236" s="1014"/>
      <c r="AC236" s="1014"/>
      <c r="AD236" s="1014"/>
      <c r="AE236" s="1014"/>
      <c r="AF236" s="1014"/>
      <c r="AG236" s="1014"/>
      <c r="AH236" s="1014"/>
      <c r="AI236" s="1014"/>
      <c r="AJ236" s="1014"/>
    </row>
    <row r="237" spans="2:36" x14ac:dyDescent="0.25">
      <c r="B237" s="700"/>
      <c r="C237" s="700"/>
      <c r="D237" s="700"/>
      <c r="E237" s="1014"/>
      <c r="F237" s="1014"/>
      <c r="G237" s="1014"/>
      <c r="H237" s="1014"/>
      <c r="I237" s="1014"/>
      <c r="J237" s="1014"/>
      <c r="K237" s="1014"/>
      <c r="L237" s="1014"/>
      <c r="M237" s="1014"/>
      <c r="N237" s="1014"/>
      <c r="O237" s="1014"/>
      <c r="P237" s="1014"/>
      <c r="Q237" s="1014"/>
      <c r="R237" s="1014"/>
      <c r="S237" s="1014"/>
      <c r="T237" s="1014"/>
      <c r="U237" s="1014"/>
      <c r="V237" s="1014"/>
      <c r="W237" s="1014"/>
      <c r="X237" s="1014"/>
      <c r="Y237" s="1014"/>
      <c r="Z237" s="1014"/>
      <c r="AA237" s="1014"/>
      <c r="AB237" s="1014"/>
      <c r="AC237" s="1014"/>
      <c r="AD237" s="1014"/>
      <c r="AE237" s="1014"/>
      <c r="AF237" s="1014"/>
      <c r="AG237" s="1014"/>
      <c r="AH237" s="1014"/>
      <c r="AI237" s="1014"/>
      <c r="AJ237" s="1014"/>
    </row>
    <row r="238" spans="2:36" x14ac:dyDescent="0.25">
      <c r="B238" s="700"/>
      <c r="C238" s="700"/>
      <c r="D238" s="700"/>
      <c r="E238" s="1014"/>
      <c r="F238" s="1014"/>
      <c r="G238" s="1014"/>
      <c r="H238" s="1014"/>
      <c r="I238" s="1014"/>
      <c r="J238" s="1014"/>
      <c r="K238" s="1014"/>
      <c r="L238" s="1014"/>
      <c r="M238" s="1014"/>
      <c r="N238" s="1014"/>
      <c r="O238" s="1014"/>
      <c r="P238" s="1014"/>
      <c r="Q238" s="1014"/>
      <c r="R238" s="1014"/>
      <c r="S238" s="1014"/>
      <c r="T238" s="1014"/>
      <c r="U238" s="1014"/>
      <c r="V238" s="1014"/>
      <c r="W238" s="1014"/>
      <c r="X238" s="1014"/>
      <c r="Y238" s="1014"/>
      <c r="Z238" s="1014"/>
      <c r="AA238" s="1014"/>
      <c r="AB238" s="1014"/>
      <c r="AC238" s="1014"/>
      <c r="AD238" s="1014"/>
      <c r="AE238" s="1014"/>
      <c r="AF238" s="1014"/>
      <c r="AG238" s="1014"/>
      <c r="AH238" s="1014"/>
      <c r="AI238" s="1014"/>
      <c r="AJ238" s="1014"/>
    </row>
    <row r="239" spans="2:36" x14ac:dyDescent="0.25">
      <c r="B239" s="700"/>
      <c r="C239" s="700"/>
      <c r="D239" s="700"/>
      <c r="E239" s="1014"/>
      <c r="F239" s="1014"/>
      <c r="G239" s="1014"/>
      <c r="H239" s="1014"/>
      <c r="I239" s="1014"/>
      <c r="J239" s="1014"/>
      <c r="K239" s="1014"/>
      <c r="L239" s="1014"/>
      <c r="M239" s="1014"/>
      <c r="N239" s="1014"/>
      <c r="O239" s="1014"/>
      <c r="P239" s="1014"/>
      <c r="Q239" s="1014"/>
      <c r="R239" s="1014"/>
      <c r="S239" s="1014"/>
      <c r="T239" s="1014"/>
      <c r="U239" s="1014"/>
      <c r="V239" s="1014"/>
      <c r="W239" s="1014"/>
      <c r="X239" s="1014"/>
      <c r="Y239" s="1014"/>
      <c r="Z239" s="1014"/>
      <c r="AA239" s="1014"/>
      <c r="AB239" s="1014"/>
      <c r="AC239" s="1014"/>
      <c r="AD239" s="1014"/>
      <c r="AE239" s="1014"/>
      <c r="AF239" s="1014"/>
      <c r="AG239" s="1014"/>
      <c r="AH239" s="1014"/>
      <c r="AI239" s="1014"/>
      <c r="AJ239" s="1014"/>
    </row>
    <row r="240" spans="2:36" x14ac:dyDescent="0.25">
      <c r="B240" s="700"/>
      <c r="C240" s="700"/>
      <c r="D240" s="700"/>
      <c r="E240" s="1014"/>
      <c r="F240" s="1014"/>
      <c r="G240" s="1014"/>
      <c r="H240" s="1014"/>
      <c r="I240" s="1014"/>
      <c r="J240" s="1014"/>
      <c r="K240" s="1014"/>
      <c r="L240" s="1014"/>
      <c r="M240" s="1014"/>
      <c r="N240" s="1014"/>
      <c r="O240" s="1014"/>
      <c r="P240" s="1014"/>
      <c r="Q240" s="1014"/>
      <c r="R240" s="1014"/>
      <c r="S240" s="1014"/>
      <c r="T240" s="1014"/>
      <c r="U240" s="1014"/>
      <c r="V240" s="1014"/>
      <c r="W240" s="1014"/>
      <c r="X240" s="1014"/>
      <c r="Y240" s="1014"/>
      <c r="Z240" s="1014"/>
      <c r="AA240" s="1014"/>
      <c r="AB240" s="1014"/>
      <c r="AC240" s="1014"/>
      <c r="AD240" s="1014"/>
      <c r="AE240" s="1014"/>
      <c r="AF240" s="1014"/>
      <c r="AG240" s="1014"/>
      <c r="AH240" s="1014"/>
      <c r="AI240" s="1014"/>
      <c r="AJ240" s="1014"/>
    </row>
    <row r="241" spans="2:36" x14ac:dyDescent="0.25">
      <c r="B241" s="700"/>
      <c r="C241" s="700"/>
      <c r="D241" s="700"/>
      <c r="E241" s="1014"/>
      <c r="F241" s="1014"/>
      <c r="G241" s="1014"/>
      <c r="H241" s="1014"/>
      <c r="I241" s="1014"/>
      <c r="J241" s="1014"/>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1014"/>
      <c r="AG241" s="1014"/>
      <c r="AH241" s="1014"/>
      <c r="AI241" s="1014"/>
      <c r="AJ241" s="1014"/>
    </row>
    <row r="242" spans="2:36" x14ac:dyDescent="0.25">
      <c r="B242" s="700"/>
      <c r="C242" s="700"/>
      <c r="D242" s="700"/>
      <c r="E242" s="1014"/>
      <c r="F242" s="1014"/>
      <c r="G242" s="1014"/>
      <c r="H242" s="1014"/>
      <c r="I242" s="1014"/>
      <c r="J242" s="1014"/>
      <c r="K242" s="1014"/>
      <c r="L242" s="1014"/>
      <c r="M242" s="1014"/>
      <c r="N242" s="1014"/>
      <c r="O242" s="1014"/>
      <c r="P242" s="1014"/>
      <c r="Q242" s="1014"/>
      <c r="R242" s="1014"/>
      <c r="S242" s="1014"/>
      <c r="T242" s="1014"/>
      <c r="U242" s="1014"/>
      <c r="V242" s="1014"/>
      <c r="W242" s="1014"/>
      <c r="X242" s="1014"/>
      <c r="Y242" s="1014"/>
      <c r="Z242" s="1014"/>
      <c r="AA242" s="1014"/>
      <c r="AB242" s="1014"/>
      <c r="AC242" s="1014"/>
      <c r="AD242" s="1014"/>
      <c r="AE242" s="1014"/>
      <c r="AF242" s="1014"/>
      <c r="AG242" s="1014"/>
      <c r="AH242" s="1014"/>
      <c r="AI242" s="1014"/>
      <c r="AJ242" s="1014"/>
    </row>
    <row r="243" spans="2:36" x14ac:dyDescent="0.25">
      <c r="B243" s="700"/>
      <c r="C243" s="700"/>
      <c r="D243" s="700"/>
      <c r="E243" s="1014"/>
      <c r="F243" s="1014"/>
      <c r="G243" s="1014"/>
      <c r="H243" s="1014"/>
      <c r="I243" s="1014"/>
      <c r="J243" s="1014"/>
      <c r="K243" s="1014"/>
      <c r="L243" s="1014"/>
      <c r="M243" s="1014"/>
      <c r="N243" s="1014"/>
      <c r="O243" s="1014"/>
      <c r="P243" s="1014"/>
      <c r="Q243" s="1014"/>
      <c r="R243" s="1014"/>
      <c r="S243" s="1014"/>
      <c r="T243" s="1014"/>
      <c r="U243" s="1014"/>
      <c r="V243" s="1014"/>
      <c r="W243" s="1014"/>
      <c r="X243" s="1014"/>
      <c r="Y243" s="1014"/>
      <c r="Z243" s="1014"/>
      <c r="AA243" s="1014"/>
      <c r="AB243" s="1014"/>
      <c r="AC243" s="1014"/>
      <c r="AD243" s="1014"/>
      <c r="AE243" s="1014"/>
      <c r="AF243" s="1014"/>
      <c r="AG243" s="1014"/>
      <c r="AH243" s="1014"/>
      <c r="AI243" s="1014"/>
      <c r="AJ243" s="1014"/>
    </row>
    <row r="244" spans="2:36" x14ac:dyDescent="0.25">
      <c r="B244" s="700"/>
      <c r="C244" s="700"/>
      <c r="D244" s="700"/>
      <c r="E244" s="1014"/>
      <c r="F244" s="1014"/>
      <c r="G244" s="1014"/>
      <c r="H244" s="1014"/>
      <c r="I244" s="1014"/>
      <c r="J244" s="1014"/>
      <c r="K244" s="1014"/>
      <c r="L244" s="1014"/>
      <c r="M244" s="1014"/>
      <c r="N244" s="1014"/>
      <c r="O244" s="1014"/>
      <c r="P244" s="1014"/>
      <c r="Q244" s="1014"/>
      <c r="R244" s="1014"/>
      <c r="S244" s="1014"/>
      <c r="T244" s="1014"/>
      <c r="U244" s="1014"/>
      <c r="V244" s="1014"/>
      <c r="W244" s="1014"/>
      <c r="X244" s="1014"/>
      <c r="Y244" s="1014"/>
      <c r="Z244" s="1014"/>
      <c r="AA244" s="1014"/>
      <c r="AB244" s="1014"/>
      <c r="AC244" s="1014"/>
      <c r="AD244" s="1014"/>
      <c r="AE244" s="1014"/>
      <c r="AF244" s="1014"/>
      <c r="AG244" s="1014"/>
      <c r="AH244" s="1014"/>
      <c r="AI244" s="1014"/>
      <c r="AJ244" s="1014"/>
    </row>
    <row r="245" spans="2:36" x14ac:dyDescent="0.25">
      <c r="B245" s="700"/>
      <c r="C245" s="700"/>
      <c r="D245" s="700"/>
      <c r="E245" s="1014"/>
      <c r="F245" s="1014"/>
      <c r="G245" s="1014"/>
      <c r="H245" s="1014"/>
      <c r="I245" s="1014"/>
      <c r="J245" s="1014"/>
      <c r="K245" s="1014"/>
      <c r="L245" s="1014"/>
      <c r="M245" s="1014"/>
      <c r="N245" s="1014"/>
      <c r="O245" s="1014"/>
      <c r="P245" s="1014"/>
      <c r="Q245" s="1014"/>
      <c r="R245" s="1014"/>
      <c r="S245" s="1014"/>
      <c r="T245" s="1014"/>
      <c r="U245" s="1014"/>
      <c r="V245" s="1014"/>
      <c r="W245" s="1014"/>
      <c r="X245" s="1014"/>
      <c r="Y245" s="1014"/>
      <c r="Z245" s="1014"/>
      <c r="AA245" s="1014"/>
      <c r="AB245" s="1014"/>
      <c r="AC245" s="1014"/>
      <c r="AD245" s="1014"/>
      <c r="AE245" s="1014"/>
      <c r="AF245" s="1014"/>
      <c r="AG245" s="1014"/>
      <c r="AH245" s="1014"/>
      <c r="AI245" s="1014"/>
      <c r="AJ245" s="1014"/>
    </row>
    <row r="246" spans="2:36" x14ac:dyDescent="0.25">
      <c r="B246" s="700"/>
      <c r="C246" s="700"/>
      <c r="D246" s="700"/>
      <c r="E246" s="1014"/>
      <c r="F246" s="1014"/>
      <c r="G246" s="1014"/>
      <c r="H246" s="1014"/>
      <c r="I246" s="1014"/>
      <c r="J246" s="1014"/>
      <c r="K246" s="1014"/>
      <c r="L246" s="1014"/>
      <c r="M246" s="1014"/>
      <c r="N246" s="1014"/>
      <c r="O246" s="1014"/>
      <c r="P246" s="1014"/>
      <c r="Q246" s="1014"/>
      <c r="R246" s="1014"/>
      <c r="S246" s="1014"/>
      <c r="T246" s="1014"/>
      <c r="U246" s="1014"/>
      <c r="V246" s="1014"/>
      <c r="W246" s="1014"/>
      <c r="X246" s="1014"/>
      <c r="Y246" s="1014"/>
      <c r="Z246" s="1014"/>
      <c r="AA246" s="1014"/>
      <c r="AB246" s="1014"/>
      <c r="AC246" s="1014"/>
      <c r="AD246" s="1014"/>
      <c r="AE246" s="1014"/>
      <c r="AF246" s="1014"/>
      <c r="AG246" s="1014"/>
      <c r="AH246" s="1014"/>
      <c r="AI246" s="1014"/>
      <c r="AJ246" s="1014"/>
    </row>
    <row r="247" spans="2:36" x14ac:dyDescent="0.25">
      <c r="B247" s="700"/>
      <c r="C247" s="700"/>
      <c r="D247" s="700"/>
      <c r="E247" s="1014"/>
      <c r="F247" s="1014"/>
      <c r="G247" s="1014"/>
      <c r="H247" s="1014"/>
      <c r="I247" s="1014"/>
      <c r="J247" s="1014"/>
      <c r="K247" s="1014"/>
      <c r="L247" s="1014"/>
      <c r="M247" s="1014"/>
      <c r="N247" s="1014"/>
      <c r="O247" s="1014"/>
      <c r="P247" s="1014"/>
      <c r="Q247" s="1014"/>
      <c r="R247" s="1014"/>
      <c r="S247" s="1014"/>
      <c r="T247" s="1014"/>
      <c r="U247" s="1014"/>
      <c r="V247" s="1014"/>
      <c r="W247" s="1014"/>
      <c r="X247" s="1014"/>
      <c r="Y247" s="1014"/>
      <c r="Z247" s="1014"/>
      <c r="AA247" s="1014"/>
      <c r="AB247" s="1014"/>
      <c r="AC247" s="1014"/>
      <c r="AD247" s="1014"/>
      <c r="AE247" s="1014"/>
      <c r="AF247" s="1014"/>
      <c r="AG247" s="1014"/>
      <c r="AH247" s="1014"/>
      <c r="AI247" s="1014"/>
      <c r="AJ247" s="1014"/>
    </row>
    <row r="248" spans="2:36" x14ac:dyDescent="0.25">
      <c r="B248" s="700"/>
      <c r="C248" s="700"/>
      <c r="D248" s="700"/>
      <c r="E248" s="1014"/>
      <c r="F248" s="1014"/>
      <c r="G248" s="1014"/>
      <c r="H248" s="1014"/>
      <c r="I248" s="1014"/>
      <c r="J248" s="1014"/>
      <c r="K248" s="1014"/>
      <c r="L248" s="1014"/>
      <c r="M248" s="1014"/>
      <c r="N248" s="1014"/>
      <c r="O248" s="1014"/>
      <c r="P248" s="1014"/>
      <c r="Q248" s="1014"/>
      <c r="R248" s="1014"/>
      <c r="S248" s="1014"/>
      <c r="T248" s="1014"/>
      <c r="U248" s="1014"/>
      <c r="V248" s="1014"/>
      <c r="W248" s="1014"/>
      <c r="X248" s="1014"/>
      <c r="Y248" s="1014"/>
      <c r="Z248" s="1014"/>
      <c r="AA248" s="1014"/>
      <c r="AB248" s="1014"/>
      <c r="AC248" s="1014"/>
      <c r="AD248" s="1014"/>
      <c r="AE248" s="1014"/>
      <c r="AF248" s="1014"/>
      <c r="AG248" s="1014"/>
      <c r="AH248" s="1014"/>
      <c r="AI248" s="1014"/>
      <c r="AJ248" s="1014"/>
    </row>
    <row r="249" spans="2:36" x14ac:dyDescent="0.25">
      <c r="B249" s="700"/>
      <c r="C249" s="700"/>
      <c r="D249" s="700"/>
      <c r="E249" s="1014"/>
      <c r="F249" s="1014"/>
      <c r="G249" s="1014"/>
      <c r="H249" s="1014"/>
      <c r="I249" s="1014"/>
      <c r="J249" s="1014"/>
      <c r="K249" s="1014"/>
      <c r="L249" s="1014"/>
      <c r="M249" s="1014"/>
      <c r="N249" s="1014"/>
      <c r="O249" s="1014"/>
      <c r="P249" s="1014"/>
      <c r="Q249" s="1014"/>
      <c r="R249" s="1014"/>
      <c r="S249" s="1014"/>
      <c r="T249" s="1014"/>
      <c r="U249" s="1014"/>
      <c r="V249" s="1014"/>
      <c r="W249" s="1014"/>
      <c r="X249" s="1014"/>
      <c r="Y249" s="1014"/>
      <c r="Z249" s="1014"/>
      <c r="AA249" s="1014"/>
      <c r="AB249" s="1014"/>
      <c r="AC249" s="1014"/>
      <c r="AD249" s="1014"/>
      <c r="AE249" s="1014"/>
      <c r="AF249" s="1014"/>
      <c r="AG249" s="1014"/>
      <c r="AH249" s="1014"/>
      <c r="AI249" s="1014"/>
      <c r="AJ249" s="1014"/>
    </row>
    <row r="250" spans="2:36" x14ac:dyDescent="0.25">
      <c r="B250" s="700"/>
      <c r="C250" s="700"/>
      <c r="D250" s="700"/>
      <c r="E250" s="1014"/>
      <c r="F250" s="1014"/>
      <c r="G250" s="1014"/>
      <c r="H250" s="1014"/>
      <c r="I250" s="1014"/>
      <c r="J250" s="1014"/>
      <c r="K250" s="1014"/>
      <c r="L250" s="1014"/>
      <c r="M250" s="1014"/>
      <c r="N250" s="1014"/>
      <c r="O250" s="1014"/>
      <c r="P250" s="1014"/>
      <c r="Q250" s="1014"/>
      <c r="R250" s="1014"/>
      <c r="S250" s="1014"/>
      <c r="T250" s="1014"/>
      <c r="U250" s="1014"/>
      <c r="V250" s="1014"/>
      <c r="W250" s="1014"/>
      <c r="X250" s="1014"/>
      <c r="Y250" s="1014"/>
      <c r="Z250" s="1014"/>
      <c r="AA250" s="1014"/>
      <c r="AB250" s="1014"/>
      <c r="AC250" s="1014"/>
      <c r="AD250" s="1014"/>
      <c r="AE250" s="1014"/>
      <c r="AF250" s="1014"/>
      <c r="AG250" s="1014"/>
      <c r="AH250" s="1014"/>
      <c r="AI250" s="1014"/>
      <c r="AJ250" s="1014"/>
    </row>
    <row r="251" spans="2:36" x14ac:dyDescent="0.25">
      <c r="B251" s="700"/>
      <c r="C251" s="700"/>
      <c r="D251" s="700"/>
      <c r="E251" s="1014"/>
      <c r="F251" s="1014"/>
      <c r="G251" s="1014"/>
      <c r="H251" s="1014"/>
      <c r="I251" s="1014"/>
      <c r="J251" s="1014"/>
      <c r="K251" s="1014"/>
      <c r="L251" s="1014"/>
      <c r="M251" s="1014"/>
      <c r="N251" s="1014"/>
      <c r="O251" s="1014"/>
      <c r="P251" s="1014"/>
      <c r="Q251" s="1014"/>
      <c r="R251" s="1014"/>
      <c r="S251" s="1014"/>
      <c r="T251" s="1014"/>
      <c r="U251" s="1014"/>
      <c r="V251" s="1014"/>
      <c r="W251" s="1014"/>
      <c r="X251" s="1014"/>
      <c r="Y251" s="1014"/>
      <c r="Z251" s="1014"/>
      <c r="AA251" s="1014"/>
      <c r="AB251" s="1014"/>
      <c r="AC251" s="1014"/>
      <c r="AD251" s="1014"/>
      <c r="AE251" s="1014"/>
      <c r="AF251" s="1014"/>
      <c r="AG251" s="1014"/>
      <c r="AH251" s="1014"/>
      <c r="AI251" s="1014"/>
      <c r="AJ251" s="1014"/>
    </row>
    <row r="252" spans="2:36" x14ac:dyDescent="0.25">
      <c r="B252" s="700"/>
      <c r="C252" s="700"/>
      <c r="D252" s="700"/>
      <c r="E252" s="1014"/>
      <c r="F252" s="1014"/>
      <c r="G252" s="1014"/>
      <c r="H252" s="1014"/>
      <c r="I252" s="1014"/>
      <c r="J252" s="1014"/>
      <c r="K252" s="1014"/>
      <c r="L252" s="1014"/>
      <c r="M252" s="1014"/>
      <c r="N252" s="1014"/>
      <c r="O252" s="1014"/>
      <c r="P252" s="1014"/>
      <c r="Q252" s="1014"/>
      <c r="R252" s="1014"/>
      <c r="S252" s="1014"/>
      <c r="T252" s="1014"/>
      <c r="U252" s="1014"/>
      <c r="V252" s="1014"/>
      <c r="W252" s="1014"/>
      <c r="X252" s="1014"/>
      <c r="Y252" s="1014"/>
      <c r="Z252" s="1014"/>
      <c r="AA252" s="1014"/>
      <c r="AB252" s="1014"/>
      <c r="AC252" s="1014"/>
      <c r="AD252" s="1014"/>
      <c r="AE252" s="1014"/>
      <c r="AF252" s="1014"/>
      <c r="AG252" s="1014"/>
      <c r="AH252" s="1014"/>
      <c r="AI252" s="1014"/>
      <c r="AJ252" s="1014"/>
    </row>
    <row r="253" spans="2:36" x14ac:dyDescent="0.25">
      <c r="B253" s="700"/>
      <c r="C253" s="700"/>
      <c r="D253" s="700"/>
      <c r="E253" s="1014"/>
      <c r="F253" s="1014"/>
      <c r="G253" s="1014"/>
      <c r="H253" s="1014"/>
      <c r="I253" s="1014"/>
      <c r="J253" s="1014"/>
      <c r="K253" s="1014"/>
      <c r="L253" s="1014"/>
      <c r="M253" s="1014"/>
      <c r="N253" s="1014"/>
      <c r="O253" s="1014"/>
      <c r="P253" s="1014"/>
      <c r="Q253" s="1014"/>
      <c r="R253" s="1014"/>
      <c r="S253" s="1014"/>
      <c r="T253" s="1014"/>
      <c r="U253" s="1014"/>
      <c r="V253" s="1014"/>
      <c r="W253" s="1014"/>
      <c r="X253" s="1014"/>
      <c r="Y253" s="1014"/>
      <c r="Z253" s="1014"/>
      <c r="AA253" s="1014"/>
      <c r="AB253" s="1014"/>
      <c r="AC253" s="1014"/>
      <c r="AD253" s="1014"/>
      <c r="AE253" s="1014"/>
      <c r="AF253" s="1014"/>
      <c r="AG253" s="1014"/>
      <c r="AH253" s="1014"/>
      <c r="AI253" s="1014"/>
      <c r="AJ253" s="1014"/>
    </row>
    <row r="254" spans="2:36" x14ac:dyDescent="0.25">
      <c r="B254" s="700"/>
      <c r="C254" s="700"/>
      <c r="D254" s="700"/>
      <c r="E254" s="1014"/>
      <c r="F254" s="1014"/>
      <c r="G254" s="1014"/>
      <c r="H254" s="1014"/>
      <c r="I254" s="1014"/>
      <c r="J254" s="1014"/>
      <c r="K254" s="1014"/>
      <c r="L254" s="1014"/>
      <c r="M254" s="1014"/>
      <c r="N254" s="1014"/>
      <c r="O254" s="1014"/>
      <c r="P254" s="1014"/>
      <c r="Q254" s="1014"/>
      <c r="R254" s="1014"/>
      <c r="S254" s="1014"/>
      <c r="T254" s="1014"/>
      <c r="U254" s="1014"/>
      <c r="V254" s="1014"/>
      <c r="W254" s="1014"/>
      <c r="X254" s="1014"/>
      <c r="Y254" s="1014"/>
      <c r="Z254" s="1014"/>
      <c r="AA254" s="1014"/>
      <c r="AB254" s="1014"/>
      <c r="AC254" s="1014"/>
      <c r="AD254" s="1014"/>
      <c r="AE254" s="1014"/>
      <c r="AF254" s="1014"/>
      <c r="AG254" s="1014"/>
      <c r="AH254" s="1014"/>
      <c r="AI254" s="1014"/>
      <c r="AJ254" s="1014"/>
    </row>
    <row r="255" spans="2:36" x14ac:dyDescent="0.25">
      <c r="B255" s="700"/>
      <c r="C255" s="700"/>
      <c r="D255" s="700"/>
      <c r="E255" s="1014"/>
      <c r="F255" s="1014"/>
      <c r="G255" s="1014"/>
      <c r="H255" s="1014"/>
      <c r="I255" s="1014"/>
      <c r="J255" s="1014"/>
      <c r="K255" s="1014"/>
      <c r="L255" s="1014"/>
      <c r="M255" s="1014"/>
      <c r="N255" s="1014"/>
      <c r="O255" s="1014"/>
      <c r="P255" s="1014"/>
      <c r="Q255" s="1014"/>
      <c r="R255" s="1014"/>
      <c r="S255" s="1014"/>
      <c r="T255" s="1014"/>
      <c r="U255" s="1014"/>
      <c r="V255" s="1014"/>
      <c r="W255" s="1014"/>
      <c r="X255" s="1014"/>
      <c r="Y255" s="1014"/>
      <c r="Z255" s="1014"/>
      <c r="AA255" s="1014"/>
      <c r="AB255" s="1014"/>
      <c r="AC255" s="1014"/>
      <c r="AD255" s="1014"/>
      <c r="AE255" s="1014"/>
      <c r="AF255" s="1014"/>
      <c r="AG255" s="1014"/>
      <c r="AH255" s="1014"/>
      <c r="AI255" s="1014"/>
      <c r="AJ255" s="1014"/>
    </row>
    <row r="256" spans="2:36" x14ac:dyDescent="0.25">
      <c r="B256" s="700"/>
      <c r="C256" s="700"/>
      <c r="D256" s="700"/>
      <c r="E256" s="1014"/>
      <c r="F256" s="1014"/>
      <c r="G256" s="1014"/>
      <c r="H256" s="1014"/>
      <c r="I256" s="1014"/>
      <c r="J256" s="1014"/>
      <c r="K256" s="1014"/>
      <c r="L256" s="1014"/>
      <c r="M256" s="1014"/>
      <c r="N256" s="1014"/>
      <c r="O256" s="1014"/>
      <c r="P256" s="1014"/>
      <c r="Q256" s="1014"/>
      <c r="R256" s="1014"/>
      <c r="S256" s="1014"/>
      <c r="T256" s="1014"/>
      <c r="U256" s="1014"/>
      <c r="V256" s="1014"/>
      <c r="W256" s="1014"/>
      <c r="X256" s="1014"/>
      <c r="Y256" s="1014"/>
      <c r="Z256" s="1014"/>
      <c r="AA256" s="1014"/>
      <c r="AB256" s="1014"/>
      <c r="AC256" s="1014"/>
      <c r="AD256" s="1014"/>
      <c r="AE256" s="1014"/>
      <c r="AF256" s="1014"/>
      <c r="AG256" s="1014"/>
      <c r="AH256" s="1014"/>
      <c r="AI256" s="1014"/>
      <c r="AJ256" s="1014"/>
    </row>
    <row r="257" spans="2:36" x14ac:dyDescent="0.25">
      <c r="B257" s="700"/>
      <c r="C257" s="700"/>
      <c r="D257" s="700"/>
      <c r="E257" s="1014"/>
      <c r="F257" s="1014"/>
      <c r="G257" s="1014"/>
      <c r="H257" s="1014"/>
      <c r="I257" s="1014"/>
      <c r="J257" s="1014"/>
      <c r="K257" s="1014"/>
      <c r="L257" s="1014"/>
      <c r="M257" s="1014"/>
      <c r="N257" s="1014"/>
      <c r="O257" s="1014"/>
      <c r="P257" s="1014"/>
      <c r="Q257" s="1014"/>
      <c r="R257" s="1014"/>
      <c r="S257" s="1014"/>
      <c r="T257" s="1014"/>
      <c r="U257" s="1014"/>
      <c r="V257" s="1014"/>
      <c r="W257" s="1014"/>
      <c r="X257" s="1014"/>
      <c r="Y257" s="1014"/>
      <c r="Z257" s="1014"/>
      <c r="AA257" s="1014"/>
      <c r="AB257" s="1014"/>
      <c r="AC257" s="1014"/>
      <c r="AD257" s="1014"/>
      <c r="AE257" s="1014"/>
      <c r="AF257" s="1014"/>
      <c r="AG257" s="1014"/>
      <c r="AH257" s="1014"/>
      <c r="AI257" s="1014"/>
      <c r="AJ257" s="1014"/>
    </row>
    <row r="258" spans="2:36" x14ac:dyDescent="0.25">
      <c r="B258" s="700"/>
      <c r="C258" s="700"/>
      <c r="D258" s="700"/>
      <c r="E258" s="1014"/>
      <c r="F258" s="1014"/>
      <c r="G258" s="1014"/>
      <c r="H258" s="1014"/>
      <c r="I258" s="1014"/>
      <c r="J258" s="1014"/>
      <c r="K258" s="1014"/>
      <c r="L258" s="1014"/>
      <c r="M258" s="1014"/>
      <c r="N258" s="1014"/>
      <c r="O258" s="1014"/>
      <c r="P258" s="1014"/>
      <c r="Q258" s="1014"/>
      <c r="R258" s="1014"/>
      <c r="S258" s="1014"/>
      <c r="T258" s="1014"/>
      <c r="U258" s="1014"/>
      <c r="V258" s="1014"/>
      <c r="W258" s="1014"/>
      <c r="X258" s="1014"/>
      <c r="Y258" s="1014"/>
      <c r="Z258" s="1014"/>
      <c r="AA258" s="1014"/>
      <c r="AB258" s="1014"/>
      <c r="AC258" s="1014"/>
      <c r="AD258" s="1014"/>
      <c r="AE258" s="1014"/>
      <c r="AF258" s="1014"/>
      <c r="AG258" s="1014"/>
      <c r="AH258" s="1014"/>
      <c r="AI258" s="1014"/>
      <c r="AJ258" s="1014"/>
    </row>
    <row r="259" spans="2:36" x14ac:dyDescent="0.25">
      <c r="B259" s="700"/>
      <c r="C259" s="700"/>
      <c r="D259" s="700"/>
      <c r="E259" s="1014"/>
      <c r="F259" s="1014"/>
      <c r="G259" s="1014"/>
      <c r="H259" s="1014"/>
      <c r="I259" s="1014"/>
      <c r="J259" s="1014"/>
      <c r="K259" s="1014"/>
      <c r="L259" s="1014"/>
      <c r="M259" s="1014"/>
      <c r="N259" s="1014"/>
      <c r="O259" s="1014"/>
      <c r="P259" s="1014"/>
      <c r="Q259" s="1014"/>
      <c r="R259" s="1014"/>
      <c r="S259" s="1014"/>
      <c r="T259" s="1014"/>
      <c r="U259" s="1014"/>
      <c r="V259" s="1014"/>
      <c r="W259" s="1014"/>
      <c r="X259" s="1014"/>
      <c r="Y259" s="1014"/>
      <c r="Z259" s="1014"/>
      <c r="AA259" s="1014"/>
      <c r="AB259" s="1014"/>
      <c r="AC259" s="1014"/>
      <c r="AD259" s="1014"/>
      <c r="AE259" s="1014"/>
      <c r="AF259" s="1014"/>
      <c r="AG259" s="1014"/>
      <c r="AH259" s="1014"/>
      <c r="AI259" s="1014"/>
      <c r="AJ259" s="1014"/>
    </row>
    <row r="260" spans="2:36" x14ac:dyDescent="0.25">
      <c r="B260" s="700"/>
      <c r="C260" s="700"/>
      <c r="D260" s="700"/>
      <c r="E260" s="1014"/>
      <c r="F260" s="1014"/>
      <c r="G260" s="1014"/>
      <c r="H260" s="1014"/>
      <c r="I260" s="1014"/>
      <c r="J260" s="1014"/>
      <c r="K260" s="1014"/>
      <c r="L260" s="1014"/>
      <c r="M260" s="1014"/>
      <c r="N260" s="1014"/>
      <c r="O260" s="1014"/>
      <c r="P260" s="1014"/>
      <c r="Q260" s="1014"/>
      <c r="R260" s="1014"/>
      <c r="S260" s="1014"/>
      <c r="T260" s="1014"/>
      <c r="U260" s="1014"/>
      <c r="V260" s="1014"/>
      <c r="W260" s="1014"/>
      <c r="X260" s="1014"/>
      <c r="Y260" s="1014"/>
      <c r="Z260" s="1014"/>
      <c r="AA260" s="1014"/>
      <c r="AB260" s="1014"/>
      <c r="AC260" s="1014"/>
      <c r="AD260" s="1014"/>
      <c r="AE260" s="1014"/>
      <c r="AF260" s="1014"/>
      <c r="AG260" s="1014"/>
      <c r="AH260" s="1014"/>
      <c r="AI260" s="1014"/>
      <c r="AJ260" s="1014"/>
    </row>
    <row r="261" spans="2:36" x14ac:dyDescent="0.25">
      <c r="B261" s="700"/>
      <c r="C261" s="700"/>
      <c r="D261" s="700"/>
      <c r="E261" s="1014"/>
      <c r="F261" s="1014"/>
      <c r="G261" s="1014"/>
      <c r="H261" s="1014"/>
      <c r="I261" s="1014"/>
      <c r="J261" s="1014"/>
      <c r="K261" s="1014"/>
      <c r="L261" s="1014"/>
      <c r="M261" s="1014"/>
      <c r="N261" s="1014"/>
      <c r="O261" s="1014"/>
      <c r="P261" s="1014"/>
      <c r="Q261" s="1014"/>
      <c r="R261" s="1014"/>
      <c r="S261" s="1014"/>
      <c r="T261" s="1014"/>
      <c r="U261" s="1014"/>
      <c r="V261" s="1014"/>
      <c r="W261" s="1014"/>
      <c r="X261" s="1014"/>
      <c r="Y261" s="1014"/>
      <c r="Z261" s="1014"/>
      <c r="AA261" s="1014"/>
      <c r="AB261" s="1014"/>
      <c r="AC261" s="1014"/>
      <c r="AD261" s="1014"/>
      <c r="AE261" s="1014"/>
      <c r="AF261" s="1014"/>
      <c r="AG261" s="1014"/>
      <c r="AH261" s="1014"/>
      <c r="AI261" s="1014"/>
      <c r="AJ261" s="1014"/>
    </row>
    <row r="262" spans="2:36" x14ac:dyDescent="0.25">
      <c r="B262" s="700"/>
      <c r="C262" s="700"/>
      <c r="D262" s="700"/>
      <c r="E262" s="1014"/>
      <c r="F262" s="1014"/>
      <c r="G262" s="1014"/>
      <c r="H262" s="1014"/>
      <c r="I262" s="1014"/>
      <c r="J262" s="1014"/>
      <c r="K262" s="1014"/>
      <c r="L262" s="1014"/>
      <c r="M262" s="1014"/>
      <c r="N262" s="1014"/>
      <c r="O262" s="1014"/>
      <c r="P262" s="1014"/>
      <c r="Q262" s="1014"/>
      <c r="R262" s="1014"/>
      <c r="S262" s="1014"/>
      <c r="T262" s="1014"/>
      <c r="U262" s="1014"/>
      <c r="V262" s="1014"/>
      <c r="W262" s="1014"/>
      <c r="X262" s="1014"/>
      <c r="Y262" s="1014"/>
      <c r="Z262" s="1014"/>
      <c r="AA262" s="1014"/>
      <c r="AB262" s="1014"/>
      <c r="AC262" s="1014"/>
      <c r="AD262" s="1014"/>
      <c r="AE262" s="1014"/>
      <c r="AF262" s="1014"/>
      <c r="AG262" s="1014"/>
      <c r="AH262" s="1014"/>
      <c r="AI262" s="1014"/>
      <c r="AJ262" s="1014"/>
    </row>
    <row r="263" spans="2:36" x14ac:dyDescent="0.25">
      <c r="B263" s="700"/>
      <c r="C263" s="700"/>
      <c r="D263" s="700"/>
      <c r="E263" s="1014"/>
      <c r="F263" s="1014"/>
      <c r="G263" s="1014"/>
      <c r="H263" s="1014"/>
      <c r="I263" s="1014"/>
      <c r="J263" s="1014"/>
      <c r="K263" s="1014"/>
      <c r="L263" s="1014"/>
      <c r="M263" s="1014"/>
      <c r="N263" s="1014"/>
      <c r="O263" s="1014"/>
      <c r="P263" s="1014"/>
      <c r="Q263" s="1014"/>
      <c r="R263" s="1014"/>
      <c r="S263" s="1014"/>
      <c r="T263" s="1014"/>
      <c r="U263" s="1014"/>
      <c r="V263" s="1014"/>
      <c r="W263" s="1014"/>
      <c r="X263" s="1014"/>
      <c r="Y263" s="1014"/>
      <c r="Z263" s="1014"/>
      <c r="AA263" s="1014"/>
      <c r="AB263" s="1014"/>
      <c r="AC263" s="1014"/>
      <c r="AD263" s="1014"/>
      <c r="AE263" s="1014"/>
      <c r="AF263" s="1014"/>
      <c r="AG263" s="1014"/>
      <c r="AH263" s="1014"/>
      <c r="AI263" s="1014"/>
      <c r="AJ263" s="1014"/>
    </row>
    <row r="264" spans="2:36" x14ac:dyDescent="0.25">
      <c r="B264" s="700"/>
      <c r="C264" s="700"/>
      <c r="D264" s="700"/>
      <c r="E264" s="1014"/>
      <c r="F264" s="1014"/>
      <c r="G264" s="1014"/>
      <c r="H264" s="1014"/>
      <c r="I264" s="1014"/>
      <c r="J264" s="1014"/>
      <c r="K264" s="1014"/>
      <c r="L264" s="1014"/>
      <c r="M264" s="1014"/>
      <c r="N264" s="1014"/>
      <c r="O264" s="1014"/>
      <c r="P264" s="1014"/>
      <c r="Q264" s="1014"/>
      <c r="R264" s="1014"/>
      <c r="S264" s="1014"/>
      <c r="T264" s="1014"/>
      <c r="U264" s="1014"/>
      <c r="V264" s="1014"/>
      <c r="W264" s="1014"/>
      <c r="X264" s="1014"/>
      <c r="Y264" s="1014"/>
      <c r="Z264" s="1014"/>
      <c r="AA264" s="1014"/>
      <c r="AB264" s="1014"/>
      <c r="AC264" s="1014"/>
      <c r="AD264" s="1014"/>
      <c r="AE264" s="1014"/>
      <c r="AF264" s="1014"/>
      <c r="AG264" s="1014"/>
      <c r="AH264" s="1014"/>
      <c r="AI264" s="1014"/>
      <c r="AJ264" s="1014"/>
    </row>
    <row r="265" spans="2:36" x14ac:dyDescent="0.25">
      <c r="B265" s="700"/>
      <c r="C265" s="700"/>
      <c r="D265" s="700"/>
      <c r="E265" s="1014"/>
      <c r="F265" s="1014"/>
      <c r="G265" s="1014"/>
      <c r="H265" s="1014"/>
      <c r="I265" s="1014"/>
      <c r="J265" s="1014"/>
      <c r="K265" s="1014"/>
      <c r="L265" s="1014"/>
      <c r="M265" s="1014"/>
      <c r="N265" s="1014"/>
      <c r="O265" s="1014"/>
      <c r="P265" s="1014"/>
      <c r="Q265" s="1014"/>
      <c r="R265" s="1014"/>
      <c r="S265" s="1014"/>
      <c r="T265" s="1014"/>
      <c r="U265" s="1014"/>
      <c r="V265" s="1014"/>
      <c r="W265" s="1014"/>
      <c r="X265" s="1014"/>
      <c r="Y265" s="1014"/>
      <c r="Z265" s="1014"/>
      <c r="AA265" s="1014"/>
      <c r="AB265" s="1014"/>
      <c r="AC265" s="1014"/>
      <c r="AD265" s="1014"/>
      <c r="AE265" s="1014"/>
      <c r="AF265" s="1014"/>
      <c r="AG265" s="1014"/>
      <c r="AH265" s="1014"/>
      <c r="AI265" s="1014"/>
      <c r="AJ265" s="1014"/>
    </row>
    <row r="266" spans="2:36" x14ac:dyDescent="0.25">
      <c r="B266" s="700"/>
      <c r="C266" s="700"/>
      <c r="D266" s="700"/>
      <c r="E266" s="1014"/>
      <c r="F266" s="1014"/>
      <c r="G266" s="1014"/>
      <c r="H266" s="1014"/>
      <c r="I266" s="1014"/>
      <c r="J266" s="1014"/>
      <c r="K266" s="1014"/>
      <c r="L266" s="1014"/>
      <c r="M266" s="1014"/>
      <c r="N266" s="1014"/>
      <c r="O266" s="1014"/>
      <c r="P266" s="1014"/>
      <c r="Q266" s="1014"/>
      <c r="R266" s="1014"/>
      <c r="S266" s="1014"/>
      <c r="T266" s="1014"/>
      <c r="U266" s="1014"/>
      <c r="V266" s="1014"/>
      <c r="W266" s="1014"/>
      <c r="X266" s="1014"/>
      <c r="Y266" s="1014"/>
      <c r="Z266" s="1014"/>
      <c r="AA266" s="1014"/>
      <c r="AB266" s="1014"/>
      <c r="AC266" s="1014"/>
      <c r="AD266" s="1014"/>
      <c r="AE266" s="1014"/>
      <c r="AF266" s="1014"/>
      <c r="AG266" s="1014"/>
      <c r="AH266" s="1014"/>
      <c r="AI266" s="1014"/>
      <c r="AJ266" s="1014"/>
    </row>
    <row r="267" spans="2:36" x14ac:dyDescent="0.25">
      <c r="B267" s="700"/>
      <c r="C267" s="700"/>
      <c r="D267" s="700"/>
      <c r="E267" s="1014"/>
      <c r="F267" s="1014"/>
      <c r="G267" s="1014"/>
      <c r="H267" s="1014"/>
      <c r="I267" s="1014"/>
      <c r="J267" s="1014"/>
      <c r="K267" s="1014"/>
      <c r="L267" s="1014"/>
      <c r="M267" s="1014"/>
      <c r="N267" s="1014"/>
      <c r="O267" s="1014"/>
      <c r="P267" s="1014"/>
      <c r="Q267" s="1014"/>
      <c r="R267" s="1014"/>
      <c r="S267" s="1014"/>
      <c r="T267" s="1014"/>
      <c r="U267" s="1014"/>
      <c r="V267" s="1014"/>
      <c r="W267" s="1014"/>
      <c r="X267" s="1014"/>
      <c r="Y267" s="1014"/>
      <c r="Z267" s="1014"/>
      <c r="AA267" s="1014"/>
      <c r="AB267" s="1014"/>
      <c r="AC267" s="1014"/>
      <c r="AD267" s="1014"/>
      <c r="AE267" s="1014"/>
      <c r="AF267" s="1014"/>
      <c r="AG267" s="1014"/>
      <c r="AH267" s="1014"/>
      <c r="AI267" s="1014"/>
      <c r="AJ267" s="1014"/>
    </row>
    <row r="268" spans="2:36" x14ac:dyDescent="0.25">
      <c r="B268" s="700"/>
      <c r="C268" s="700"/>
      <c r="D268" s="700"/>
      <c r="E268" s="1014"/>
      <c r="F268" s="1014"/>
      <c r="G268" s="1014"/>
      <c r="H268" s="1014"/>
      <c r="I268" s="1014"/>
      <c r="J268" s="1014"/>
      <c r="K268" s="1014"/>
      <c r="L268" s="1014"/>
      <c r="M268" s="1014"/>
      <c r="N268" s="1014"/>
      <c r="O268" s="1014"/>
      <c r="P268" s="1014"/>
      <c r="Q268" s="1014"/>
      <c r="R268" s="1014"/>
      <c r="S268" s="1014"/>
      <c r="T268" s="1014"/>
      <c r="U268" s="1014"/>
      <c r="V268" s="1014"/>
      <c r="W268" s="1014"/>
      <c r="X268" s="1014"/>
      <c r="Y268" s="1014"/>
      <c r="Z268" s="1014"/>
      <c r="AA268" s="1014"/>
      <c r="AB268" s="1014"/>
      <c r="AC268" s="1014"/>
      <c r="AD268" s="1014"/>
      <c r="AE268" s="1014"/>
      <c r="AF268" s="1014"/>
      <c r="AG268" s="1014"/>
      <c r="AH268" s="1014"/>
      <c r="AI268" s="1014"/>
      <c r="AJ268" s="1014"/>
    </row>
    <row r="269" spans="2:36" x14ac:dyDescent="0.25">
      <c r="B269" s="700"/>
      <c r="C269" s="700"/>
      <c r="D269" s="700"/>
      <c r="E269" s="1014"/>
      <c r="F269" s="1014"/>
      <c r="G269" s="1014"/>
      <c r="H269" s="1014"/>
      <c r="I269" s="1014"/>
      <c r="J269" s="1014"/>
      <c r="K269" s="1014"/>
      <c r="L269" s="1014"/>
      <c r="M269" s="1014"/>
      <c r="N269" s="1014"/>
      <c r="O269" s="1014"/>
      <c r="P269" s="1014"/>
      <c r="Q269" s="1014"/>
      <c r="R269" s="1014"/>
      <c r="S269" s="1014"/>
      <c r="T269" s="1014"/>
      <c r="U269" s="1014"/>
      <c r="V269" s="1014"/>
      <c r="W269" s="1014"/>
      <c r="X269" s="1014"/>
      <c r="Y269" s="1014"/>
      <c r="Z269" s="1014"/>
      <c r="AA269" s="1014"/>
      <c r="AB269" s="1014"/>
      <c r="AC269" s="1014"/>
      <c r="AD269" s="1014"/>
      <c r="AE269" s="1014"/>
      <c r="AF269" s="1014"/>
      <c r="AG269" s="1014"/>
      <c r="AH269" s="1014"/>
      <c r="AI269" s="1014"/>
      <c r="AJ269" s="1014"/>
    </row>
    <row r="270" spans="2:36" x14ac:dyDescent="0.25">
      <c r="B270" s="700"/>
      <c r="C270" s="700"/>
      <c r="D270" s="700"/>
      <c r="E270" s="1014"/>
      <c r="F270" s="1014"/>
      <c r="G270" s="1014"/>
      <c r="H270" s="1014"/>
      <c r="I270" s="1014"/>
      <c r="J270" s="1014"/>
      <c r="K270" s="1014"/>
      <c r="L270" s="1014"/>
      <c r="M270" s="1014"/>
      <c r="N270" s="1014"/>
      <c r="O270" s="1014"/>
      <c r="P270" s="1014"/>
      <c r="Q270" s="1014"/>
      <c r="R270" s="1014"/>
      <c r="S270" s="1014"/>
      <c r="T270" s="1014"/>
      <c r="U270" s="1014"/>
      <c r="V270" s="1014"/>
      <c r="W270" s="1014"/>
      <c r="X270" s="1014"/>
      <c r="Y270" s="1014"/>
      <c r="Z270" s="1014"/>
      <c r="AA270" s="1014"/>
      <c r="AB270" s="1014"/>
      <c r="AC270" s="1014"/>
      <c r="AD270" s="1014"/>
      <c r="AE270" s="1014"/>
      <c r="AF270" s="1014"/>
      <c r="AG270" s="1014"/>
      <c r="AH270" s="1014"/>
      <c r="AI270" s="1014"/>
      <c r="AJ270" s="1014"/>
    </row>
    <row r="271" spans="2:36" x14ac:dyDescent="0.25">
      <c r="B271" s="700"/>
      <c r="C271" s="700"/>
      <c r="D271" s="700"/>
      <c r="E271" s="1014"/>
      <c r="F271" s="1014"/>
      <c r="G271" s="1014"/>
      <c r="H271" s="1014"/>
      <c r="I271" s="1014"/>
      <c r="J271" s="1014"/>
      <c r="K271" s="1014"/>
      <c r="L271" s="1014"/>
      <c r="M271" s="1014"/>
      <c r="N271" s="1014"/>
      <c r="O271" s="1014"/>
      <c r="P271" s="1014"/>
      <c r="Q271" s="1014"/>
      <c r="R271" s="1014"/>
      <c r="S271" s="1014"/>
      <c r="T271" s="1014"/>
      <c r="U271" s="1014"/>
      <c r="V271" s="1014"/>
      <c r="W271" s="1014"/>
      <c r="X271" s="1014"/>
      <c r="Y271" s="1014"/>
      <c r="Z271" s="1014"/>
      <c r="AA271" s="1014"/>
      <c r="AB271" s="1014"/>
      <c r="AC271" s="1014"/>
      <c r="AD271" s="1014"/>
      <c r="AE271" s="1014"/>
      <c r="AF271" s="1014"/>
      <c r="AG271" s="1014"/>
      <c r="AH271" s="1014"/>
      <c r="AI271" s="1014"/>
      <c r="AJ271" s="1014"/>
    </row>
    <row r="272" spans="2:36" x14ac:dyDescent="0.25">
      <c r="B272" s="700"/>
      <c r="C272" s="700"/>
      <c r="D272" s="700"/>
      <c r="E272" s="1014"/>
      <c r="F272" s="1014"/>
      <c r="G272" s="1014"/>
      <c r="H272" s="1014"/>
      <c r="I272" s="1014"/>
      <c r="J272" s="1014"/>
      <c r="K272" s="1014"/>
      <c r="L272" s="1014"/>
      <c r="M272" s="1014"/>
      <c r="N272" s="1014"/>
      <c r="O272" s="1014"/>
      <c r="P272" s="1014"/>
      <c r="Q272" s="1014"/>
      <c r="R272" s="1014"/>
      <c r="S272" s="1014"/>
      <c r="T272" s="1014"/>
      <c r="U272" s="1014"/>
      <c r="V272" s="1014"/>
      <c r="W272" s="1014"/>
      <c r="X272" s="1014"/>
      <c r="Y272" s="1014"/>
      <c r="Z272" s="1014"/>
      <c r="AA272" s="1014"/>
      <c r="AB272" s="1014"/>
      <c r="AC272" s="1014"/>
      <c r="AD272" s="1014"/>
      <c r="AE272" s="1014"/>
      <c r="AF272" s="1014"/>
      <c r="AG272" s="1014"/>
      <c r="AH272" s="1014"/>
      <c r="AI272" s="1014"/>
      <c r="AJ272" s="1014"/>
    </row>
    <row r="273" spans="2:36" x14ac:dyDescent="0.25">
      <c r="B273" s="700"/>
      <c r="C273" s="700"/>
      <c r="D273" s="700"/>
      <c r="E273" s="1014"/>
      <c r="F273" s="1014"/>
      <c r="G273" s="1014"/>
      <c r="H273" s="1014"/>
      <c r="I273" s="1014"/>
      <c r="J273" s="1014"/>
      <c r="K273" s="1014"/>
      <c r="L273" s="1014"/>
      <c r="M273" s="1014"/>
      <c r="N273" s="1014"/>
      <c r="O273" s="1014"/>
      <c r="P273" s="1014"/>
      <c r="Q273" s="1014"/>
      <c r="R273" s="1014"/>
      <c r="S273" s="1014"/>
      <c r="T273" s="1014"/>
      <c r="U273" s="1014"/>
      <c r="V273" s="1014"/>
      <c r="W273" s="1014"/>
      <c r="X273" s="1014"/>
      <c r="Y273" s="1014"/>
      <c r="Z273" s="1014"/>
      <c r="AA273" s="1014"/>
      <c r="AB273" s="1014"/>
      <c r="AC273" s="1014"/>
      <c r="AD273" s="1014"/>
      <c r="AE273" s="1014"/>
      <c r="AF273" s="1014"/>
      <c r="AG273" s="1014"/>
      <c r="AH273" s="1014"/>
      <c r="AI273" s="1014"/>
      <c r="AJ273" s="1014"/>
    </row>
    <row r="274" spans="2:36" x14ac:dyDescent="0.25">
      <c r="B274" s="700"/>
      <c r="C274" s="700"/>
      <c r="D274" s="700"/>
      <c r="E274" s="1014"/>
      <c r="F274" s="1014"/>
      <c r="G274" s="1014"/>
      <c r="H274" s="1014"/>
      <c r="I274" s="1014"/>
      <c r="J274" s="1014"/>
      <c r="K274" s="1014"/>
      <c r="L274" s="1014"/>
      <c r="M274" s="1014"/>
      <c r="N274" s="1014"/>
      <c r="O274" s="1014"/>
      <c r="P274" s="1014"/>
      <c r="Q274" s="1014"/>
      <c r="R274" s="1014"/>
      <c r="S274" s="1014"/>
      <c r="T274" s="1014"/>
      <c r="U274" s="1014"/>
      <c r="V274" s="1014"/>
      <c r="W274" s="1014"/>
      <c r="X274" s="1014"/>
      <c r="Y274" s="1014"/>
      <c r="Z274" s="1014"/>
      <c r="AA274" s="1014"/>
      <c r="AB274" s="1014"/>
      <c r="AC274" s="1014"/>
      <c r="AD274" s="1014"/>
      <c r="AE274" s="1014"/>
      <c r="AF274" s="1014"/>
      <c r="AG274" s="1014"/>
      <c r="AH274" s="1014"/>
      <c r="AI274" s="1014"/>
      <c r="AJ274" s="1014"/>
    </row>
    <row r="275" spans="2:36" x14ac:dyDescent="0.25">
      <c r="B275" s="700"/>
      <c r="C275" s="700"/>
      <c r="D275" s="700"/>
      <c r="E275" s="1014"/>
      <c r="F275" s="1014"/>
      <c r="G275" s="1014"/>
      <c r="H275" s="1014"/>
      <c r="I275" s="1014"/>
      <c r="J275" s="1014"/>
      <c r="K275" s="1014"/>
      <c r="L275" s="1014"/>
      <c r="M275" s="1014"/>
      <c r="N275" s="1014"/>
      <c r="O275" s="1014"/>
      <c r="P275" s="1014"/>
      <c r="Q275" s="1014"/>
      <c r="R275" s="1014"/>
      <c r="S275" s="1014"/>
      <c r="T275" s="1014"/>
      <c r="U275" s="1014"/>
      <c r="V275" s="1014"/>
      <c r="W275" s="1014"/>
      <c r="X275" s="1014"/>
      <c r="Y275" s="1014"/>
      <c r="Z275" s="1014"/>
      <c r="AA275" s="1014"/>
      <c r="AB275" s="1014"/>
      <c r="AC275" s="1014"/>
      <c r="AD275" s="1014"/>
      <c r="AE275" s="1014"/>
      <c r="AF275" s="1014"/>
      <c r="AG275" s="1014"/>
      <c r="AH275" s="1014"/>
      <c r="AI275" s="1014"/>
      <c r="AJ275" s="1014"/>
    </row>
    <row r="276" spans="2:36" x14ac:dyDescent="0.25">
      <c r="B276" s="700"/>
      <c r="C276" s="700"/>
      <c r="D276" s="700"/>
      <c r="E276" s="1014"/>
      <c r="F276" s="1014"/>
      <c r="G276" s="1014"/>
      <c r="H276" s="1014"/>
      <c r="I276" s="1014"/>
      <c r="J276" s="1014"/>
      <c r="K276" s="1014"/>
      <c r="L276" s="1014"/>
      <c r="M276" s="1014"/>
      <c r="N276" s="1014"/>
      <c r="O276" s="1014"/>
      <c r="P276" s="1014"/>
      <c r="Q276" s="1014"/>
      <c r="R276" s="1014"/>
      <c r="S276" s="1014"/>
      <c r="T276" s="1014"/>
      <c r="U276" s="1014"/>
      <c r="V276" s="1014"/>
      <c r="W276" s="1014"/>
      <c r="X276" s="1014"/>
      <c r="Y276" s="1014"/>
      <c r="Z276" s="1014"/>
      <c r="AA276" s="1014"/>
      <c r="AB276" s="1014"/>
      <c r="AC276" s="1014"/>
      <c r="AD276" s="1014"/>
      <c r="AE276" s="1014"/>
      <c r="AF276" s="1014"/>
      <c r="AG276" s="1014"/>
      <c r="AH276" s="1014"/>
      <c r="AI276" s="1014"/>
      <c r="AJ276" s="1014"/>
    </row>
    <row r="277" spans="2:36" x14ac:dyDescent="0.25">
      <c r="B277" s="700"/>
      <c r="C277" s="700"/>
      <c r="D277" s="700"/>
      <c r="E277" s="1014"/>
      <c r="F277" s="1014"/>
      <c r="G277" s="1014"/>
      <c r="H277" s="1014"/>
      <c r="I277" s="1014"/>
      <c r="J277" s="1014"/>
      <c r="K277" s="1014"/>
      <c r="L277" s="1014"/>
      <c r="M277" s="1014"/>
      <c r="N277" s="1014"/>
      <c r="O277" s="1014"/>
      <c r="P277" s="1014"/>
      <c r="Q277" s="1014"/>
      <c r="R277" s="1014"/>
      <c r="S277" s="1014"/>
      <c r="T277" s="1014"/>
      <c r="U277" s="1014"/>
      <c r="V277" s="1014"/>
      <c r="W277" s="1014"/>
      <c r="X277" s="1014"/>
      <c r="Y277" s="1014"/>
      <c r="Z277" s="1014"/>
      <c r="AA277" s="1014"/>
      <c r="AB277" s="1014"/>
      <c r="AC277" s="1014"/>
      <c r="AD277" s="1014"/>
      <c r="AE277" s="1014"/>
      <c r="AF277" s="1014"/>
      <c r="AG277" s="1014"/>
      <c r="AH277" s="1014"/>
      <c r="AI277" s="1014"/>
      <c r="AJ277" s="1014"/>
    </row>
    <row r="278" spans="2:36" x14ac:dyDescent="0.25">
      <c r="B278" s="700"/>
      <c r="C278" s="700"/>
      <c r="D278" s="700"/>
      <c r="E278" s="1014"/>
      <c r="F278" s="1014"/>
      <c r="G278" s="1014"/>
      <c r="H278" s="1014"/>
      <c r="I278" s="1014"/>
      <c r="J278" s="1014"/>
      <c r="K278" s="1014"/>
      <c r="L278" s="1014"/>
      <c r="M278" s="1014"/>
      <c r="N278" s="1014"/>
      <c r="O278" s="1014"/>
      <c r="P278" s="1014"/>
      <c r="Q278" s="1014"/>
      <c r="R278" s="1014"/>
      <c r="S278" s="1014"/>
      <c r="T278" s="1014"/>
      <c r="U278" s="1014"/>
      <c r="V278" s="1014"/>
      <c r="W278" s="1014"/>
      <c r="X278" s="1014"/>
      <c r="Y278" s="1014"/>
      <c r="Z278" s="1014"/>
      <c r="AA278" s="1014"/>
      <c r="AB278" s="1014"/>
      <c r="AC278" s="1014"/>
      <c r="AD278" s="1014"/>
      <c r="AE278" s="1014"/>
      <c r="AF278" s="1014"/>
      <c r="AG278" s="1014"/>
      <c r="AH278" s="1014"/>
      <c r="AI278" s="1014"/>
      <c r="AJ278" s="1014"/>
    </row>
    <row r="279" spans="2:36" x14ac:dyDescent="0.25">
      <c r="B279" s="700"/>
      <c r="C279" s="700"/>
      <c r="D279" s="700"/>
      <c r="E279" s="1014"/>
      <c r="F279" s="1014"/>
      <c r="G279" s="1014"/>
      <c r="H279" s="1014"/>
      <c r="I279" s="1014"/>
      <c r="J279" s="1014"/>
      <c r="K279" s="1014"/>
      <c r="L279" s="1014"/>
      <c r="M279" s="1014"/>
      <c r="N279" s="1014"/>
      <c r="O279" s="1014"/>
      <c r="P279" s="1014"/>
      <c r="Q279" s="1014"/>
      <c r="R279" s="1014"/>
      <c r="S279" s="1014"/>
      <c r="T279" s="1014"/>
      <c r="U279" s="1014"/>
      <c r="V279" s="1014"/>
      <c r="W279" s="1014"/>
      <c r="X279" s="1014"/>
      <c r="Y279" s="1014"/>
      <c r="Z279" s="1014"/>
      <c r="AA279" s="1014"/>
      <c r="AB279" s="1014"/>
      <c r="AC279" s="1014"/>
      <c r="AD279" s="1014"/>
      <c r="AE279" s="1014"/>
      <c r="AF279" s="1014"/>
      <c r="AG279" s="1014"/>
      <c r="AH279" s="1014"/>
      <c r="AI279" s="1014"/>
      <c r="AJ279" s="1014"/>
    </row>
    <row r="280" spans="2:36" x14ac:dyDescent="0.25">
      <c r="B280" s="700"/>
      <c r="C280" s="700"/>
      <c r="D280" s="700"/>
      <c r="E280" s="1014"/>
      <c r="F280" s="1014"/>
      <c r="G280" s="1014"/>
      <c r="H280" s="1014"/>
      <c r="I280" s="1014"/>
      <c r="J280" s="1014"/>
      <c r="K280" s="1014"/>
      <c r="L280" s="1014"/>
      <c r="M280" s="1014"/>
      <c r="N280" s="1014"/>
      <c r="O280" s="1014"/>
      <c r="P280" s="1014"/>
      <c r="Q280" s="1014"/>
      <c r="R280" s="1014"/>
      <c r="S280" s="1014"/>
      <c r="T280" s="1014"/>
      <c r="U280" s="1014"/>
      <c r="V280" s="1014"/>
      <c r="W280" s="1014"/>
      <c r="X280" s="1014"/>
      <c r="Y280" s="1014"/>
      <c r="Z280" s="1014"/>
      <c r="AA280" s="1014"/>
      <c r="AB280" s="1014"/>
      <c r="AC280" s="1014"/>
      <c r="AD280" s="1014"/>
      <c r="AE280" s="1014"/>
      <c r="AF280" s="1014"/>
      <c r="AG280" s="1014"/>
      <c r="AH280" s="1014"/>
      <c r="AI280" s="1014"/>
      <c r="AJ280" s="1014"/>
    </row>
    <row r="281" spans="2:36" x14ac:dyDescent="0.25">
      <c r="B281" s="700"/>
      <c r="C281" s="700"/>
      <c r="D281" s="700"/>
      <c r="E281" s="1014"/>
      <c r="F281" s="1014"/>
      <c r="G281" s="1014"/>
      <c r="H281" s="1014"/>
      <c r="I281" s="1014"/>
      <c r="J281" s="1014"/>
      <c r="K281" s="1014"/>
      <c r="L281" s="1014"/>
      <c r="M281" s="1014"/>
      <c r="N281" s="1014"/>
      <c r="O281" s="1014"/>
      <c r="P281" s="1014"/>
      <c r="Q281" s="1014"/>
      <c r="R281" s="1014"/>
      <c r="S281" s="1014"/>
      <c r="T281" s="1014"/>
      <c r="U281" s="1014"/>
      <c r="V281" s="1014"/>
      <c r="W281" s="1014"/>
      <c r="X281" s="1014"/>
      <c r="Y281" s="1014"/>
      <c r="Z281" s="1014"/>
      <c r="AA281" s="1014"/>
      <c r="AB281" s="1014"/>
      <c r="AC281" s="1014"/>
      <c r="AD281" s="1014"/>
      <c r="AE281" s="1014"/>
      <c r="AF281" s="1014"/>
      <c r="AG281" s="1014"/>
      <c r="AH281" s="1014"/>
      <c r="AI281" s="1014"/>
      <c r="AJ281" s="1014"/>
    </row>
    <row r="282" spans="2:36" x14ac:dyDescent="0.25">
      <c r="B282" s="700"/>
      <c r="C282" s="700"/>
      <c r="D282" s="700"/>
      <c r="E282" s="1014"/>
      <c r="F282" s="1014"/>
      <c r="G282" s="1014"/>
      <c r="H282" s="1014"/>
      <c r="I282" s="1014"/>
      <c r="J282" s="1014"/>
      <c r="K282" s="1014"/>
      <c r="L282" s="1014"/>
      <c r="M282" s="1014"/>
      <c r="N282" s="1014"/>
      <c r="O282" s="1014"/>
      <c r="P282" s="1014"/>
      <c r="Q282" s="1014"/>
      <c r="R282" s="1014"/>
      <c r="S282" s="1014"/>
      <c r="T282" s="1014"/>
      <c r="U282" s="1014"/>
      <c r="V282" s="1014"/>
      <c r="W282" s="1014"/>
      <c r="X282" s="1014"/>
      <c r="Y282" s="1014"/>
      <c r="Z282" s="1014"/>
      <c r="AA282" s="1014"/>
      <c r="AB282" s="1014"/>
      <c r="AC282" s="1014"/>
      <c r="AD282" s="1014"/>
      <c r="AE282" s="1014"/>
      <c r="AF282" s="1014"/>
      <c r="AG282" s="1014"/>
      <c r="AH282" s="1014"/>
      <c r="AI282" s="1014"/>
      <c r="AJ282" s="1014"/>
    </row>
    <row r="283" spans="2:36" x14ac:dyDescent="0.25">
      <c r="B283" s="700"/>
      <c r="C283" s="700"/>
      <c r="D283" s="700"/>
      <c r="E283" s="1014"/>
      <c r="F283" s="1014"/>
      <c r="G283" s="1014"/>
      <c r="H283" s="1014"/>
      <c r="I283" s="1014"/>
      <c r="J283" s="1014"/>
      <c r="K283" s="1014"/>
      <c r="L283" s="1014"/>
      <c r="M283" s="1014"/>
      <c r="N283" s="1014"/>
      <c r="O283" s="1014"/>
      <c r="P283" s="1014"/>
      <c r="Q283" s="1014"/>
      <c r="R283" s="1014"/>
      <c r="S283" s="1014"/>
      <c r="T283" s="1014"/>
      <c r="U283" s="1014"/>
      <c r="V283" s="1014"/>
      <c r="W283" s="1014"/>
      <c r="X283" s="1014"/>
      <c r="Y283" s="1014"/>
      <c r="Z283" s="1014"/>
      <c r="AA283" s="1014"/>
      <c r="AB283" s="1014"/>
      <c r="AC283" s="1014"/>
      <c r="AD283" s="1014"/>
      <c r="AE283" s="1014"/>
      <c r="AF283" s="1014"/>
      <c r="AG283" s="1014"/>
      <c r="AH283" s="1014"/>
      <c r="AI283" s="1014"/>
      <c r="AJ283" s="1014"/>
    </row>
    <row r="284" spans="2:36" x14ac:dyDescent="0.25">
      <c r="B284" s="700"/>
      <c r="C284" s="700"/>
      <c r="D284" s="700"/>
      <c r="E284" s="1014"/>
      <c r="F284" s="1014"/>
      <c r="G284" s="1014"/>
      <c r="H284" s="1014"/>
      <c r="I284" s="1014"/>
      <c r="J284" s="1014"/>
      <c r="K284" s="1014"/>
      <c r="L284" s="1014"/>
      <c r="M284" s="1014"/>
      <c r="N284" s="1014"/>
      <c r="O284" s="1014"/>
      <c r="P284" s="1014"/>
      <c r="Q284" s="1014"/>
      <c r="R284" s="1014"/>
      <c r="S284" s="1014"/>
      <c r="T284" s="1014"/>
      <c r="U284" s="1014"/>
      <c r="V284" s="1014"/>
      <c r="W284" s="1014"/>
      <c r="X284" s="1014"/>
      <c r="Y284" s="1014"/>
      <c r="Z284" s="1014"/>
      <c r="AA284" s="1014"/>
      <c r="AB284" s="1014"/>
      <c r="AC284" s="1014"/>
      <c r="AD284" s="1014"/>
      <c r="AE284" s="1014"/>
      <c r="AF284" s="1014"/>
      <c r="AG284" s="1014"/>
      <c r="AH284" s="1014"/>
      <c r="AI284" s="1014"/>
      <c r="AJ284" s="1014"/>
    </row>
    <row r="285" spans="2:36" x14ac:dyDescent="0.25">
      <c r="B285" s="700"/>
      <c r="C285" s="700"/>
      <c r="D285" s="700"/>
      <c r="E285" s="1014"/>
      <c r="F285" s="1014"/>
      <c r="G285" s="1014"/>
      <c r="H285" s="1014"/>
      <c r="I285" s="1014"/>
      <c r="J285" s="1014"/>
      <c r="K285" s="1014"/>
      <c r="L285" s="1014"/>
      <c r="M285" s="1014"/>
      <c r="N285" s="1014"/>
      <c r="O285" s="1014"/>
      <c r="P285" s="1014"/>
      <c r="Q285" s="1014"/>
      <c r="R285" s="1014"/>
      <c r="S285" s="1014"/>
      <c r="T285" s="1014"/>
      <c r="U285" s="1014"/>
      <c r="V285" s="1014"/>
      <c r="W285" s="1014"/>
      <c r="X285" s="1014"/>
      <c r="Y285" s="1014"/>
      <c r="Z285" s="1014"/>
      <c r="AA285" s="1014"/>
      <c r="AB285" s="1014"/>
      <c r="AC285" s="1014"/>
      <c r="AD285" s="1014"/>
      <c r="AE285" s="1014"/>
      <c r="AF285" s="1014"/>
      <c r="AG285" s="1014"/>
      <c r="AH285" s="1014"/>
      <c r="AI285" s="1014"/>
      <c r="AJ285" s="1014"/>
    </row>
    <row r="286" spans="2:36" x14ac:dyDescent="0.25">
      <c r="B286" s="700"/>
      <c r="C286" s="700"/>
      <c r="D286" s="700"/>
      <c r="E286" s="1014"/>
      <c r="F286" s="1014"/>
      <c r="G286" s="1014"/>
      <c r="H286" s="1014"/>
      <c r="I286" s="1014"/>
      <c r="J286" s="1014"/>
      <c r="K286" s="1014"/>
      <c r="L286" s="1014"/>
      <c r="M286" s="1014"/>
      <c r="N286" s="1014"/>
      <c r="O286" s="1014"/>
      <c r="P286" s="1014"/>
      <c r="Q286" s="1014"/>
      <c r="R286" s="1014"/>
      <c r="S286" s="1014"/>
      <c r="T286" s="1014"/>
      <c r="U286" s="1014"/>
      <c r="V286" s="1014"/>
      <c r="W286" s="1014"/>
      <c r="X286" s="1014"/>
      <c r="Y286" s="1014"/>
      <c r="Z286" s="1014"/>
      <c r="AA286" s="1014"/>
      <c r="AB286" s="1014"/>
      <c r="AC286" s="1014"/>
      <c r="AD286" s="1014"/>
      <c r="AE286" s="1014"/>
      <c r="AF286" s="1014"/>
      <c r="AG286" s="1014"/>
      <c r="AH286" s="1014"/>
      <c r="AI286" s="1014"/>
      <c r="AJ286" s="1014"/>
    </row>
    <row r="287" spans="2:36" x14ac:dyDescent="0.25">
      <c r="B287" s="700"/>
      <c r="C287" s="700"/>
      <c r="D287" s="700"/>
      <c r="E287" s="1014"/>
      <c r="F287" s="1014"/>
      <c r="G287" s="1014"/>
      <c r="H287" s="1014"/>
      <c r="I287" s="1014"/>
      <c r="J287" s="1014"/>
      <c r="K287" s="1014"/>
      <c r="L287" s="1014"/>
      <c r="M287" s="1014"/>
      <c r="N287" s="1014"/>
      <c r="O287" s="1014"/>
      <c r="P287" s="1014"/>
      <c r="Q287" s="1014"/>
      <c r="R287" s="1014"/>
      <c r="S287" s="1014"/>
      <c r="T287" s="1014"/>
      <c r="U287" s="1014"/>
      <c r="V287" s="1014"/>
      <c r="W287" s="1014"/>
      <c r="X287" s="1014"/>
      <c r="Y287" s="1014"/>
      <c r="Z287" s="1014"/>
      <c r="AA287" s="1014"/>
      <c r="AB287" s="1014"/>
      <c r="AC287" s="1014"/>
      <c r="AD287" s="1014"/>
      <c r="AE287" s="1014"/>
      <c r="AF287" s="1014"/>
      <c r="AG287" s="1014"/>
      <c r="AH287" s="1014"/>
      <c r="AI287" s="1014"/>
      <c r="AJ287" s="1014"/>
    </row>
    <row r="288" spans="2:36" x14ac:dyDescent="0.25">
      <c r="B288" s="700"/>
      <c r="C288" s="700"/>
      <c r="D288" s="700"/>
      <c r="E288" s="1014"/>
      <c r="F288" s="1014"/>
      <c r="G288" s="1014"/>
      <c r="H288" s="1014"/>
      <c r="I288" s="1014"/>
      <c r="J288" s="1014"/>
      <c r="K288" s="1014"/>
      <c r="L288" s="1014"/>
      <c r="M288" s="1014"/>
      <c r="N288" s="1014"/>
      <c r="O288" s="1014"/>
      <c r="P288" s="1014"/>
      <c r="Q288" s="1014"/>
      <c r="R288" s="1014"/>
      <c r="S288" s="1014"/>
      <c r="T288" s="1014"/>
      <c r="U288" s="1014"/>
      <c r="V288" s="1014"/>
      <c r="W288" s="1014"/>
      <c r="X288" s="1014"/>
      <c r="Y288" s="1014"/>
      <c r="Z288" s="1014"/>
      <c r="AA288" s="1014"/>
      <c r="AB288" s="1014"/>
      <c r="AC288" s="1014"/>
      <c r="AD288" s="1014"/>
      <c r="AE288" s="1014"/>
      <c r="AF288" s="1014"/>
      <c r="AG288" s="1014"/>
      <c r="AH288" s="1014"/>
      <c r="AI288" s="1014"/>
      <c r="AJ288" s="1014"/>
    </row>
    <row r="289" spans="2:36" x14ac:dyDescent="0.25">
      <c r="B289" s="700"/>
      <c r="C289" s="700"/>
      <c r="D289" s="700"/>
      <c r="E289" s="1014"/>
      <c r="F289" s="1014"/>
      <c r="G289" s="1014"/>
      <c r="H289" s="1014"/>
      <c r="I289" s="1014"/>
      <c r="J289" s="1014"/>
      <c r="K289" s="1014"/>
      <c r="L289" s="1014"/>
      <c r="M289" s="1014"/>
      <c r="N289" s="1014"/>
      <c r="O289" s="1014"/>
      <c r="P289" s="1014"/>
      <c r="Q289" s="1014"/>
      <c r="R289" s="1014"/>
      <c r="S289" s="1014"/>
      <c r="T289" s="1014"/>
      <c r="U289" s="1014"/>
      <c r="V289" s="1014"/>
      <c r="W289" s="1014"/>
      <c r="X289" s="1014"/>
      <c r="Y289" s="1014"/>
      <c r="Z289" s="1014"/>
      <c r="AA289" s="1014"/>
      <c r="AB289" s="1014"/>
      <c r="AC289" s="1014"/>
      <c r="AD289" s="1014"/>
      <c r="AE289" s="1014"/>
      <c r="AF289" s="1014"/>
      <c r="AG289" s="1014"/>
      <c r="AH289" s="1014"/>
      <c r="AI289" s="1014"/>
      <c r="AJ289" s="1014"/>
    </row>
    <row r="290" spans="2:36" x14ac:dyDescent="0.25">
      <c r="B290" s="700"/>
      <c r="C290" s="700"/>
      <c r="D290" s="700"/>
      <c r="E290" s="1014"/>
      <c r="F290" s="1014"/>
      <c r="G290" s="1014"/>
      <c r="H290" s="1014"/>
      <c r="I290" s="1014"/>
      <c r="J290" s="1014"/>
      <c r="K290" s="1014"/>
      <c r="L290" s="1014"/>
      <c r="M290" s="1014"/>
      <c r="N290" s="1014"/>
      <c r="O290" s="1014"/>
      <c r="P290" s="1014"/>
      <c r="Q290" s="1014"/>
      <c r="R290" s="1014"/>
      <c r="S290" s="1014"/>
      <c r="T290" s="1014"/>
      <c r="U290" s="1014"/>
      <c r="V290" s="1014"/>
      <c r="W290" s="1014"/>
      <c r="X290" s="1014"/>
      <c r="Y290" s="1014"/>
      <c r="Z290" s="1014"/>
      <c r="AA290" s="1014"/>
      <c r="AB290" s="1014"/>
      <c r="AC290" s="1014"/>
      <c r="AD290" s="1014"/>
      <c r="AE290" s="1014"/>
      <c r="AF290" s="1014"/>
      <c r="AG290" s="1014"/>
      <c r="AH290" s="1014"/>
      <c r="AI290" s="1014"/>
      <c r="AJ290" s="1014"/>
    </row>
    <row r="291" spans="2:36" x14ac:dyDescent="0.25">
      <c r="B291" s="700"/>
      <c r="C291" s="700"/>
      <c r="D291" s="700"/>
      <c r="E291" s="1014"/>
      <c r="F291" s="1014"/>
      <c r="G291" s="1014"/>
      <c r="H291" s="1014"/>
      <c r="I291" s="1014"/>
      <c r="J291" s="1014"/>
      <c r="K291" s="1014"/>
      <c r="L291" s="1014"/>
      <c r="M291" s="1014"/>
      <c r="N291" s="1014"/>
      <c r="O291" s="1014"/>
      <c r="P291" s="1014"/>
      <c r="Q291" s="1014"/>
      <c r="R291" s="1014"/>
      <c r="S291" s="1014"/>
      <c r="T291" s="1014"/>
      <c r="U291" s="1014"/>
      <c r="V291" s="1014"/>
      <c r="W291" s="1014"/>
      <c r="X291" s="1014"/>
      <c r="Y291" s="1014"/>
      <c r="Z291" s="1014"/>
      <c r="AA291" s="1014"/>
      <c r="AB291" s="1014"/>
      <c r="AC291" s="1014"/>
      <c r="AD291" s="1014"/>
      <c r="AE291" s="1014"/>
      <c r="AF291" s="1014"/>
      <c r="AG291" s="1014"/>
      <c r="AH291" s="1014"/>
      <c r="AI291" s="1014"/>
      <c r="AJ291" s="1014"/>
    </row>
    <row r="292" spans="2:36" x14ac:dyDescent="0.25">
      <c r="B292" s="700"/>
      <c r="C292" s="700"/>
      <c r="D292" s="700"/>
      <c r="E292" s="1014"/>
      <c r="F292" s="1014"/>
      <c r="G292" s="1014"/>
      <c r="H292" s="1014"/>
      <c r="I292" s="1014"/>
      <c r="J292" s="1014"/>
      <c r="K292" s="1014"/>
      <c r="L292" s="1014"/>
      <c r="M292" s="1014"/>
      <c r="N292" s="1014"/>
      <c r="O292" s="1014"/>
      <c r="P292" s="1014"/>
      <c r="Q292" s="1014"/>
      <c r="R292" s="1014"/>
      <c r="S292" s="1014"/>
      <c r="T292" s="1014"/>
      <c r="U292" s="1014"/>
      <c r="V292" s="1014"/>
      <c r="W292" s="1014"/>
      <c r="X292" s="1014"/>
      <c r="Y292" s="1014"/>
      <c r="Z292" s="1014"/>
      <c r="AA292" s="1014"/>
      <c r="AB292" s="1014"/>
      <c r="AC292" s="1014"/>
      <c r="AD292" s="1014"/>
      <c r="AE292" s="1014"/>
      <c r="AF292" s="1014"/>
      <c r="AG292" s="1014"/>
      <c r="AH292" s="1014"/>
      <c r="AI292" s="1014"/>
      <c r="AJ292" s="1014"/>
    </row>
    <row r="293" spans="2:36" x14ac:dyDescent="0.25">
      <c r="B293" s="700"/>
      <c r="C293" s="700"/>
      <c r="D293" s="700"/>
      <c r="E293" s="1014"/>
      <c r="F293" s="1014"/>
      <c r="G293" s="1014"/>
      <c r="H293" s="1014"/>
      <c r="I293" s="1014"/>
      <c r="J293" s="1014"/>
      <c r="K293" s="1014"/>
      <c r="L293" s="1014"/>
      <c r="M293" s="1014"/>
      <c r="N293" s="1014"/>
      <c r="O293" s="1014"/>
      <c r="P293" s="1014"/>
      <c r="Q293" s="1014"/>
      <c r="R293" s="1014"/>
      <c r="S293" s="1014"/>
      <c r="T293" s="1014"/>
      <c r="U293" s="1014"/>
      <c r="V293" s="1014"/>
      <c r="W293" s="1014"/>
      <c r="X293" s="1014"/>
      <c r="Y293" s="1014"/>
      <c r="Z293" s="1014"/>
      <c r="AA293" s="1014"/>
      <c r="AB293" s="1014"/>
      <c r="AC293" s="1014"/>
      <c r="AD293" s="1014"/>
      <c r="AE293" s="1014"/>
      <c r="AF293" s="1014"/>
      <c r="AG293" s="1014"/>
      <c r="AH293" s="1014"/>
      <c r="AI293" s="1014"/>
      <c r="AJ293" s="1014"/>
    </row>
    <row r="294" spans="2:36" x14ac:dyDescent="0.25">
      <c r="B294" s="700"/>
      <c r="C294" s="700"/>
      <c r="D294" s="700"/>
      <c r="E294" s="1014"/>
      <c r="F294" s="1014"/>
      <c r="G294" s="1014"/>
      <c r="H294" s="1014"/>
      <c r="I294" s="1014"/>
      <c r="J294" s="1014"/>
      <c r="K294" s="1014"/>
      <c r="L294" s="1014"/>
      <c r="M294" s="1014"/>
      <c r="N294" s="1014"/>
      <c r="O294" s="1014"/>
      <c r="P294" s="1014"/>
      <c r="Q294" s="1014"/>
      <c r="R294" s="1014"/>
      <c r="S294" s="1014"/>
      <c r="T294" s="1014"/>
      <c r="U294" s="1014"/>
      <c r="V294" s="1014"/>
      <c r="W294" s="1014"/>
      <c r="X294" s="1014"/>
      <c r="Y294" s="1014"/>
      <c r="Z294" s="1014"/>
      <c r="AA294" s="1014"/>
      <c r="AB294" s="1014"/>
      <c r="AC294" s="1014"/>
      <c r="AD294" s="1014"/>
      <c r="AE294" s="1014"/>
      <c r="AF294" s="1014"/>
      <c r="AG294" s="1014"/>
      <c r="AH294" s="1014"/>
      <c r="AI294" s="1014"/>
      <c r="AJ294" s="1014"/>
    </row>
    <row r="295" spans="2:36" x14ac:dyDescent="0.25">
      <c r="B295" s="700"/>
      <c r="C295" s="700"/>
      <c r="D295" s="700"/>
      <c r="E295" s="1014"/>
      <c r="F295" s="1014"/>
      <c r="G295" s="1014"/>
      <c r="H295" s="1014"/>
      <c r="I295" s="1014"/>
      <c r="J295" s="1014"/>
      <c r="K295" s="1014"/>
      <c r="L295" s="1014"/>
      <c r="M295" s="1014"/>
      <c r="N295" s="1014"/>
      <c r="O295" s="1014"/>
      <c r="P295" s="1014"/>
      <c r="Q295" s="1014"/>
      <c r="R295" s="1014"/>
      <c r="S295" s="1014"/>
      <c r="T295" s="1014"/>
      <c r="U295" s="1014"/>
      <c r="V295" s="1014"/>
      <c r="W295" s="1014"/>
      <c r="X295" s="1014"/>
      <c r="Y295" s="1014"/>
      <c r="Z295" s="1014"/>
      <c r="AA295" s="1014"/>
      <c r="AB295" s="1014"/>
      <c r="AC295" s="1014"/>
      <c r="AD295" s="1014"/>
      <c r="AE295" s="1014"/>
      <c r="AF295" s="1014"/>
      <c r="AG295" s="1014"/>
      <c r="AH295" s="1014"/>
      <c r="AI295" s="1014"/>
      <c r="AJ295" s="1014"/>
    </row>
    <row r="296" spans="2:36" x14ac:dyDescent="0.25">
      <c r="B296" s="700"/>
      <c r="C296" s="700"/>
      <c r="D296" s="700"/>
      <c r="E296" s="1014"/>
      <c r="F296" s="1014"/>
      <c r="G296" s="1014"/>
      <c r="H296" s="1014"/>
      <c r="I296" s="1014"/>
      <c r="J296" s="1014"/>
      <c r="K296" s="1014"/>
      <c r="L296" s="1014"/>
      <c r="M296" s="1014"/>
      <c r="N296" s="1014"/>
      <c r="O296" s="1014"/>
      <c r="P296" s="1014"/>
      <c r="Q296" s="1014"/>
      <c r="R296" s="1014"/>
      <c r="S296" s="1014"/>
      <c r="T296" s="1014"/>
      <c r="U296" s="1014"/>
      <c r="V296" s="1014"/>
      <c r="W296" s="1014"/>
      <c r="X296" s="1014"/>
      <c r="Y296" s="1014"/>
      <c r="Z296" s="1014"/>
      <c r="AA296" s="1014"/>
      <c r="AB296" s="1014"/>
      <c r="AC296" s="1014"/>
      <c r="AD296" s="1014"/>
      <c r="AE296" s="1014"/>
      <c r="AF296" s="1014"/>
      <c r="AG296" s="1014"/>
      <c r="AH296" s="1014"/>
      <c r="AI296" s="1014"/>
      <c r="AJ296" s="1014"/>
    </row>
    <row r="297" spans="2:36" x14ac:dyDescent="0.25">
      <c r="B297" s="700"/>
      <c r="C297" s="700"/>
      <c r="D297" s="700"/>
      <c r="E297" s="1014"/>
      <c r="F297" s="1014"/>
      <c r="G297" s="1014"/>
      <c r="H297" s="1014"/>
      <c r="I297" s="1014"/>
      <c r="J297" s="1014"/>
      <c r="K297" s="1014"/>
      <c r="L297" s="1014"/>
      <c r="M297" s="1014"/>
      <c r="N297" s="1014"/>
      <c r="O297" s="1014"/>
      <c r="P297" s="1014"/>
      <c r="Q297" s="1014"/>
      <c r="R297" s="1014"/>
      <c r="S297" s="1014"/>
      <c r="T297" s="1014"/>
      <c r="U297" s="1014"/>
      <c r="V297" s="1014"/>
      <c r="W297" s="1014"/>
      <c r="X297" s="1014"/>
      <c r="Y297" s="1014"/>
      <c r="Z297" s="1014"/>
      <c r="AA297" s="1014"/>
      <c r="AB297" s="1014"/>
      <c r="AC297" s="1014"/>
      <c r="AD297" s="1014"/>
      <c r="AE297" s="1014"/>
      <c r="AF297" s="1014"/>
      <c r="AG297" s="1014"/>
      <c r="AH297" s="1014"/>
      <c r="AI297" s="1014"/>
      <c r="AJ297" s="1014"/>
    </row>
    <row r="298" spans="2:36" x14ac:dyDescent="0.25">
      <c r="B298" s="700"/>
      <c r="C298" s="700"/>
      <c r="D298" s="700"/>
      <c r="E298" s="1014"/>
      <c r="F298" s="1014"/>
      <c r="G298" s="1014"/>
      <c r="H298" s="1014"/>
      <c r="I298" s="1014"/>
      <c r="J298" s="1014"/>
      <c r="K298" s="1014"/>
      <c r="L298" s="1014"/>
      <c r="M298" s="1014"/>
      <c r="N298" s="1014"/>
      <c r="O298" s="1014"/>
      <c r="P298" s="1014"/>
      <c r="Q298" s="1014"/>
      <c r="R298" s="1014"/>
      <c r="S298" s="1014"/>
      <c r="T298" s="1014"/>
      <c r="U298" s="1014"/>
      <c r="V298" s="1014"/>
      <c r="W298" s="1014"/>
      <c r="X298" s="1014"/>
      <c r="Y298" s="1014"/>
      <c r="Z298" s="1014"/>
      <c r="AA298" s="1014"/>
      <c r="AB298" s="1014"/>
      <c r="AC298" s="1014"/>
      <c r="AD298" s="1014"/>
      <c r="AE298" s="1014"/>
      <c r="AF298" s="1014"/>
      <c r="AG298" s="1014"/>
      <c r="AH298" s="1014"/>
      <c r="AI298" s="1014"/>
      <c r="AJ298" s="1014"/>
    </row>
    <row r="299" spans="2:36" x14ac:dyDescent="0.25">
      <c r="B299" s="700"/>
      <c r="C299" s="700"/>
      <c r="D299" s="700"/>
      <c r="E299" s="1014"/>
      <c r="F299" s="1014"/>
      <c r="G299" s="1014"/>
      <c r="H299" s="1014"/>
      <c r="I299" s="1014"/>
      <c r="J299" s="1014"/>
      <c r="K299" s="1014"/>
      <c r="L299" s="1014"/>
      <c r="M299" s="1014"/>
      <c r="N299" s="1014"/>
      <c r="O299" s="1014"/>
      <c r="P299" s="1014"/>
      <c r="Q299" s="1014"/>
      <c r="R299" s="1014"/>
      <c r="S299" s="1014"/>
      <c r="T299" s="1014"/>
      <c r="U299" s="1014"/>
      <c r="V299" s="1014"/>
      <c r="W299" s="1014"/>
      <c r="X299" s="1014"/>
      <c r="Y299" s="1014"/>
      <c r="Z299" s="1014"/>
      <c r="AA299" s="1014"/>
      <c r="AB299" s="1014"/>
      <c r="AC299" s="1014"/>
      <c r="AD299" s="1014"/>
      <c r="AE299" s="1014"/>
      <c r="AF299" s="1014"/>
      <c r="AG299" s="1014"/>
      <c r="AH299" s="1014"/>
      <c r="AI299" s="1014"/>
      <c r="AJ299" s="1014"/>
    </row>
    <row r="300" spans="2:36" x14ac:dyDescent="0.25">
      <c r="B300" s="700"/>
      <c r="C300" s="700"/>
      <c r="D300" s="700"/>
      <c r="E300" s="1014"/>
      <c r="F300" s="1014"/>
      <c r="G300" s="1014"/>
      <c r="H300" s="1014"/>
      <c r="I300" s="1014"/>
      <c r="J300" s="1014"/>
      <c r="K300" s="1014"/>
      <c r="L300" s="1014"/>
      <c r="M300" s="1014"/>
      <c r="N300" s="1014"/>
      <c r="O300" s="1014"/>
      <c r="P300" s="1014"/>
      <c r="Q300" s="1014"/>
      <c r="R300" s="1014"/>
      <c r="S300" s="1014"/>
      <c r="T300" s="1014"/>
      <c r="U300" s="1014"/>
      <c r="V300" s="1014"/>
      <c r="W300" s="1014"/>
      <c r="X300" s="1014"/>
      <c r="Y300" s="1014"/>
      <c r="Z300" s="1014"/>
      <c r="AA300" s="1014"/>
      <c r="AB300" s="1014"/>
      <c r="AC300" s="1014"/>
      <c r="AD300" s="1014"/>
      <c r="AE300" s="1014"/>
      <c r="AF300" s="1014"/>
      <c r="AG300" s="1014"/>
      <c r="AH300" s="1014"/>
      <c r="AI300" s="1014"/>
      <c r="AJ300" s="1014"/>
    </row>
    <row r="301" spans="2:36" x14ac:dyDescent="0.25">
      <c r="B301" s="700"/>
      <c r="C301" s="700"/>
      <c r="D301" s="700"/>
      <c r="E301" s="1014"/>
      <c r="F301" s="1014"/>
      <c r="G301" s="1014"/>
      <c r="H301" s="1014"/>
      <c r="I301" s="1014"/>
      <c r="J301" s="1014"/>
      <c r="K301" s="1014"/>
      <c r="L301" s="1014"/>
      <c r="M301" s="1014"/>
      <c r="N301" s="1014"/>
      <c r="O301" s="1014"/>
      <c r="P301" s="1014"/>
      <c r="Q301" s="1014"/>
      <c r="R301" s="1014"/>
      <c r="S301" s="1014"/>
      <c r="T301" s="1014"/>
      <c r="U301" s="1014"/>
      <c r="V301" s="1014"/>
      <c r="W301" s="1014"/>
      <c r="X301" s="1014"/>
      <c r="Y301" s="1014"/>
      <c r="Z301" s="1014"/>
      <c r="AA301" s="1014"/>
      <c r="AB301" s="1014"/>
      <c r="AC301" s="1014"/>
      <c r="AD301" s="1014"/>
      <c r="AE301" s="1014"/>
      <c r="AF301" s="1014"/>
      <c r="AG301" s="1014"/>
      <c r="AH301" s="1014"/>
      <c r="AI301" s="1014"/>
      <c r="AJ301" s="1014"/>
    </row>
    <row r="302" spans="2:36" x14ac:dyDescent="0.25">
      <c r="B302" s="700"/>
      <c r="C302" s="700"/>
      <c r="D302" s="700"/>
      <c r="E302" s="1014"/>
      <c r="F302" s="1014"/>
      <c r="G302" s="1014"/>
      <c r="H302" s="1014"/>
      <c r="I302" s="1014"/>
      <c r="J302" s="1014"/>
      <c r="K302" s="1014"/>
      <c r="L302" s="1014"/>
      <c r="M302" s="1014"/>
      <c r="N302" s="1014"/>
      <c r="O302" s="1014"/>
      <c r="P302" s="1014"/>
      <c r="Q302" s="1014"/>
      <c r="R302" s="1014"/>
      <c r="S302" s="1014"/>
      <c r="T302" s="1014"/>
      <c r="U302" s="1014"/>
      <c r="V302" s="1014"/>
      <c r="W302" s="1014"/>
      <c r="X302" s="1014"/>
      <c r="Y302" s="1014"/>
      <c r="Z302" s="1014"/>
      <c r="AA302" s="1014"/>
      <c r="AB302" s="1014"/>
      <c r="AC302" s="1014"/>
      <c r="AD302" s="1014"/>
      <c r="AE302" s="1014"/>
      <c r="AF302" s="1014"/>
      <c r="AG302" s="1014"/>
      <c r="AH302" s="1014"/>
      <c r="AI302" s="1014"/>
      <c r="AJ302" s="1014"/>
    </row>
    <row r="303" spans="2:36" x14ac:dyDescent="0.25">
      <c r="B303" s="700"/>
      <c r="C303" s="700"/>
      <c r="D303" s="700"/>
      <c r="E303" s="1014"/>
      <c r="F303" s="1014"/>
      <c r="G303" s="1014"/>
      <c r="H303" s="1014"/>
      <c r="I303" s="1014"/>
      <c r="J303" s="1014"/>
      <c r="K303" s="1014"/>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row>
    <row r="304" spans="2:36" x14ac:dyDescent="0.25">
      <c r="B304" s="700"/>
      <c r="C304" s="700"/>
      <c r="D304" s="700"/>
      <c r="E304" s="1014"/>
      <c r="F304" s="1014"/>
      <c r="G304" s="1014"/>
      <c r="H304" s="1014"/>
      <c r="I304" s="1014"/>
      <c r="J304" s="1014"/>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row>
    <row r="305" spans="2:36" x14ac:dyDescent="0.25">
      <c r="B305" s="700"/>
      <c r="C305" s="700"/>
      <c r="D305" s="700"/>
      <c r="E305" s="1014"/>
      <c r="F305" s="1014"/>
      <c r="G305" s="1014"/>
      <c r="H305" s="1014"/>
      <c r="I305" s="1014"/>
      <c r="J305" s="1014"/>
      <c r="K305" s="1014"/>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row>
    <row r="306" spans="2:36" x14ac:dyDescent="0.25">
      <c r="B306" s="700"/>
      <c r="C306" s="700"/>
      <c r="D306" s="700"/>
      <c r="E306" s="1014"/>
      <c r="F306" s="1014"/>
      <c r="G306" s="1014"/>
      <c r="H306" s="1014"/>
      <c r="I306" s="1014"/>
      <c r="J306" s="1014"/>
      <c r="K306" s="1014"/>
      <c r="L306" s="1014"/>
      <c r="M306" s="1014"/>
      <c r="N306" s="1014"/>
      <c r="O306" s="1014"/>
      <c r="P306" s="1014"/>
      <c r="Q306" s="1014"/>
      <c r="R306" s="1014"/>
      <c r="S306" s="1014"/>
      <c r="T306" s="1014"/>
      <c r="U306" s="1014"/>
      <c r="V306" s="1014"/>
      <c r="W306" s="1014"/>
      <c r="X306" s="1014"/>
      <c r="Y306" s="1014"/>
      <c r="Z306" s="1014"/>
      <c r="AA306" s="1014"/>
      <c r="AB306" s="1014"/>
      <c r="AC306" s="1014"/>
      <c r="AD306" s="1014"/>
      <c r="AE306" s="1014"/>
      <c r="AF306" s="1014"/>
      <c r="AG306" s="1014"/>
      <c r="AH306" s="1014"/>
      <c r="AI306" s="1014"/>
      <c r="AJ306" s="1014"/>
    </row>
    <row r="307" spans="2:36" x14ac:dyDescent="0.25">
      <c r="B307" s="700"/>
      <c r="C307" s="700"/>
      <c r="D307" s="700"/>
      <c r="E307" s="1014"/>
      <c r="F307" s="1014"/>
      <c r="G307" s="1014"/>
      <c r="H307" s="1014"/>
      <c r="I307" s="1014"/>
      <c r="J307" s="1014"/>
      <c r="K307" s="1014"/>
      <c r="L307" s="1014"/>
      <c r="M307" s="1014"/>
      <c r="N307" s="1014"/>
      <c r="O307" s="1014"/>
      <c r="P307" s="1014"/>
      <c r="Q307" s="1014"/>
      <c r="R307" s="1014"/>
      <c r="S307" s="1014"/>
      <c r="T307" s="1014"/>
      <c r="U307" s="1014"/>
      <c r="V307" s="1014"/>
      <c r="W307" s="1014"/>
      <c r="X307" s="1014"/>
      <c r="Y307" s="1014"/>
      <c r="Z307" s="1014"/>
      <c r="AA307" s="1014"/>
      <c r="AB307" s="1014"/>
      <c r="AC307" s="1014"/>
      <c r="AD307" s="1014"/>
      <c r="AE307" s="1014"/>
      <c r="AF307" s="1014"/>
      <c r="AG307" s="1014"/>
      <c r="AH307" s="1014"/>
      <c r="AI307" s="1014"/>
      <c r="AJ307" s="1014"/>
    </row>
    <row r="308" spans="2:36" x14ac:dyDescent="0.25">
      <c r="B308" s="700"/>
      <c r="C308" s="700"/>
      <c r="D308" s="700"/>
      <c r="E308" s="1014"/>
      <c r="F308" s="1014"/>
      <c r="G308" s="1014"/>
      <c r="H308" s="1014"/>
      <c r="I308" s="1014"/>
      <c r="J308" s="1014"/>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row>
    <row r="309" spans="2:36" x14ac:dyDescent="0.25">
      <c r="B309" s="700"/>
      <c r="C309" s="700"/>
      <c r="D309" s="700"/>
      <c r="E309" s="1014"/>
      <c r="F309" s="1014"/>
      <c r="G309" s="1014"/>
      <c r="H309" s="1014"/>
      <c r="I309" s="1014"/>
      <c r="J309" s="1014"/>
      <c r="K309" s="1014"/>
      <c r="L309" s="1014"/>
      <c r="M309" s="1014"/>
      <c r="N309" s="1014"/>
      <c r="O309" s="1014"/>
      <c r="P309" s="1014"/>
      <c r="Q309" s="1014"/>
      <c r="R309" s="1014"/>
      <c r="S309" s="1014"/>
      <c r="T309" s="1014"/>
      <c r="U309" s="1014"/>
      <c r="V309" s="1014"/>
      <c r="W309" s="1014"/>
      <c r="X309" s="1014"/>
      <c r="Y309" s="1014"/>
      <c r="Z309" s="1014"/>
      <c r="AA309" s="1014"/>
      <c r="AB309" s="1014"/>
      <c r="AC309" s="1014"/>
      <c r="AD309" s="1014"/>
      <c r="AE309" s="1014"/>
      <c r="AF309" s="1014"/>
      <c r="AG309" s="1014"/>
      <c r="AH309" s="1014"/>
      <c r="AI309" s="1014"/>
      <c r="AJ309" s="1014"/>
    </row>
    <row r="310" spans="2:36" x14ac:dyDescent="0.25">
      <c r="B310" s="700"/>
      <c r="C310" s="700"/>
      <c r="D310" s="700"/>
      <c r="E310" s="1014"/>
      <c r="F310" s="1014"/>
      <c r="G310" s="1014"/>
      <c r="H310" s="1014"/>
      <c r="I310" s="1014"/>
      <c r="J310" s="1014"/>
      <c r="K310" s="1014"/>
      <c r="L310" s="1014"/>
      <c r="M310" s="1014"/>
      <c r="N310" s="1014"/>
      <c r="O310" s="1014"/>
      <c r="P310" s="1014"/>
      <c r="Q310" s="1014"/>
      <c r="R310" s="1014"/>
      <c r="S310" s="1014"/>
      <c r="T310" s="1014"/>
      <c r="U310" s="1014"/>
      <c r="V310" s="1014"/>
      <c r="W310" s="1014"/>
      <c r="X310" s="1014"/>
      <c r="Y310" s="1014"/>
      <c r="Z310" s="1014"/>
      <c r="AA310" s="1014"/>
      <c r="AB310" s="1014"/>
      <c r="AC310" s="1014"/>
      <c r="AD310" s="1014"/>
      <c r="AE310" s="1014"/>
      <c r="AF310" s="1014"/>
      <c r="AG310" s="1014"/>
      <c r="AH310" s="1014"/>
      <c r="AI310" s="1014"/>
      <c r="AJ310" s="1014"/>
    </row>
    <row r="311" spans="2:36" x14ac:dyDescent="0.25">
      <c r="B311" s="700"/>
      <c r="C311" s="700"/>
      <c r="D311" s="700"/>
      <c r="E311" s="1014"/>
      <c r="F311" s="1014"/>
      <c r="G311" s="1014"/>
      <c r="H311" s="1014"/>
      <c r="I311" s="1014"/>
      <c r="J311" s="1014"/>
      <c r="K311" s="1014"/>
      <c r="L311" s="1014"/>
      <c r="M311" s="1014"/>
      <c r="N311" s="1014"/>
      <c r="O311" s="1014"/>
      <c r="P311" s="1014"/>
      <c r="Q311" s="1014"/>
      <c r="R311" s="1014"/>
      <c r="S311" s="1014"/>
      <c r="T311" s="1014"/>
      <c r="U311" s="1014"/>
      <c r="V311" s="1014"/>
      <c r="W311" s="1014"/>
      <c r="X311" s="1014"/>
      <c r="Y311" s="1014"/>
      <c r="Z311" s="1014"/>
      <c r="AA311" s="1014"/>
      <c r="AB311" s="1014"/>
      <c r="AC311" s="1014"/>
      <c r="AD311" s="1014"/>
      <c r="AE311" s="1014"/>
      <c r="AF311" s="1014"/>
      <c r="AG311" s="1014"/>
      <c r="AH311" s="1014"/>
      <c r="AI311" s="1014"/>
      <c r="AJ311" s="1014"/>
    </row>
    <row r="312" spans="2:36" x14ac:dyDescent="0.25">
      <c r="B312" s="700"/>
      <c r="C312" s="700"/>
      <c r="D312" s="700"/>
      <c r="E312" s="1014"/>
      <c r="F312" s="1014"/>
      <c r="G312" s="1014"/>
      <c r="H312" s="1014"/>
      <c r="I312" s="1014"/>
      <c r="J312" s="1014"/>
      <c r="K312" s="1014"/>
      <c r="L312" s="1014"/>
      <c r="M312" s="1014"/>
      <c r="N312" s="1014"/>
      <c r="O312" s="1014"/>
      <c r="P312" s="1014"/>
      <c r="Q312" s="1014"/>
      <c r="R312" s="1014"/>
      <c r="S312" s="1014"/>
      <c r="T312" s="1014"/>
      <c r="U312" s="1014"/>
      <c r="V312" s="1014"/>
      <c r="W312" s="1014"/>
      <c r="X312" s="1014"/>
      <c r="Y312" s="1014"/>
      <c r="Z312" s="1014"/>
      <c r="AA312" s="1014"/>
      <c r="AB312" s="1014"/>
      <c r="AC312" s="1014"/>
      <c r="AD312" s="1014"/>
      <c r="AE312" s="1014"/>
      <c r="AF312" s="1014"/>
      <c r="AG312" s="1014"/>
      <c r="AH312" s="1014"/>
      <c r="AI312" s="1014"/>
      <c r="AJ312" s="1014"/>
    </row>
    <row r="313" spans="2:36" x14ac:dyDescent="0.25">
      <c r="B313" s="700"/>
      <c r="C313" s="700"/>
      <c r="D313" s="700"/>
      <c r="E313" s="1014"/>
      <c r="F313" s="1014"/>
      <c r="G313" s="1014"/>
      <c r="H313" s="1014"/>
      <c r="I313" s="1014"/>
      <c r="J313" s="1014"/>
      <c r="K313" s="1014"/>
      <c r="L313" s="1014"/>
      <c r="M313" s="1014"/>
      <c r="N313" s="1014"/>
      <c r="O313" s="1014"/>
      <c r="P313" s="1014"/>
      <c r="Q313" s="1014"/>
      <c r="R313" s="1014"/>
      <c r="S313" s="1014"/>
      <c r="T313" s="1014"/>
      <c r="U313" s="1014"/>
      <c r="V313" s="1014"/>
      <c r="W313" s="1014"/>
      <c r="X313" s="1014"/>
      <c r="Y313" s="1014"/>
      <c r="Z313" s="1014"/>
      <c r="AA313" s="1014"/>
      <c r="AB313" s="1014"/>
      <c r="AC313" s="1014"/>
      <c r="AD313" s="1014"/>
      <c r="AE313" s="1014"/>
      <c r="AF313" s="1014"/>
      <c r="AG313" s="1014"/>
      <c r="AH313" s="1014"/>
      <c r="AI313" s="1014"/>
      <c r="AJ313" s="1014"/>
    </row>
    <row r="314" spans="2:36" x14ac:dyDescent="0.25">
      <c r="B314" s="700"/>
      <c r="C314" s="700"/>
      <c r="D314" s="700"/>
      <c r="E314" s="1014"/>
      <c r="F314" s="1014"/>
      <c r="G314" s="1014"/>
      <c r="H314" s="1014"/>
      <c r="I314" s="1014"/>
      <c r="J314" s="1014"/>
      <c r="K314" s="1014"/>
      <c r="L314" s="1014"/>
      <c r="M314" s="1014"/>
      <c r="N314" s="1014"/>
      <c r="O314" s="1014"/>
      <c r="P314" s="1014"/>
      <c r="Q314" s="1014"/>
      <c r="R314" s="1014"/>
      <c r="S314" s="1014"/>
      <c r="T314" s="1014"/>
      <c r="U314" s="1014"/>
      <c r="V314" s="1014"/>
      <c r="W314" s="1014"/>
      <c r="X314" s="1014"/>
      <c r="Y314" s="1014"/>
      <c r="Z314" s="1014"/>
      <c r="AA314" s="1014"/>
      <c r="AB314" s="1014"/>
      <c r="AC314" s="1014"/>
      <c r="AD314" s="1014"/>
      <c r="AE314" s="1014"/>
      <c r="AF314" s="1014"/>
      <c r="AG314" s="1014"/>
      <c r="AH314" s="1014"/>
      <c r="AI314" s="1014"/>
      <c r="AJ314" s="1014"/>
    </row>
    <row r="315" spans="2:36" x14ac:dyDescent="0.25">
      <c r="B315" s="700"/>
      <c r="C315" s="700"/>
      <c r="D315" s="700"/>
      <c r="E315" s="1014"/>
      <c r="F315" s="1014"/>
      <c r="G315" s="1014"/>
      <c r="H315" s="1014"/>
      <c r="I315" s="1014"/>
      <c r="J315" s="1014"/>
      <c r="K315" s="1014"/>
      <c r="L315" s="1014"/>
      <c r="M315" s="1014"/>
      <c r="N315" s="1014"/>
      <c r="O315" s="1014"/>
      <c r="P315" s="1014"/>
      <c r="Q315" s="1014"/>
      <c r="R315" s="1014"/>
      <c r="S315" s="1014"/>
      <c r="T315" s="1014"/>
      <c r="U315" s="1014"/>
      <c r="V315" s="1014"/>
      <c r="W315" s="1014"/>
      <c r="X315" s="1014"/>
      <c r="Y315" s="1014"/>
      <c r="Z315" s="1014"/>
      <c r="AA315" s="1014"/>
      <c r="AB315" s="1014"/>
      <c r="AC315" s="1014"/>
      <c r="AD315" s="1014"/>
      <c r="AE315" s="1014"/>
      <c r="AF315" s="1014"/>
      <c r="AG315" s="1014"/>
      <c r="AH315" s="1014"/>
      <c r="AI315" s="1014"/>
      <c r="AJ315" s="1014"/>
    </row>
    <row r="316" spans="2:36" x14ac:dyDescent="0.25">
      <c r="B316" s="700"/>
      <c r="C316" s="700"/>
      <c r="D316" s="700"/>
      <c r="E316" s="1014"/>
      <c r="F316" s="1014"/>
      <c r="G316" s="1014"/>
      <c r="H316" s="1014"/>
      <c r="I316" s="1014"/>
      <c r="J316" s="1014"/>
      <c r="K316" s="1014"/>
      <c r="L316" s="1014"/>
      <c r="M316" s="1014"/>
      <c r="N316" s="1014"/>
      <c r="O316" s="1014"/>
      <c r="P316" s="1014"/>
      <c r="Q316" s="1014"/>
      <c r="R316" s="1014"/>
      <c r="S316" s="1014"/>
      <c r="T316" s="1014"/>
      <c r="U316" s="1014"/>
      <c r="V316" s="1014"/>
      <c r="W316" s="1014"/>
      <c r="X316" s="1014"/>
      <c r="Y316" s="1014"/>
      <c r="Z316" s="1014"/>
      <c r="AA316" s="1014"/>
      <c r="AB316" s="1014"/>
      <c r="AC316" s="1014"/>
      <c r="AD316" s="1014"/>
      <c r="AE316" s="1014"/>
      <c r="AF316" s="1014"/>
      <c r="AG316" s="1014"/>
      <c r="AH316" s="1014"/>
      <c r="AI316" s="1014"/>
      <c r="AJ316" s="1014"/>
    </row>
    <row r="317" spans="2:36" x14ac:dyDescent="0.25">
      <c r="B317" s="700"/>
      <c r="C317" s="700"/>
      <c r="D317" s="700"/>
      <c r="E317" s="1014"/>
      <c r="F317" s="1014"/>
      <c r="G317" s="1014"/>
      <c r="H317" s="1014"/>
      <c r="I317" s="1014"/>
      <c r="J317" s="1014"/>
      <c r="K317" s="1014"/>
      <c r="L317" s="1014"/>
      <c r="M317" s="1014"/>
      <c r="N317" s="1014"/>
      <c r="O317" s="1014"/>
      <c r="P317" s="1014"/>
      <c r="Q317" s="1014"/>
      <c r="R317" s="1014"/>
      <c r="S317" s="1014"/>
      <c r="T317" s="1014"/>
      <c r="U317" s="1014"/>
      <c r="V317" s="1014"/>
      <c r="W317" s="1014"/>
      <c r="X317" s="1014"/>
      <c r="Y317" s="1014"/>
      <c r="Z317" s="1014"/>
      <c r="AA317" s="1014"/>
      <c r="AB317" s="1014"/>
      <c r="AC317" s="1014"/>
      <c r="AD317" s="1014"/>
      <c r="AE317" s="1014"/>
      <c r="AF317" s="1014"/>
      <c r="AG317" s="1014"/>
      <c r="AH317" s="1014"/>
      <c r="AI317" s="1014"/>
      <c r="AJ317" s="1014"/>
    </row>
    <row r="318" spans="2:36" x14ac:dyDescent="0.25">
      <c r="B318" s="700"/>
      <c r="C318" s="700"/>
      <c r="D318" s="700"/>
      <c r="E318" s="1014"/>
      <c r="F318" s="1014"/>
      <c r="G318" s="1014"/>
      <c r="H318" s="1014"/>
      <c r="I318" s="1014"/>
      <c r="J318" s="1014"/>
      <c r="K318" s="1014"/>
      <c r="L318" s="1014"/>
      <c r="M318" s="1014"/>
      <c r="N318" s="1014"/>
      <c r="O318" s="1014"/>
      <c r="P318" s="1014"/>
      <c r="Q318" s="1014"/>
      <c r="R318" s="1014"/>
      <c r="S318" s="1014"/>
      <c r="T318" s="1014"/>
      <c r="U318" s="1014"/>
      <c r="V318" s="1014"/>
      <c r="W318" s="1014"/>
      <c r="X318" s="1014"/>
      <c r="Y318" s="1014"/>
      <c r="Z318" s="1014"/>
      <c r="AA318" s="1014"/>
      <c r="AB318" s="1014"/>
      <c r="AC318" s="1014"/>
      <c r="AD318" s="1014"/>
      <c r="AE318" s="1014"/>
      <c r="AF318" s="1014"/>
      <c r="AG318" s="1014"/>
      <c r="AH318" s="1014"/>
      <c r="AI318" s="1014"/>
      <c r="AJ318" s="1014"/>
    </row>
    <row r="319" spans="2:36" x14ac:dyDescent="0.25">
      <c r="B319" s="700"/>
      <c r="C319" s="700"/>
      <c r="D319" s="700"/>
      <c r="E319" s="1014"/>
      <c r="F319" s="1014"/>
      <c r="G319" s="1014"/>
      <c r="H319" s="1014"/>
      <c r="I319" s="1014"/>
      <c r="J319" s="1014"/>
      <c r="K319" s="1014"/>
      <c r="L319" s="1014"/>
      <c r="M319" s="1014"/>
      <c r="N319" s="1014"/>
      <c r="O319" s="1014"/>
      <c r="P319" s="1014"/>
      <c r="Q319" s="1014"/>
      <c r="R319" s="1014"/>
      <c r="S319" s="1014"/>
      <c r="T319" s="1014"/>
      <c r="U319" s="1014"/>
      <c r="V319" s="1014"/>
      <c r="W319" s="1014"/>
      <c r="X319" s="1014"/>
      <c r="Y319" s="1014"/>
      <c r="Z319" s="1014"/>
      <c r="AA319" s="1014"/>
      <c r="AB319" s="1014"/>
      <c r="AC319" s="1014"/>
      <c r="AD319" s="1014"/>
      <c r="AE319" s="1014"/>
      <c r="AF319" s="1014"/>
      <c r="AG319" s="1014"/>
      <c r="AH319" s="1014"/>
      <c r="AI319" s="1014"/>
      <c r="AJ319" s="1014"/>
    </row>
    <row r="320" spans="2:36" x14ac:dyDescent="0.25">
      <c r="B320" s="700"/>
      <c r="C320" s="700"/>
      <c r="D320" s="700"/>
      <c r="E320" s="1014"/>
      <c r="F320" s="1014"/>
      <c r="G320" s="1014"/>
      <c r="H320" s="1014"/>
      <c r="I320" s="1014"/>
      <c r="J320" s="1014"/>
      <c r="K320" s="1014"/>
      <c r="L320" s="1014"/>
      <c r="M320" s="1014"/>
      <c r="N320" s="1014"/>
      <c r="O320" s="1014"/>
      <c r="P320" s="1014"/>
      <c r="Q320" s="1014"/>
      <c r="R320" s="1014"/>
      <c r="S320" s="1014"/>
      <c r="T320" s="1014"/>
      <c r="U320" s="1014"/>
      <c r="V320" s="1014"/>
      <c r="W320" s="1014"/>
      <c r="X320" s="1014"/>
      <c r="Y320" s="1014"/>
      <c r="Z320" s="1014"/>
      <c r="AA320" s="1014"/>
      <c r="AB320" s="1014"/>
      <c r="AC320" s="1014"/>
      <c r="AD320" s="1014"/>
      <c r="AE320" s="1014"/>
      <c r="AF320" s="1014"/>
      <c r="AG320" s="1014"/>
      <c r="AH320" s="1014"/>
      <c r="AI320" s="1014"/>
      <c r="AJ320" s="1014"/>
    </row>
    <row r="321" spans="2:36" x14ac:dyDescent="0.25">
      <c r="B321" s="700"/>
      <c r="C321" s="700"/>
      <c r="D321" s="700"/>
      <c r="E321" s="1014"/>
      <c r="F321" s="1014"/>
      <c r="G321" s="1014"/>
      <c r="H321" s="1014"/>
      <c r="I321" s="1014"/>
      <c r="J321" s="1014"/>
      <c r="K321" s="1014"/>
      <c r="L321" s="1014"/>
      <c r="M321" s="1014"/>
      <c r="N321" s="1014"/>
      <c r="O321" s="1014"/>
      <c r="P321" s="1014"/>
      <c r="Q321" s="1014"/>
      <c r="R321" s="1014"/>
      <c r="S321" s="1014"/>
      <c r="T321" s="1014"/>
      <c r="U321" s="1014"/>
      <c r="V321" s="1014"/>
      <c r="W321" s="1014"/>
      <c r="X321" s="1014"/>
      <c r="Y321" s="1014"/>
      <c r="Z321" s="1014"/>
      <c r="AA321" s="1014"/>
      <c r="AB321" s="1014"/>
      <c r="AC321" s="1014"/>
      <c r="AD321" s="1014"/>
      <c r="AE321" s="1014"/>
      <c r="AF321" s="1014"/>
      <c r="AG321" s="1014"/>
      <c r="AH321" s="1014"/>
      <c r="AI321" s="1014"/>
      <c r="AJ321" s="1014"/>
    </row>
    <row r="322" spans="2:36" x14ac:dyDescent="0.25">
      <c r="B322" s="700"/>
      <c r="C322" s="700"/>
      <c r="D322" s="700"/>
      <c r="E322" s="1014"/>
      <c r="F322" s="1014"/>
      <c r="G322" s="1014"/>
      <c r="H322" s="1014"/>
      <c r="I322" s="1014"/>
      <c r="J322" s="1014"/>
      <c r="K322" s="1014"/>
      <c r="L322" s="1014"/>
      <c r="M322" s="1014"/>
      <c r="N322" s="1014"/>
      <c r="O322" s="1014"/>
      <c r="P322" s="1014"/>
      <c r="Q322" s="1014"/>
      <c r="R322" s="1014"/>
      <c r="S322" s="1014"/>
      <c r="T322" s="1014"/>
      <c r="U322" s="1014"/>
      <c r="V322" s="1014"/>
      <c r="W322" s="1014"/>
      <c r="X322" s="1014"/>
      <c r="Y322" s="1014"/>
      <c r="Z322" s="1014"/>
      <c r="AA322" s="1014"/>
      <c r="AB322" s="1014"/>
      <c r="AC322" s="1014"/>
      <c r="AD322" s="1014"/>
      <c r="AE322" s="1014"/>
      <c r="AF322" s="1014"/>
      <c r="AG322" s="1014"/>
      <c r="AH322" s="1014"/>
      <c r="AI322" s="1014"/>
      <c r="AJ322" s="1014"/>
    </row>
    <row r="323" spans="2:36" x14ac:dyDescent="0.25">
      <c r="B323" s="700"/>
      <c r="C323" s="700"/>
      <c r="D323" s="700"/>
      <c r="E323" s="1014"/>
      <c r="F323" s="1014"/>
      <c r="G323" s="1014"/>
      <c r="H323" s="1014"/>
      <c r="I323" s="1014"/>
      <c r="J323" s="1014"/>
      <c r="K323" s="1014"/>
      <c r="L323" s="1014"/>
      <c r="M323" s="1014"/>
      <c r="N323" s="1014"/>
      <c r="O323" s="1014"/>
      <c r="P323" s="1014"/>
      <c r="Q323" s="1014"/>
      <c r="R323" s="1014"/>
      <c r="S323" s="1014"/>
      <c r="T323" s="1014"/>
      <c r="U323" s="1014"/>
      <c r="V323" s="1014"/>
      <c r="W323" s="1014"/>
      <c r="X323" s="1014"/>
      <c r="Y323" s="1014"/>
      <c r="Z323" s="1014"/>
      <c r="AA323" s="1014"/>
      <c r="AB323" s="1014"/>
      <c r="AC323" s="1014"/>
      <c r="AD323" s="1014"/>
      <c r="AE323" s="1014"/>
      <c r="AF323" s="1014"/>
      <c r="AG323" s="1014"/>
      <c r="AH323" s="1014"/>
      <c r="AI323" s="1014"/>
      <c r="AJ323" s="1014"/>
    </row>
    <row r="324" spans="2:36" x14ac:dyDescent="0.25">
      <c r="B324" s="700"/>
      <c r="C324" s="700"/>
      <c r="D324" s="700"/>
      <c r="E324" s="1014"/>
      <c r="F324" s="1014"/>
      <c r="G324" s="1014"/>
      <c r="H324" s="1014"/>
      <c r="I324" s="1014"/>
      <c r="J324" s="1014"/>
      <c r="K324" s="1014"/>
      <c r="L324" s="1014"/>
      <c r="M324" s="1014"/>
      <c r="N324" s="1014"/>
      <c r="O324" s="1014"/>
      <c r="P324" s="1014"/>
      <c r="Q324" s="1014"/>
      <c r="R324" s="1014"/>
      <c r="S324" s="1014"/>
      <c r="T324" s="1014"/>
      <c r="U324" s="1014"/>
      <c r="V324" s="1014"/>
      <c r="W324" s="1014"/>
      <c r="X324" s="1014"/>
      <c r="Y324" s="1014"/>
      <c r="Z324" s="1014"/>
      <c r="AA324" s="1014"/>
      <c r="AB324" s="1014"/>
      <c r="AC324" s="1014"/>
      <c r="AD324" s="1014"/>
      <c r="AE324" s="1014"/>
      <c r="AF324" s="1014"/>
      <c r="AG324" s="1014"/>
      <c r="AH324" s="1014"/>
      <c r="AI324" s="1014"/>
      <c r="AJ324" s="1014"/>
    </row>
    <row r="325" spans="2:36" x14ac:dyDescent="0.25">
      <c r="B325" s="700"/>
      <c r="C325" s="700"/>
      <c r="D325" s="700"/>
      <c r="E325" s="1014"/>
      <c r="F325" s="1014"/>
      <c r="G325" s="1014"/>
      <c r="H325" s="1014"/>
      <c r="I325" s="1014"/>
      <c r="J325" s="1014"/>
      <c r="K325" s="1014"/>
      <c r="L325" s="1014"/>
      <c r="M325" s="1014"/>
      <c r="N325" s="1014"/>
      <c r="O325" s="1014"/>
      <c r="P325" s="1014"/>
      <c r="Q325" s="1014"/>
      <c r="R325" s="1014"/>
      <c r="S325" s="1014"/>
      <c r="T325" s="1014"/>
      <c r="U325" s="1014"/>
      <c r="V325" s="1014"/>
      <c r="W325" s="1014"/>
      <c r="X325" s="1014"/>
      <c r="Y325" s="1014"/>
      <c r="Z325" s="1014"/>
      <c r="AA325" s="1014"/>
      <c r="AB325" s="1014"/>
      <c r="AC325" s="1014"/>
      <c r="AD325" s="1014"/>
      <c r="AE325" s="1014"/>
      <c r="AF325" s="1014"/>
      <c r="AG325" s="1014"/>
      <c r="AH325" s="1014"/>
      <c r="AI325" s="1014"/>
      <c r="AJ325" s="1014"/>
    </row>
    <row r="326" spans="2:36" x14ac:dyDescent="0.25">
      <c r="B326" s="700"/>
      <c r="C326" s="700"/>
      <c r="D326" s="700"/>
      <c r="E326" s="1014"/>
      <c r="F326" s="1014"/>
      <c r="G326" s="1014"/>
      <c r="H326" s="1014"/>
      <c r="I326" s="1014"/>
      <c r="J326" s="1014"/>
      <c r="K326" s="1014"/>
      <c r="L326" s="1014"/>
      <c r="M326" s="1014"/>
      <c r="N326" s="1014"/>
      <c r="O326" s="1014"/>
      <c r="P326" s="1014"/>
      <c r="Q326" s="1014"/>
      <c r="R326" s="1014"/>
      <c r="S326" s="1014"/>
      <c r="T326" s="1014"/>
      <c r="U326" s="1014"/>
      <c r="V326" s="1014"/>
      <c r="W326" s="1014"/>
      <c r="X326" s="1014"/>
      <c r="Y326" s="1014"/>
      <c r="Z326" s="1014"/>
      <c r="AA326" s="1014"/>
      <c r="AB326" s="1014"/>
      <c r="AC326" s="1014"/>
      <c r="AD326" s="1014"/>
      <c r="AE326" s="1014"/>
      <c r="AF326" s="1014"/>
      <c r="AG326" s="1014"/>
      <c r="AH326" s="1014"/>
      <c r="AI326" s="1014"/>
      <c r="AJ326" s="1014"/>
    </row>
    <row r="327" spans="2:36" x14ac:dyDescent="0.25">
      <c r="B327" s="700"/>
      <c r="C327" s="700"/>
      <c r="D327" s="700"/>
      <c r="E327" s="1014"/>
      <c r="F327" s="1014"/>
      <c r="G327" s="1014"/>
      <c r="H327" s="1014"/>
      <c r="I327" s="1014"/>
      <c r="J327" s="1014"/>
      <c r="K327" s="1014"/>
      <c r="L327" s="1014"/>
      <c r="M327" s="1014"/>
      <c r="N327" s="1014"/>
      <c r="O327" s="1014"/>
      <c r="P327" s="1014"/>
      <c r="Q327" s="1014"/>
      <c r="R327" s="1014"/>
      <c r="S327" s="1014"/>
      <c r="T327" s="1014"/>
      <c r="U327" s="1014"/>
      <c r="V327" s="1014"/>
      <c r="W327" s="1014"/>
      <c r="X327" s="1014"/>
      <c r="Y327" s="1014"/>
      <c r="Z327" s="1014"/>
      <c r="AA327" s="1014"/>
      <c r="AB327" s="1014"/>
      <c r="AC327" s="1014"/>
      <c r="AD327" s="1014"/>
      <c r="AE327" s="1014"/>
      <c r="AF327" s="1014"/>
      <c r="AG327" s="1014"/>
      <c r="AH327" s="1014"/>
      <c r="AI327" s="1014"/>
      <c r="AJ327" s="1014"/>
    </row>
    <row r="328" spans="2:36" x14ac:dyDescent="0.25">
      <c r="B328" s="700"/>
      <c r="C328" s="700"/>
      <c r="D328" s="700"/>
      <c r="E328" s="1014"/>
      <c r="F328" s="1014"/>
      <c r="G328" s="1014"/>
      <c r="H328" s="1014"/>
      <c r="I328" s="1014"/>
      <c r="J328" s="1014"/>
      <c r="K328" s="1014"/>
      <c r="L328" s="1014"/>
      <c r="M328" s="1014"/>
      <c r="N328" s="1014"/>
      <c r="O328" s="1014"/>
      <c r="P328" s="1014"/>
      <c r="Q328" s="1014"/>
      <c r="R328" s="1014"/>
      <c r="S328" s="1014"/>
      <c r="T328" s="1014"/>
      <c r="U328" s="1014"/>
      <c r="V328" s="1014"/>
      <c r="W328" s="1014"/>
      <c r="X328" s="1014"/>
      <c r="Y328" s="1014"/>
      <c r="Z328" s="1014"/>
      <c r="AA328" s="1014"/>
      <c r="AB328" s="1014"/>
      <c r="AC328" s="1014"/>
      <c r="AD328" s="1014"/>
      <c r="AE328" s="1014"/>
      <c r="AF328" s="1014"/>
      <c r="AG328" s="1014"/>
      <c r="AH328" s="1014"/>
      <c r="AI328" s="1014"/>
      <c r="AJ328" s="1014"/>
    </row>
    <row r="329" spans="2:36" x14ac:dyDescent="0.25">
      <c r="B329" s="700"/>
      <c r="C329" s="700"/>
      <c r="D329" s="700"/>
      <c r="E329" s="1014"/>
      <c r="F329" s="1014"/>
      <c r="G329" s="1014"/>
      <c r="H329" s="1014"/>
      <c r="I329" s="1014"/>
      <c r="J329" s="1014"/>
      <c r="K329" s="1014"/>
      <c r="L329" s="1014"/>
      <c r="M329" s="1014"/>
      <c r="N329" s="1014"/>
      <c r="O329" s="1014"/>
      <c r="P329" s="1014"/>
      <c r="Q329" s="1014"/>
      <c r="R329" s="1014"/>
      <c r="S329" s="1014"/>
      <c r="T329" s="1014"/>
      <c r="U329" s="1014"/>
      <c r="V329" s="1014"/>
      <c r="W329" s="1014"/>
      <c r="X329" s="1014"/>
      <c r="Y329" s="1014"/>
      <c r="Z329" s="1014"/>
      <c r="AA329" s="1014"/>
      <c r="AB329" s="1014"/>
      <c r="AC329" s="1014"/>
      <c r="AD329" s="1014"/>
      <c r="AE329" s="1014"/>
      <c r="AF329" s="1014"/>
      <c r="AG329" s="1014"/>
      <c r="AH329" s="1014"/>
      <c r="AI329" s="1014"/>
      <c r="AJ329" s="1014"/>
    </row>
    <row r="330" spans="2:36" x14ac:dyDescent="0.25">
      <c r="B330" s="700"/>
      <c r="C330" s="700"/>
      <c r="D330" s="700"/>
      <c r="E330" s="1014"/>
      <c r="F330" s="1014"/>
      <c r="G330" s="1014"/>
      <c r="H330" s="1014"/>
      <c r="I330" s="1014"/>
      <c r="J330" s="1014"/>
      <c r="K330" s="1014"/>
      <c r="L330" s="1014"/>
      <c r="M330" s="1014"/>
      <c r="N330" s="1014"/>
      <c r="O330" s="1014"/>
      <c r="P330" s="1014"/>
      <c r="Q330" s="1014"/>
      <c r="R330" s="1014"/>
      <c r="S330" s="1014"/>
      <c r="T330" s="1014"/>
      <c r="U330" s="1014"/>
      <c r="V330" s="1014"/>
      <c r="W330" s="1014"/>
      <c r="X330" s="1014"/>
      <c r="Y330" s="1014"/>
      <c r="Z330" s="1014"/>
      <c r="AA330" s="1014"/>
      <c r="AB330" s="1014"/>
      <c r="AC330" s="1014"/>
      <c r="AD330" s="1014"/>
      <c r="AE330" s="1014"/>
      <c r="AF330" s="1014"/>
      <c r="AG330" s="1014"/>
      <c r="AH330" s="1014"/>
      <c r="AI330" s="1014"/>
      <c r="AJ330" s="1014"/>
    </row>
    <row r="331" spans="2:36" x14ac:dyDescent="0.25">
      <c r="B331" s="700"/>
      <c r="C331" s="700"/>
      <c r="D331" s="700"/>
      <c r="E331" s="1014"/>
      <c r="F331" s="1014"/>
      <c r="G331" s="1014"/>
      <c r="H331" s="1014"/>
      <c r="I331" s="1014"/>
      <c r="J331" s="1014"/>
      <c r="K331" s="1014"/>
      <c r="L331" s="1014"/>
      <c r="M331" s="1014"/>
      <c r="N331" s="1014"/>
      <c r="O331" s="1014"/>
      <c r="P331" s="1014"/>
      <c r="Q331" s="1014"/>
      <c r="R331" s="1014"/>
      <c r="S331" s="1014"/>
      <c r="T331" s="1014"/>
      <c r="U331" s="1014"/>
      <c r="V331" s="1014"/>
      <c r="W331" s="1014"/>
      <c r="X331" s="1014"/>
      <c r="Y331" s="1014"/>
      <c r="Z331" s="1014"/>
      <c r="AA331" s="1014"/>
      <c r="AB331" s="1014"/>
      <c r="AC331" s="1014"/>
      <c r="AD331" s="1014"/>
      <c r="AE331" s="1014"/>
      <c r="AF331" s="1014"/>
      <c r="AG331" s="1014"/>
      <c r="AH331" s="1014"/>
      <c r="AI331" s="1014"/>
      <c r="AJ331" s="1014"/>
    </row>
    <row r="332" spans="2:36" x14ac:dyDescent="0.25">
      <c r="B332" s="700"/>
      <c r="C332" s="700"/>
      <c r="D332" s="700"/>
      <c r="E332" s="1014"/>
      <c r="F332" s="1014"/>
      <c r="G332" s="1014"/>
      <c r="H332" s="1014"/>
      <c r="I332" s="1014"/>
      <c r="J332" s="1014"/>
      <c r="K332" s="1014"/>
      <c r="L332" s="1014"/>
      <c r="M332" s="1014"/>
      <c r="N332" s="1014"/>
      <c r="O332" s="1014"/>
      <c r="P332" s="1014"/>
      <c r="Q332" s="1014"/>
      <c r="R332" s="1014"/>
      <c r="S332" s="1014"/>
      <c r="T332" s="1014"/>
      <c r="U332" s="1014"/>
      <c r="V332" s="1014"/>
      <c r="W332" s="1014"/>
      <c r="X332" s="1014"/>
      <c r="Y332" s="1014"/>
      <c r="Z332" s="1014"/>
      <c r="AA332" s="1014"/>
      <c r="AB332" s="1014"/>
      <c r="AC332" s="1014"/>
      <c r="AD332" s="1014"/>
      <c r="AE332" s="1014"/>
      <c r="AF332" s="1014"/>
      <c r="AG332" s="1014"/>
      <c r="AH332" s="1014"/>
      <c r="AI332" s="1014"/>
      <c r="AJ332" s="1014"/>
    </row>
    <row r="333" spans="2:36" x14ac:dyDescent="0.25">
      <c r="B333" s="700"/>
      <c r="C333" s="700"/>
      <c r="D333" s="700"/>
      <c r="E333" s="1014"/>
      <c r="F333" s="1014"/>
      <c r="G333" s="1014"/>
      <c r="H333" s="1014"/>
      <c r="I333" s="1014"/>
      <c r="J333" s="1014"/>
      <c r="K333" s="1014"/>
      <c r="L333" s="1014"/>
      <c r="M333" s="1014"/>
      <c r="N333" s="1014"/>
      <c r="O333" s="1014"/>
      <c r="P333" s="1014"/>
      <c r="Q333" s="1014"/>
      <c r="R333" s="1014"/>
      <c r="S333" s="1014"/>
      <c r="T333" s="1014"/>
      <c r="U333" s="1014"/>
      <c r="V333" s="1014"/>
      <c r="W333" s="1014"/>
      <c r="X333" s="1014"/>
      <c r="Y333" s="1014"/>
      <c r="Z333" s="1014"/>
      <c r="AA333" s="1014"/>
      <c r="AB333" s="1014"/>
      <c r="AC333" s="1014"/>
      <c r="AD333" s="1014"/>
      <c r="AE333" s="1014"/>
      <c r="AF333" s="1014"/>
      <c r="AG333" s="1014"/>
      <c r="AH333" s="1014"/>
      <c r="AI333" s="1014"/>
      <c r="AJ333" s="1014"/>
    </row>
    <row r="334" spans="2:36" x14ac:dyDescent="0.25">
      <c r="B334" s="700"/>
      <c r="C334" s="700"/>
      <c r="D334" s="700"/>
      <c r="E334" s="1014"/>
      <c r="F334" s="1014"/>
      <c r="G334" s="1014"/>
      <c r="H334" s="1014"/>
      <c r="I334" s="1014"/>
      <c r="J334" s="1014"/>
      <c r="K334" s="1014"/>
      <c r="L334" s="1014"/>
      <c r="M334" s="1014"/>
      <c r="N334" s="1014"/>
      <c r="O334" s="1014"/>
      <c r="P334" s="1014"/>
      <c r="Q334" s="1014"/>
      <c r="R334" s="1014"/>
      <c r="S334" s="1014"/>
      <c r="T334" s="1014"/>
      <c r="U334" s="1014"/>
      <c r="V334" s="1014"/>
      <c r="W334" s="1014"/>
      <c r="X334" s="1014"/>
      <c r="Y334" s="1014"/>
      <c r="Z334" s="1014"/>
      <c r="AA334" s="1014"/>
      <c r="AB334" s="1014"/>
      <c r="AC334" s="1014"/>
      <c r="AD334" s="1014"/>
      <c r="AE334" s="1014"/>
      <c r="AF334" s="1014"/>
      <c r="AG334" s="1014"/>
      <c r="AH334" s="1014"/>
      <c r="AI334" s="1014"/>
      <c r="AJ334" s="1014"/>
    </row>
    <row r="335" spans="2:36" x14ac:dyDescent="0.25">
      <c r="B335" s="700"/>
      <c r="C335" s="700"/>
      <c r="D335" s="700"/>
      <c r="E335" s="1014"/>
      <c r="F335" s="1014"/>
      <c r="G335" s="1014"/>
      <c r="H335" s="1014"/>
      <c r="I335" s="1014"/>
      <c r="J335" s="1014"/>
      <c r="K335" s="1014"/>
      <c r="L335" s="1014"/>
      <c r="M335" s="1014"/>
      <c r="N335" s="1014"/>
      <c r="O335" s="1014"/>
      <c r="P335" s="1014"/>
      <c r="Q335" s="1014"/>
      <c r="R335" s="1014"/>
      <c r="S335" s="1014"/>
      <c r="T335" s="1014"/>
      <c r="U335" s="1014"/>
      <c r="V335" s="1014"/>
      <c r="W335" s="1014"/>
      <c r="X335" s="1014"/>
      <c r="Y335" s="1014"/>
      <c r="Z335" s="1014"/>
      <c r="AA335" s="1014"/>
      <c r="AB335" s="1014"/>
      <c r="AC335" s="1014"/>
      <c r="AD335" s="1014"/>
      <c r="AE335" s="1014"/>
      <c r="AF335" s="1014"/>
      <c r="AG335" s="1014"/>
      <c r="AH335" s="1014"/>
      <c r="AI335" s="1014"/>
      <c r="AJ335" s="1014"/>
    </row>
    <row r="336" spans="2:36" x14ac:dyDescent="0.25">
      <c r="B336" s="700"/>
      <c r="C336" s="700"/>
      <c r="D336" s="700"/>
      <c r="E336" s="1014"/>
      <c r="F336" s="1014"/>
      <c r="G336" s="1014"/>
      <c r="H336" s="1014"/>
      <c r="I336" s="1014"/>
      <c r="J336" s="1014"/>
      <c r="K336" s="1014"/>
      <c r="L336" s="1014"/>
      <c r="M336" s="1014"/>
      <c r="N336" s="1014"/>
      <c r="O336" s="1014"/>
      <c r="P336" s="1014"/>
      <c r="Q336" s="1014"/>
      <c r="R336" s="1014"/>
      <c r="S336" s="1014"/>
      <c r="T336" s="1014"/>
      <c r="U336" s="1014"/>
      <c r="V336" s="1014"/>
      <c r="W336" s="1014"/>
      <c r="X336" s="1014"/>
      <c r="Y336" s="1014"/>
      <c r="Z336" s="1014"/>
      <c r="AA336" s="1014"/>
      <c r="AB336" s="1014"/>
      <c r="AC336" s="1014"/>
      <c r="AD336" s="1014"/>
      <c r="AE336" s="1014"/>
      <c r="AF336" s="1014"/>
      <c r="AG336" s="1014"/>
      <c r="AH336" s="1014"/>
      <c r="AI336" s="1014"/>
      <c r="AJ336" s="1014"/>
    </row>
    <row r="337" spans="2:36" x14ac:dyDescent="0.25">
      <c r="B337" s="700"/>
      <c r="C337" s="700"/>
      <c r="D337" s="700"/>
      <c r="E337" s="1014"/>
      <c r="F337" s="1014"/>
      <c r="G337" s="1014"/>
      <c r="H337" s="1014"/>
      <c r="I337" s="1014"/>
      <c r="J337" s="1014"/>
      <c r="K337" s="1014"/>
      <c r="L337" s="1014"/>
      <c r="M337" s="1014"/>
      <c r="N337" s="1014"/>
      <c r="O337" s="1014"/>
      <c r="P337" s="1014"/>
      <c r="Q337" s="1014"/>
      <c r="R337" s="1014"/>
      <c r="S337" s="1014"/>
      <c r="T337" s="1014"/>
      <c r="U337" s="1014"/>
      <c r="V337" s="1014"/>
      <c r="W337" s="1014"/>
      <c r="X337" s="1014"/>
      <c r="Y337" s="1014"/>
      <c r="Z337" s="1014"/>
      <c r="AA337" s="1014"/>
      <c r="AB337" s="1014"/>
      <c r="AC337" s="1014"/>
      <c r="AD337" s="1014"/>
      <c r="AE337" s="1014"/>
      <c r="AF337" s="1014"/>
      <c r="AG337" s="1014"/>
      <c r="AH337" s="1014"/>
      <c r="AI337" s="1014"/>
      <c r="AJ337" s="1014"/>
    </row>
    <row r="338" spans="2:36" x14ac:dyDescent="0.25">
      <c r="B338" s="700"/>
      <c r="C338" s="700"/>
      <c r="D338" s="700"/>
      <c r="E338" s="1014"/>
      <c r="F338" s="1014"/>
      <c r="G338" s="1014"/>
      <c r="H338" s="1014"/>
      <c r="I338" s="1014"/>
      <c r="J338" s="1014"/>
      <c r="K338" s="1014"/>
      <c r="L338" s="1014"/>
      <c r="M338" s="1014"/>
      <c r="N338" s="1014"/>
      <c r="O338" s="1014"/>
      <c r="P338" s="1014"/>
      <c r="Q338" s="1014"/>
      <c r="R338" s="1014"/>
      <c r="S338" s="1014"/>
      <c r="T338" s="1014"/>
      <c r="U338" s="1014"/>
      <c r="V338" s="1014"/>
      <c r="W338" s="1014"/>
      <c r="X338" s="1014"/>
      <c r="Y338" s="1014"/>
      <c r="Z338" s="1014"/>
      <c r="AA338" s="1014"/>
      <c r="AB338" s="1014"/>
      <c r="AC338" s="1014"/>
      <c r="AD338" s="1014"/>
      <c r="AE338" s="1014"/>
      <c r="AF338" s="1014"/>
      <c r="AG338" s="1014"/>
      <c r="AH338" s="1014"/>
      <c r="AI338" s="1014"/>
      <c r="AJ338" s="1014"/>
    </row>
    <row r="339" spans="2:36" x14ac:dyDescent="0.25">
      <c r="B339" s="700"/>
      <c r="C339" s="700"/>
      <c r="D339" s="700"/>
      <c r="E339" s="1014"/>
      <c r="F339" s="1014"/>
      <c r="G339" s="1014"/>
      <c r="H339" s="1014"/>
      <c r="I339" s="1014"/>
      <c r="J339" s="1014"/>
      <c r="K339" s="1014"/>
      <c r="L339" s="1014"/>
      <c r="M339" s="1014"/>
      <c r="N339" s="1014"/>
      <c r="O339" s="1014"/>
      <c r="P339" s="1014"/>
      <c r="Q339" s="1014"/>
      <c r="R339" s="1014"/>
      <c r="S339" s="1014"/>
      <c r="T339" s="1014"/>
      <c r="U339" s="1014"/>
      <c r="V339" s="1014"/>
      <c r="W339" s="1014"/>
      <c r="X339" s="1014"/>
      <c r="Y339" s="1014"/>
      <c r="Z339" s="1014"/>
      <c r="AA339" s="1014"/>
      <c r="AB339" s="1014"/>
      <c r="AC339" s="1014"/>
      <c r="AD339" s="1014"/>
      <c r="AE339" s="1014"/>
      <c r="AF339" s="1014"/>
      <c r="AG339" s="1014"/>
      <c r="AH339" s="1014"/>
      <c r="AI339" s="1014"/>
      <c r="AJ339" s="1014"/>
    </row>
    <row r="340" spans="2:36" x14ac:dyDescent="0.25">
      <c r="B340" s="700"/>
      <c r="C340" s="700"/>
      <c r="D340" s="700"/>
      <c r="E340" s="1014"/>
      <c r="F340" s="1014"/>
      <c r="G340" s="1014"/>
      <c r="H340" s="1014"/>
      <c r="I340" s="1014"/>
      <c r="J340" s="1014"/>
      <c r="K340" s="1014"/>
      <c r="L340" s="1014"/>
      <c r="M340" s="1014"/>
      <c r="N340" s="1014"/>
      <c r="O340" s="1014"/>
      <c r="P340" s="1014"/>
      <c r="Q340" s="1014"/>
      <c r="R340" s="1014"/>
      <c r="S340" s="1014"/>
      <c r="T340" s="1014"/>
      <c r="U340" s="1014"/>
      <c r="V340" s="1014"/>
      <c r="W340" s="1014"/>
      <c r="X340" s="1014"/>
      <c r="Y340" s="1014"/>
      <c r="Z340" s="1014"/>
      <c r="AA340" s="1014"/>
      <c r="AB340" s="1014"/>
      <c r="AC340" s="1014"/>
      <c r="AD340" s="1014"/>
      <c r="AE340" s="1014"/>
      <c r="AF340" s="1014"/>
      <c r="AG340" s="1014"/>
      <c r="AH340" s="1014"/>
      <c r="AI340" s="1014"/>
      <c r="AJ340" s="1014"/>
    </row>
    <row r="341" spans="2:36" x14ac:dyDescent="0.25">
      <c r="B341" s="700"/>
      <c r="C341" s="700"/>
      <c r="D341" s="700"/>
      <c r="E341" s="1014"/>
      <c r="F341" s="1014"/>
      <c r="G341" s="1014"/>
      <c r="H341" s="1014"/>
      <c r="I341" s="1014"/>
      <c r="J341" s="1014"/>
      <c r="K341" s="1014"/>
      <c r="L341" s="1014"/>
      <c r="M341" s="1014"/>
      <c r="N341" s="1014"/>
      <c r="O341" s="1014"/>
      <c r="P341" s="1014"/>
      <c r="Q341" s="1014"/>
      <c r="R341" s="1014"/>
      <c r="S341" s="1014"/>
      <c r="T341" s="1014"/>
      <c r="U341" s="1014"/>
      <c r="V341" s="1014"/>
      <c r="W341" s="1014"/>
      <c r="X341" s="1014"/>
      <c r="Y341" s="1014"/>
      <c r="Z341" s="1014"/>
      <c r="AA341" s="1014"/>
      <c r="AB341" s="1014"/>
      <c r="AC341" s="1014"/>
      <c r="AD341" s="1014"/>
      <c r="AE341" s="1014"/>
      <c r="AF341" s="1014"/>
      <c r="AG341" s="1014"/>
      <c r="AH341" s="1014"/>
      <c r="AI341" s="1014"/>
      <c r="AJ341" s="1014"/>
    </row>
    <row r="342" spans="2:36" x14ac:dyDescent="0.25">
      <c r="B342" s="700"/>
      <c r="C342" s="700"/>
      <c r="D342" s="700"/>
      <c r="E342" s="1014"/>
      <c r="F342" s="1014"/>
      <c r="G342" s="1014"/>
      <c r="H342" s="1014"/>
      <c r="I342" s="1014"/>
      <c r="J342" s="1014"/>
      <c r="K342" s="1014"/>
      <c r="L342" s="1014"/>
      <c r="M342" s="1014"/>
      <c r="N342" s="1014"/>
      <c r="O342" s="1014"/>
      <c r="P342" s="1014"/>
      <c r="Q342" s="1014"/>
      <c r="R342" s="1014"/>
      <c r="S342" s="1014"/>
      <c r="T342" s="1014"/>
      <c r="U342" s="1014"/>
      <c r="V342" s="1014"/>
      <c r="W342" s="1014"/>
      <c r="X342" s="1014"/>
      <c r="Y342" s="1014"/>
      <c r="Z342" s="1014"/>
      <c r="AA342" s="1014"/>
      <c r="AB342" s="1014"/>
      <c r="AC342" s="1014"/>
      <c r="AD342" s="1014"/>
      <c r="AE342" s="1014"/>
      <c r="AF342" s="1014"/>
      <c r="AG342" s="1014"/>
      <c r="AH342" s="1014"/>
      <c r="AI342" s="1014"/>
      <c r="AJ342" s="1014"/>
    </row>
    <row r="343" spans="2:36" x14ac:dyDescent="0.25">
      <c r="B343" s="700"/>
      <c r="C343" s="700"/>
      <c r="D343" s="700"/>
      <c r="E343" s="1014"/>
      <c r="F343" s="1014"/>
      <c r="G343" s="1014"/>
      <c r="H343" s="1014"/>
      <c r="I343" s="1014"/>
      <c r="J343" s="1014"/>
      <c r="K343" s="1014"/>
      <c r="L343" s="1014"/>
      <c r="M343" s="1014"/>
      <c r="N343" s="1014"/>
      <c r="O343" s="1014"/>
      <c r="P343" s="1014"/>
      <c r="Q343" s="1014"/>
      <c r="R343" s="1014"/>
      <c r="S343" s="1014"/>
      <c r="T343" s="1014"/>
      <c r="U343" s="1014"/>
      <c r="V343" s="1014"/>
      <c r="W343" s="1014"/>
      <c r="X343" s="1014"/>
      <c r="Y343" s="1014"/>
      <c r="Z343" s="1014"/>
      <c r="AA343" s="1014"/>
      <c r="AB343" s="1014"/>
      <c r="AC343" s="1014"/>
      <c r="AD343" s="1014"/>
      <c r="AE343" s="1014"/>
      <c r="AF343" s="1014"/>
      <c r="AG343" s="1014"/>
      <c r="AH343" s="1014"/>
      <c r="AI343" s="1014"/>
      <c r="AJ343" s="1014"/>
    </row>
    <row r="344" spans="2:36" x14ac:dyDescent="0.25">
      <c r="B344" s="700"/>
      <c r="C344" s="700"/>
      <c r="D344" s="700"/>
      <c r="E344" s="1014"/>
      <c r="F344" s="1014"/>
      <c r="G344" s="1014"/>
      <c r="H344" s="1014"/>
      <c r="I344" s="1014"/>
      <c r="J344" s="1014"/>
      <c r="K344" s="1014"/>
      <c r="L344" s="1014"/>
      <c r="M344" s="1014"/>
      <c r="N344" s="1014"/>
      <c r="O344" s="1014"/>
      <c r="P344" s="1014"/>
      <c r="Q344" s="1014"/>
      <c r="R344" s="1014"/>
      <c r="S344" s="1014"/>
      <c r="T344" s="1014"/>
      <c r="U344" s="1014"/>
      <c r="V344" s="1014"/>
      <c r="W344" s="1014"/>
      <c r="X344" s="1014"/>
      <c r="Y344" s="1014"/>
      <c r="Z344" s="1014"/>
      <c r="AA344" s="1014"/>
      <c r="AB344" s="1014"/>
      <c r="AC344" s="1014"/>
      <c r="AD344" s="1014"/>
      <c r="AE344" s="1014"/>
      <c r="AF344" s="1014"/>
      <c r="AG344" s="1014"/>
      <c r="AH344" s="1014"/>
      <c r="AI344" s="1014"/>
      <c r="AJ344" s="1014"/>
    </row>
    <row r="345" spans="2:36" x14ac:dyDescent="0.25">
      <c r="B345" s="700"/>
      <c r="C345" s="700"/>
      <c r="D345" s="700"/>
      <c r="E345" s="1014"/>
      <c r="F345" s="1014"/>
      <c r="G345" s="1014"/>
      <c r="H345" s="1014"/>
      <c r="I345" s="1014"/>
      <c r="J345" s="1014"/>
      <c r="K345" s="1014"/>
      <c r="L345" s="1014"/>
      <c r="M345" s="1014"/>
      <c r="N345" s="1014"/>
      <c r="O345" s="1014"/>
      <c r="P345" s="1014"/>
      <c r="Q345" s="1014"/>
      <c r="R345" s="1014"/>
      <c r="S345" s="1014"/>
      <c r="T345" s="1014"/>
      <c r="U345" s="1014"/>
      <c r="V345" s="1014"/>
      <c r="W345" s="1014"/>
      <c r="X345" s="1014"/>
      <c r="Y345" s="1014"/>
      <c r="Z345" s="1014"/>
      <c r="AA345" s="1014"/>
      <c r="AB345" s="1014"/>
      <c r="AC345" s="1014"/>
      <c r="AD345" s="1014"/>
      <c r="AE345" s="1014"/>
      <c r="AF345" s="1014"/>
      <c r="AG345" s="1014"/>
      <c r="AH345" s="1014"/>
      <c r="AI345" s="1014"/>
      <c r="AJ345" s="1014"/>
    </row>
    <row r="346" spans="2:36" x14ac:dyDescent="0.25">
      <c r="B346" s="700"/>
      <c r="C346" s="700"/>
      <c r="D346" s="700"/>
      <c r="E346" s="1014"/>
      <c r="F346" s="1014"/>
      <c r="G346" s="1014"/>
      <c r="H346" s="1014"/>
      <c r="I346" s="1014"/>
      <c r="J346" s="1014"/>
      <c r="K346" s="1014"/>
      <c r="L346" s="1014"/>
      <c r="M346" s="1014"/>
      <c r="N346" s="1014"/>
      <c r="O346" s="1014"/>
      <c r="P346" s="1014"/>
      <c r="Q346" s="1014"/>
      <c r="R346" s="1014"/>
      <c r="S346" s="1014"/>
      <c r="T346" s="1014"/>
      <c r="U346" s="1014"/>
      <c r="V346" s="1014"/>
      <c r="W346" s="1014"/>
      <c r="X346" s="1014"/>
      <c r="Y346" s="1014"/>
      <c r="Z346" s="1014"/>
      <c r="AA346" s="1014"/>
      <c r="AB346" s="1014"/>
      <c r="AC346" s="1014"/>
      <c r="AD346" s="1014"/>
      <c r="AE346" s="1014"/>
      <c r="AF346" s="1014"/>
      <c r="AG346" s="1014"/>
      <c r="AH346" s="1014"/>
      <c r="AI346" s="1014"/>
      <c r="AJ346" s="1014"/>
    </row>
    <row r="347" spans="2:36" x14ac:dyDescent="0.25">
      <c r="B347" s="700"/>
      <c r="C347" s="700"/>
      <c r="D347" s="700"/>
      <c r="E347" s="1014"/>
      <c r="F347" s="1014"/>
      <c r="G347" s="1014"/>
      <c r="H347" s="1014"/>
      <c r="I347" s="1014"/>
      <c r="J347" s="1014"/>
      <c r="K347" s="1014"/>
      <c r="L347" s="1014"/>
      <c r="M347" s="1014"/>
      <c r="N347" s="1014"/>
      <c r="O347" s="1014"/>
      <c r="P347" s="1014"/>
      <c r="Q347" s="1014"/>
      <c r="R347" s="1014"/>
      <c r="S347" s="1014"/>
      <c r="T347" s="1014"/>
      <c r="U347" s="1014"/>
      <c r="V347" s="1014"/>
      <c r="W347" s="1014"/>
      <c r="X347" s="1014"/>
      <c r="Y347" s="1014"/>
      <c r="Z347" s="1014"/>
      <c r="AA347" s="1014"/>
      <c r="AB347" s="1014"/>
      <c r="AC347" s="1014"/>
      <c r="AD347" s="1014"/>
      <c r="AE347" s="1014"/>
      <c r="AF347" s="1014"/>
      <c r="AG347" s="1014"/>
      <c r="AH347" s="1014"/>
      <c r="AI347" s="1014"/>
      <c r="AJ347" s="1014"/>
    </row>
    <row r="348" spans="2:36" x14ac:dyDescent="0.25">
      <c r="B348" s="700"/>
      <c r="C348" s="700"/>
      <c r="D348" s="700"/>
      <c r="E348" s="1014"/>
      <c r="F348" s="1014"/>
      <c r="G348" s="1014"/>
      <c r="H348" s="1014"/>
      <c r="I348" s="1014"/>
      <c r="J348" s="1014"/>
      <c r="K348" s="1014"/>
      <c r="L348" s="1014"/>
      <c r="M348" s="1014"/>
      <c r="N348" s="1014"/>
      <c r="O348" s="1014"/>
      <c r="P348" s="1014"/>
      <c r="Q348" s="1014"/>
      <c r="R348" s="1014"/>
      <c r="S348" s="1014"/>
      <c r="T348" s="1014"/>
      <c r="U348" s="1014"/>
      <c r="V348" s="1014"/>
      <c r="W348" s="1014"/>
      <c r="X348" s="1014"/>
      <c r="Y348" s="1014"/>
      <c r="Z348" s="1014"/>
      <c r="AA348" s="1014"/>
      <c r="AB348" s="1014"/>
      <c r="AC348" s="1014"/>
      <c r="AD348" s="1014"/>
      <c r="AE348" s="1014"/>
      <c r="AF348" s="1014"/>
      <c r="AG348" s="1014"/>
      <c r="AH348" s="1014"/>
      <c r="AI348" s="1014"/>
      <c r="AJ348" s="1014"/>
    </row>
    <row r="349" spans="2:36" x14ac:dyDescent="0.25">
      <c r="B349" s="700"/>
      <c r="C349" s="700"/>
      <c r="D349" s="700"/>
      <c r="E349" s="1014"/>
      <c r="F349" s="1014"/>
      <c r="G349" s="1014"/>
      <c r="H349" s="1014"/>
      <c r="I349" s="1014"/>
      <c r="J349" s="1014"/>
      <c r="K349" s="1014"/>
      <c r="L349" s="1014"/>
      <c r="M349" s="1014"/>
      <c r="N349" s="1014"/>
      <c r="O349" s="1014"/>
      <c r="P349" s="1014"/>
      <c r="Q349" s="1014"/>
      <c r="R349" s="1014"/>
      <c r="S349" s="1014"/>
      <c r="T349" s="1014"/>
      <c r="U349" s="1014"/>
      <c r="V349" s="1014"/>
      <c r="W349" s="1014"/>
      <c r="X349" s="1014"/>
      <c r="Y349" s="1014"/>
      <c r="Z349" s="1014"/>
      <c r="AA349" s="1014"/>
      <c r="AB349" s="1014"/>
      <c r="AC349" s="1014"/>
      <c r="AD349" s="1014"/>
      <c r="AE349" s="1014"/>
      <c r="AF349" s="1014"/>
      <c r="AG349" s="1014"/>
      <c r="AH349" s="1014"/>
      <c r="AI349" s="1014"/>
      <c r="AJ349" s="1014"/>
    </row>
    <row r="350" spans="2:36" x14ac:dyDescent="0.25">
      <c r="B350" s="700"/>
      <c r="C350" s="700"/>
      <c r="D350" s="700"/>
      <c r="E350" s="1014"/>
      <c r="F350" s="1014"/>
      <c r="G350" s="1014"/>
      <c r="H350" s="1014"/>
      <c r="I350" s="1014"/>
      <c r="J350" s="1014"/>
      <c r="K350" s="1014"/>
      <c r="L350" s="1014"/>
      <c r="M350" s="1014"/>
      <c r="N350" s="1014"/>
      <c r="O350" s="1014"/>
      <c r="P350" s="1014"/>
      <c r="Q350" s="1014"/>
      <c r="R350" s="1014"/>
      <c r="S350" s="1014"/>
      <c r="T350" s="1014"/>
      <c r="U350" s="1014"/>
      <c r="V350" s="1014"/>
      <c r="W350" s="1014"/>
      <c r="X350" s="1014"/>
      <c r="Y350" s="1014"/>
      <c r="Z350" s="1014"/>
      <c r="AA350" s="1014"/>
      <c r="AB350" s="1014"/>
      <c r="AC350" s="1014"/>
      <c r="AD350" s="1014"/>
      <c r="AE350" s="1014"/>
      <c r="AF350" s="1014"/>
      <c r="AG350" s="1014"/>
      <c r="AH350" s="1014"/>
      <c r="AI350" s="1014"/>
      <c r="AJ350" s="1014"/>
    </row>
    <row r="351" spans="2:36" x14ac:dyDescent="0.25">
      <c r="B351" s="700"/>
      <c r="C351" s="700"/>
      <c r="D351" s="700"/>
      <c r="E351" s="1014"/>
      <c r="F351" s="1014"/>
      <c r="G351" s="1014"/>
      <c r="H351" s="1014"/>
      <c r="I351" s="1014"/>
      <c r="J351" s="1014"/>
      <c r="K351" s="1014"/>
      <c r="L351" s="1014"/>
      <c r="M351" s="1014"/>
      <c r="N351" s="1014"/>
      <c r="O351" s="1014"/>
      <c r="P351" s="1014"/>
      <c r="Q351" s="1014"/>
      <c r="R351" s="1014"/>
      <c r="S351" s="1014"/>
      <c r="T351" s="1014"/>
      <c r="U351" s="1014"/>
      <c r="V351" s="1014"/>
      <c r="W351" s="1014"/>
      <c r="X351" s="1014"/>
      <c r="Y351" s="1014"/>
      <c r="Z351" s="1014"/>
      <c r="AA351" s="1014"/>
      <c r="AB351" s="1014"/>
      <c r="AC351" s="1014"/>
      <c r="AD351" s="1014"/>
      <c r="AE351" s="1014"/>
      <c r="AF351" s="1014"/>
      <c r="AG351" s="1014"/>
      <c r="AH351" s="1014"/>
      <c r="AI351" s="1014"/>
      <c r="AJ351" s="1014"/>
    </row>
    <row r="352" spans="2:36" x14ac:dyDescent="0.25">
      <c r="B352" s="700"/>
      <c r="C352" s="700"/>
      <c r="D352" s="700"/>
      <c r="E352" s="1014"/>
      <c r="F352" s="1014"/>
      <c r="G352" s="1014"/>
      <c r="H352" s="1014"/>
      <c r="I352" s="1014"/>
      <c r="J352" s="1014"/>
      <c r="K352" s="1014"/>
      <c r="L352" s="1014"/>
      <c r="M352" s="1014"/>
      <c r="N352" s="1014"/>
      <c r="O352" s="1014"/>
      <c r="P352" s="1014"/>
      <c r="Q352" s="1014"/>
      <c r="R352" s="1014"/>
      <c r="S352" s="1014"/>
      <c r="T352" s="1014"/>
      <c r="U352" s="1014"/>
      <c r="V352" s="1014"/>
      <c r="W352" s="1014"/>
      <c r="X352" s="1014"/>
      <c r="Y352" s="1014"/>
      <c r="Z352" s="1014"/>
      <c r="AA352" s="1014"/>
      <c r="AB352" s="1014"/>
      <c r="AC352" s="1014"/>
      <c r="AD352" s="1014"/>
      <c r="AE352" s="1014"/>
      <c r="AF352" s="1014"/>
      <c r="AG352" s="1014"/>
      <c r="AH352" s="1014"/>
      <c r="AI352" s="1014"/>
      <c r="AJ352" s="1014"/>
    </row>
    <row r="353" spans="2:36" x14ac:dyDescent="0.25">
      <c r="B353" s="700"/>
      <c r="C353" s="700"/>
      <c r="D353" s="700"/>
      <c r="E353" s="1014"/>
      <c r="F353" s="1014"/>
      <c r="G353" s="1014"/>
      <c r="H353" s="1014"/>
      <c r="I353" s="1014"/>
      <c r="J353" s="1014"/>
      <c r="K353" s="1014"/>
      <c r="L353" s="1014"/>
      <c r="M353" s="1014"/>
      <c r="N353" s="1014"/>
      <c r="O353" s="1014"/>
      <c r="P353" s="1014"/>
      <c r="Q353" s="1014"/>
      <c r="R353" s="1014"/>
      <c r="S353" s="1014"/>
      <c r="T353" s="1014"/>
      <c r="U353" s="1014"/>
      <c r="V353" s="1014"/>
      <c r="W353" s="1014"/>
      <c r="X353" s="1014"/>
      <c r="Y353" s="1014"/>
      <c r="Z353" s="1014"/>
      <c r="AA353" s="1014"/>
      <c r="AB353" s="1014"/>
      <c r="AC353" s="1014"/>
      <c r="AD353" s="1014"/>
      <c r="AE353" s="1014"/>
      <c r="AF353" s="1014"/>
      <c r="AG353" s="1014"/>
      <c r="AH353" s="1014"/>
      <c r="AI353" s="1014"/>
      <c r="AJ353" s="1014"/>
    </row>
    <row r="354" spans="2:36" x14ac:dyDescent="0.25">
      <c r="B354" s="700"/>
      <c r="C354" s="700"/>
      <c r="D354" s="700"/>
      <c r="E354" s="1014"/>
      <c r="F354" s="1014"/>
      <c r="G354" s="1014"/>
      <c r="H354" s="1014"/>
      <c r="I354" s="1014"/>
      <c r="J354" s="1014"/>
      <c r="K354" s="1014"/>
      <c r="L354" s="1014"/>
      <c r="M354" s="1014"/>
      <c r="N354" s="1014"/>
      <c r="O354" s="1014"/>
      <c r="P354" s="1014"/>
      <c r="Q354" s="1014"/>
      <c r="R354" s="1014"/>
      <c r="S354" s="1014"/>
      <c r="T354" s="1014"/>
      <c r="U354" s="1014"/>
      <c r="V354" s="1014"/>
      <c r="W354" s="1014"/>
      <c r="X354" s="1014"/>
      <c r="Y354" s="1014"/>
      <c r="Z354" s="1014"/>
      <c r="AA354" s="1014"/>
      <c r="AB354" s="1014"/>
      <c r="AC354" s="1014"/>
      <c r="AD354" s="1014"/>
      <c r="AE354" s="1014"/>
      <c r="AF354" s="1014"/>
      <c r="AG354" s="1014"/>
      <c r="AH354" s="1014"/>
      <c r="AI354" s="1014"/>
      <c r="AJ354" s="1014"/>
    </row>
    <row r="355" spans="2:36" x14ac:dyDescent="0.25">
      <c r="B355" s="700"/>
      <c r="C355" s="700"/>
      <c r="D355" s="700"/>
      <c r="E355" s="1014"/>
      <c r="F355" s="1014"/>
      <c r="G355" s="1014"/>
      <c r="H355" s="1014"/>
      <c r="I355" s="1014"/>
      <c r="J355" s="1014"/>
      <c r="K355" s="1014"/>
      <c r="L355" s="1014"/>
      <c r="M355" s="1014"/>
      <c r="N355" s="1014"/>
      <c r="O355" s="1014"/>
      <c r="P355" s="1014"/>
      <c r="Q355" s="1014"/>
      <c r="R355" s="1014"/>
      <c r="S355" s="1014"/>
      <c r="T355" s="1014"/>
      <c r="U355" s="1014"/>
      <c r="V355" s="1014"/>
      <c r="W355" s="1014"/>
      <c r="X355" s="1014"/>
      <c r="Y355" s="1014"/>
      <c r="Z355" s="1014"/>
      <c r="AA355" s="1014"/>
      <c r="AB355" s="1014"/>
      <c r="AC355" s="1014"/>
      <c r="AD355" s="1014"/>
      <c r="AE355" s="1014"/>
      <c r="AF355" s="1014"/>
      <c r="AG355" s="1014"/>
      <c r="AH355" s="1014"/>
      <c r="AI355" s="1014"/>
      <c r="AJ355" s="1014"/>
    </row>
    <row r="356" spans="2:36" x14ac:dyDescent="0.25">
      <c r="B356" s="700"/>
      <c r="C356" s="700"/>
      <c r="D356" s="700"/>
      <c r="E356" s="1014"/>
      <c r="F356" s="1014"/>
      <c r="G356" s="1014"/>
      <c r="H356" s="1014"/>
      <c r="I356" s="1014"/>
      <c r="J356" s="1014"/>
      <c r="K356" s="1014"/>
      <c r="L356" s="1014"/>
      <c r="M356" s="1014"/>
      <c r="N356" s="1014"/>
      <c r="O356" s="1014"/>
      <c r="P356" s="1014"/>
      <c r="Q356" s="1014"/>
      <c r="R356" s="1014"/>
      <c r="S356" s="1014"/>
      <c r="T356" s="1014"/>
      <c r="U356" s="1014"/>
      <c r="V356" s="1014"/>
      <c r="W356" s="1014"/>
      <c r="X356" s="1014"/>
      <c r="Y356" s="1014"/>
      <c r="Z356" s="1014"/>
      <c r="AA356" s="1014"/>
      <c r="AB356" s="1014"/>
      <c r="AC356" s="1014"/>
      <c r="AD356" s="1014"/>
      <c r="AE356" s="1014"/>
      <c r="AF356" s="1014"/>
      <c r="AG356" s="1014"/>
      <c r="AH356" s="1014"/>
      <c r="AI356" s="1014"/>
      <c r="AJ356" s="1014"/>
    </row>
    <row r="357" spans="2:36" x14ac:dyDescent="0.25">
      <c r="B357" s="700"/>
      <c r="C357" s="700"/>
      <c r="D357" s="700"/>
      <c r="E357" s="1014"/>
      <c r="F357" s="1014"/>
      <c r="G357" s="1014"/>
      <c r="H357" s="1014"/>
      <c r="I357" s="1014"/>
      <c r="J357" s="1014"/>
      <c r="K357" s="1014"/>
      <c r="L357" s="1014"/>
      <c r="M357" s="1014"/>
      <c r="N357" s="1014"/>
      <c r="O357" s="1014"/>
      <c r="P357" s="1014"/>
      <c r="Q357" s="1014"/>
      <c r="R357" s="1014"/>
      <c r="S357" s="1014"/>
      <c r="T357" s="1014"/>
      <c r="U357" s="1014"/>
      <c r="V357" s="1014"/>
      <c r="W357" s="1014"/>
      <c r="X357" s="1014"/>
      <c r="Y357" s="1014"/>
      <c r="Z357" s="1014"/>
      <c r="AA357" s="1014"/>
      <c r="AB357" s="1014"/>
      <c r="AC357" s="1014"/>
      <c r="AD357" s="1014"/>
      <c r="AE357" s="1014"/>
      <c r="AF357" s="1014"/>
      <c r="AG357" s="1014"/>
      <c r="AH357" s="1014"/>
      <c r="AI357" s="1014"/>
      <c r="AJ357" s="1014"/>
    </row>
    <row r="358" spans="2:36" x14ac:dyDescent="0.25">
      <c r="B358" s="700"/>
      <c r="C358" s="700"/>
      <c r="D358" s="700"/>
      <c r="E358" s="1014"/>
      <c r="F358" s="1014"/>
      <c r="G358" s="1014"/>
      <c r="H358" s="1014"/>
      <c r="I358" s="1014"/>
      <c r="J358" s="1014"/>
      <c r="K358" s="1014"/>
      <c r="L358" s="1014"/>
      <c r="M358" s="1014"/>
      <c r="N358" s="1014"/>
      <c r="O358" s="1014"/>
      <c r="P358" s="1014"/>
      <c r="Q358" s="1014"/>
      <c r="R358" s="1014"/>
      <c r="S358" s="1014"/>
      <c r="T358" s="1014"/>
      <c r="U358" s="1014"/>
      <c r="V358" s="1014"/>
      <c r="W358" s="1014"/>
      <c r="X358" s="1014"/>
      <c r="Y358" s="1014"/>
      <c r="Z358" s="1014"/>
      <c r="AA358" s="1014"/>
      <c r="AB358" s="1014"/>
      <c r="AC358" s="1014"/>
      <c r="AD358" s="1014"/>
      <c r="AE358" s="1014"/>
      <c r="AF358" s="1014"/>
      <c r="AG358" s="1014"/>
      <c r="AH358" s="1014"/>
      <c r="AI358" s="1014"/>
      <c r="AJ358" s="1014"/>
    </row>
    <row r="359" spans="2:36" x14ac:dyDescent="0.25">
      <c r="B359" s="700"/>
      <c r="C359" s="700"/>
      <c r="D359" s="700"/>
      <c r="E359" s="1014"/>
      <c r="F359" s="1014"/>
      <c r="G359" s="1014"/>
      <c r="H359" s="1014"/>
      <c r="I359" s="1014"/>
      <c r="J359" s="1014"/>
      <c r="K359" s="1014"/>
      <c r="L359" s="1014"/>
      <c r="M359" s="1014"/>
      <c r="N359" s="1014"/>
      <c r="O359" s="1014"/>
      <c r="P359" s="1014"/>
      <c r="Q359" s="1014"/>
      <c r="R359" s="1014"/>
      <c r="S359" s="1014"/>
      <c r="T359" s="1014"/>
      <c r="U359" s="1014"/>
      <c r="V359" s="1014"/>
      <c r="W359" s="1014"/>
      <c r="X359" s="1014"/>
      <c r="Y359" s="1014"/>
      <c r="Z359" s="1014"/>
      <c r="AA359" s="1014"/>
      <c r="AB359" s="1014"/>
      <c r="AC359" s="1014"/>
      <c r="AD359" s="1014"/>
      <c r="AE359" s="1014"/>
      <c r="AF359" s="1014"/>
      <c r="AG359" s="1014"/>
      <c r="AH359" s="1014"/>
      <c r="AI359" s="1014"/>
      <c r="AJ359" s="1014"/>
    </row>
    <row r="360" spans="2:36" x14ac:dyDescent="0.25">
      <c r="B360" s="700"/>
      <c r="C360" s="700"/>
      <c r="D360" s="700"/>
      <c r="E360" s="1014"/>
      <c r="F360" s="1014"/>
      <c r="G360" s="1014"/>
      <c r="H360" s="1014"/>
      <c r="I360" s="1014"/>
      <c r="J360" s="1014"/>
      <c r="K360" s="1014"/>
      <c r="L360" s="1014"/>
      <c r="M360" s="1014"/>
      <c r="N360" s="1014"/>
      <c r="O360" s="1014"/>
      <c r="P360" s="1014"/>
      <c r="Q360" s="1014"/>
      <c r="R360" s="1014"/>
      <c r="S360" s="1014"/>
      <c r="T360" s="1014"/>
      <c r="U360" s="1014"/>
      <c r="V360" s="1014"/>
      <c r="W360" s="1014"/>
      <c r="X360" s="1014"/>
      <c r="Y360" s="1014"/>
      <c r="Z360" s="1014"/>
      <c r="AA360" s="1014"/>
      <c r="AB360" s="1014"/>
      <c r="AC360" s="1014"/>
      <c r="AD360" s="1014"/>
      <c r="AE360" s="1014"/>
      <c r="AF360" s="1014"/>
      <c r="AG360" s="1014"/>
      <c r="AH360" s="1014"/>
      <c r="AI360" s="1014"/>
      <c r="AJ360" s="1014"/>
    </row>
    <row r="361" spans="2:36" x14ac:dyDescent="0.25">
      <c r="B361" s="700"/>
      <c r="C361" s="700"/>
      <c r="D361" s="700"/>
      <c r="E361" s="1014"/>
      <c r="F361" s="1014"/>
      <c r="G361" s="1014"/>
      <c r="H361" s="1014"/>
      <c r="I361" s="1014"/>
      <c r="J361" s="1014"/>
      <c r="K361" s="1014"/>
      <c r="L361" s="1014"/>
      <c r="M361" s="1014"/>
      <c r="N361" s="1014"/>
      <c r="O361" s="1014"/>
      <c r="P361" s="1014"/>
      <c r="Q361" s="1014"/>
      <c r="R361" s="1014"/>
      <c r="S361" s="1014"/>
      <c r="T361" s="1014"/>
      <c r="U361" s="1014"/>
      <c r="V361" s="1014"/>
      <c r="W361" s="1014"/>
      <c r="X361" s="1014"/>
      <c r="Y361" s="1014"/>
      <c r="Z361" s="1014"/>
      <c r="AA361" s="1014"/>
      <c r="AB361" s="1014"/>
      <c r="AC361" s="1014"/>
      <c r="AD361" s="1014"/>
      <c r="AE361" s="1014"/>
      <c r="AF361" s="1014"/>
      <c r="AG361" s="1014"/>
      <c r="AH361" s="1014"/>
      <c r="AI361" s="1014"/>
      <c r="AJ361" s="1014"/>
    </row>
    <row r="362" spans="2:36" x14ac:dyDescent="0.25">
      <c r="B362" s="700"/>
      <c r="C362" s="700"/>
      <c r="D362" s="700"/>
      <c r="E362" s="1014"/>
      <c r="F362" s="1014"/>
      <c r="G362" s="1014"/>
      <c r="H362" s="1014"/>
      <c r="I362" s="1014"/>
      <c r="J362" s="1014"/>
      <c r="K362" s="1014"/>
      <c r="L362" s="1014"/>
      <c r="M362" s="1014"/>
      <c r="N362" s="1014"/>
      <c r="O362" s="1014"/>
      <c r="P362" s="1014"/>
      <c r="Q362" s="1014"/>
      <c r="R362" s="1014"/>
      <c r="S362" s="1014"/>
      <c r="T362" s="1014"/>
      <c r="U362" s="1014"/>
      <c r="V362" s="1014"/>
      <c r="W362" s="1014"/>
      <c r="X362" s="1014"/>
      <c r="Y362" s="1014"/>
      <c r="Z362" s="1014"/>
      <c r="AA362" s="1014"/>
      <c r="AB362" s="1014"/>
      <c r="AC362" s="1014"/>
      <c r="AD362" s="1014"/>
      <c r="AE362" s="1014"/>
      <c r="AF362" s="1014"/>
      <c r="AG362" s="1014"/>
      <c r="AH362" s="1014"/>
      <c r="AI362" s="1014"/>
      <c r="AJ362" s="1014"/>
    </row>
    <row r="363" spans="2:36" x14ac:dyDescent="0.25">
      <c r="B363" s="700"/>
      <c r="C363" s="700"/>
      <c r="D363" s="700"/>
      <c r="E363" s="1014"/>
      <c r="F363" s="1014"/>
      <c r="G363" s="1014"/>
      <c r="H363" s="1014"/>
      <c r="I363" s="1014"/>
      <c r="J363" s="1014"/>
      <c r="K363" s="1014"/>
      <c r="L363" s="1014"/>
      <c r="M363" s="1014"/>
      <c r="N363" s="1014"/>
      <c r="O363" s="1014"/>
      <c r="P363" s="1014"/>
      <c r="Q363" s="1014"/>
      <c r="R363" s="1014"/>
      <c r="S363" s="1014"/>
      <c r="T363" s="1014"/>
      <c r="U363" s="1014"/>
      <c r="V363" s="1014"/>
      <c r="W363" s="1014"/>
      <c r="X363" s="1014"/>
      <c r="Y363" s="1014"/>
      <c r="Z363" s="1014"/>
      <c r="AA363" s="1014"/>
      <c r="AB363" s="1014"/>
      <c r="AC363" s="1014"/>
      <c r="AD363" s="1014"/>
      <c r="AE363" s="1014"/>
      <c r="AF363" s="1014"/>
      <c r="AG363" s="1014"/>
      <c r="AH363" s="1014"/>
      <c r="AI363" s="1014"/>
      <c r="AJ363" s="1014"/>
    </row>
    <row r="364" spans="2:36" x14ac:dyDescent="0.25">
      <c r="B364" s="700"/>
      <c r="C364" s="700"/>
      <c r="D364" s="700"/>
      <c r="E364" s="1014"/>
      <c r="F364" s="1014"/>
      <c r="G364" s="1014"/>
      <c r="H364" s="1014"/>
      <c r="I364" s="1014"/>
      <c r="J364" s="1014"/>
      <c r="K364" s="1014"/>
      <c r="L364" s="1014"/>
      <c r="M364" s="1014"/>
      <c r="N364" s="1014"/>
      <c r="O364" s="1014"/>
      <c r="P364" s="1014"/>
      <c r="Q364" s="1014"/>
      <c r="R364" s="1014"/>
      <c r="S364" s="1014"/>
      <c r="T364" s="1014"/>
      <c r="U364" s="1014"/>
      <c r="V364" s="1014"/>
      <c r="W364" s="1014"/>
      <c r="X364" s="1014"/>
      <c r="Y364" s="1014"/>
      <c r="Z364" s="1014"/>
      <c r="AA364" s="1014"/>
      <c r="AB364" s="1014"/>
      <c r="AC364" s="1014"/>
      <c r="AD364" s="1014"/>
      <c r="AE364" s="1014"/>
      <c r="AF364" s="1014"/>
      <c r="AG364" s="1014"/>
      <c r="AH364" s="1014"/>
      <c r="AI364" s="1014"/>
      <c r="AJ364" s="1014"/>
    </row>
    <row r="365" spans="2:36" x14ac:dyDescent="0.25">
      <c r="B365" s="700"/>
      <c r="C365" s="700"/>
      <c r="D365" s="700"/>
      <c r="E365" s="1014"/>
      <c r="F365" s="1014"/>
      <c r="G365" s="1014"/>
      <c r="H365" s="1014"/>
      <c r="I365" s="1014"/>
      <c r="J365" s="1014"/>
      <c r="K365" s="1014"/>
      <c r="L365" s="1014"/>
      <c r="M365" s="1014"/>
      <c r="N365" s="1014"/>
      <c r="O365" s="1014"/>
      <c r="P365" s="1014"/>
      <c r="Q365" s="1014"/>
      <c r="R365" s="1014"/>
      <c r="S365" s="1014"/>
      <c r="T365" s="1014"/>
      <c r="U365" s="1014"/>
      <c r="V365" s="1014"/>
      <c r="W365" s="1014"/>
      <c r="X365" s="1014"/>
      <c r="Y365" s="1014"/>
      <c r="Z365" s="1014"/>
      <c r="AA365" s="1014"/>
      <c r="AB365" s="1014"/>
      <c r="AC365" s="1014"/>
      <c r="AD365" s="1014"/>
      <c r="AE365" s="1014"/>
      <c r="AF365" s="1014"/>
      <c r="AG365" s="1014"/>
      <c r="AH365" s="1014"/>
      <c r="AI365" s="1014"/>
      <c r="AJ365" s="1014"/>
    </row>
    <row r="366" spans="2:36" x14ac:dyDescent="0.25">
      <c r="B366" s="700"/>
      <c r="C366" s="700"/>
      <c r="D366" s="700"/>
      <c r="E366" s="1014"/>
      <c r="F366" s="1014"/>
      <c r="G366" s="1014"/>
      <c r="H366" s="1014"/>
      <c r="I366" s="1014"/>
      <c r="J366" s="1014"/>
      <c r="K366" s="1014"/>
      <c r="L366" s="1014"/>
      <c r="M366" s="1014"/>
      <c r="N366" s="1014"/>
      <c r="O366" s="1014"/>
      <c r="P366" s="1014"/>
      <c r="Q366" s="1014"/>
      <c r="R366" s="1014"/>
      <c r="S366" s="1014"/>
      <c r="T366" s="1014"/>
      <c r="U366" s="1014"/>
      <c r="V366" s="1014"/>
      <c r="W366" s="1014"/>
      <c r="X366" s="1014"/>
      <c r="Y366" s="1014"/>
      <c r="Z366" s="1014"/>
      <c r="AA366" s="1014"/>
      <c r="AB366" s="1014"/>
      <c r="AC366" s="1014"/>
      <c r="AD366" s="1014"/>
      <c r="AE366" s="1014"/>
      <c r="AF366" s="1014"/>
      <c r="AG366" s="1014"/>
      <c r="AH366" s="1014"/>
      <c r="AI366" s="1014"/>
      <c r="AJ366" s="1014"/>
    </row>
    <row r="367" spans="2:36" x14ac:dyDescent="0.25">
      <c r="B367" s="700"/>
      <c r="C367" s="700"/>
      <c r="D367" s="700"/>
      <c r="E367" s="1014"/>
      <c r="F367" s="1014"/>
      <c r="G367" s="1014"/>
      <c r="H367" s="1014"/>
      <c r="I367" s="1014"/>
      <c r="J367" s="1014"/>
      <c r="K367" s="1014"/>
      <c r="L367" s="1014"/>
      <c r="M367" s="1014"/>
      <c r="N367" s="1014"/>
      <c r="O367" s="1014"/>
      <c r="P367" s="1014"/>
      <c r="Q367" s="1014"/>
      <c r="R367" s="1014"/>
      <c r="S367" s="1014"/>
      <c r="T367" s="1014"/>
      <c r="U367" s="1014"/>
      <c r="V367" s="1014"/>
      <c r="W367" s="1014"/>
      <c r="X367" s="1014"/>
      <c r="Y367" s="1014"/>
      <c r="Z367" s="1014"/>
      <c r="AA367" s="1014"/>
      <c r="AB367" s="1014"/>
      <c r="AC367" s="1014"/>
      <c r="AD367" s="1014"/>
      <c r="AE367" s="1014"/>
      <c r="AF367" s="1014"/>
      <c r="AG367" s="1014"/>
      <c r="AH367" s="1014"/>
      <c r="AI367" s="1014"/>
      <c r="AJ367" s="1014"/>
    </row>
    <row r="368" spans="2:36" x14ac:dyDescent="0.25">
      <c r="B368" s="700"/>
      <c r="C368" s="700"/>
      <c r="D368" s="700"/>
      <c r="E368" s="1014"/>
      <c r="F368" s="1014"/>
      <c r="G368" s="1014"/>
      <c r="H368" s="1014"/>
      <c r="I368" s="1014"/>
      <c r="J368" s="1014"/>
      <c r="K368" s="1014"/>
      <c r="L368" s="1014"/>
      <c r="M368" s="1014"/>
      <c r="N368" s="1014"/>
      <c r="O368" s="1014"/>
      <c r="P368" s="1014"/>
      <c r="Q368" s="1014"/>
      <c r="R368" s="1014"/>
      <c r="S368" s="1014"/>
      <c r="T368" s="1014"/>
      <c r="U368" s="1014"/>
      <c r="V368" s="1014"/>
      <c r="W368" s="1014"/>
      <c r="X368" s="1014"/>
      <c r="Y368" s="1014"/>
      <c r="Z368" s="1014"/>
      <c r="AA368" s="1014"/>
      <c r="AB368" s="1014"/>
      <c r="AC368" s="1014"/>
      <c r="AD368" s="1014"/>
      <c r="AE368" s="1014"/>
      <c r="AF368" s="1014"/>
      <c r="AG368" s="1014"/>
      <c r="AH368" s="1014"/>
      <c r="AI368" s="1014"/>
      <c r="AJ368" s="1014"/>
    </row>
    <row r="369" spans="2:36" x14ac:dyDescent="0.25">
      <c r="B369" s="700"/>
      <c r="C369" s="700"/>
      <c r="D369" s="700"/>
      <c r="E369" s="1014"/>
      <c r="F369" s="1014"/>
      <c r="G369" s="1014"/>
      <c r="H369" s="1014"/>
      <c r="I369" s="1014"/>
      <c r="J369" s="1014"/>
      <c r="K369" s="1014"/>
      <c r="L369" s="1014"/>
      <c r="M369" s="1014"/>
      <c r="N369" s="1014"/>
      <c r="O369" s="1014"/>
      <c r="P369" s="1014"/>
      <c r="Q369" s="1014"/>
      <c r="R369" s="1014"/>
      <c r="S369" s="1014"/>
      <c r="T369" s="1014"/>
      <c r="U369" s="1014"/>
      <c r="V369" s="1014"/>
      <c r="W369" s="1014"/>
      <c r="X369" s="1014"/>
      <c r="Y369" s="1014"/>
      <c r="Z369" s="1014"/>
      <c r="AA369" s="1014"/>
      <c r="AB369" s="1014"/>
      <c r="AC369" s="1014"/>
      <c r="AD369" s="1014"/>
      <c r="AE369" s="1014"/>
      <c r="AF369" s="1014"/>
      <c r="AG369" s="1014"/>
      <c r="AH369" s="1014"/>
      <c r="AI369" s="1014"/>
      <c r="AJ369" s="10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8" bestFit="1" customWidth="1"/>
    <col min="2" max="3" width="17.5703125" style="1019" hidden="1" customWidth="1"/>
    <col min="4" max="4" width="25.5703125" style="1019" bestFit="1" customWidth="1"/>
    <col min="5" max="5" width="26.42578125" style="1018" customWidth="1"/>
    <col min="6" max="16384" width="9.140625" style="1018"/>
  </cols>
  <sheetData>
    <row r="1" spans="1:6" hidden="1" x14ac:dyDescent="0.35">
      <c r="B1" s="1018"/>
    </row>
    <row r="2" spans="1:6" hidden="1" x14ac:dyDescent="0.35">
      <c r="B2" s="1018"/>
    </row>
    <row r="3" spans="1:6" ht="24" hidden="1" thickBot="1" x14ac:dyDescent="0.4">
      <c r="A3" s="1020" t="s">
        <v>0</v>
      </c>
      <c r="B3" s="1021" t="s">
        <v>47</v>
      </c>
      <c r="C3" s="1022" t="s">
        <v>158</v>
      </c>
      <c r="D3" s="1022" t="s">
        <v>5</v>
      </c>
    </row>
    <row r="4" spans="1:6" hidden="1" x14ac:dyDescent="0.35">
      <c r="B4" s="1018"/>
      <c r="C4" s="1018"/>
      <c r="D4" s="1018"/>
    </row>
    <row r="5" spans="1:6" ht="24" thickBot="1" x14ac:dyDescent="0.4">
      <c r="A5" s="1023"/>
      <c r="B5" s="1403" t="s">
        <v>1707</v>
      </c>
      <c r="C5" s="1024" t="s">
        <v>1815</v>
      </c>
      <c r="D5" s="1025" t="s">
        <v>46</v>
      </c>
      <c r="E5" s="1033" t="s">
        <v>10974</v>
      </c>
    </row>
    <row r="6" spans="1:6" x14ac:dyDescent="0.35">
      <c r="A6" s="1016" t="s">
        <v>10688</v>
      </c>
      <c r="B6" s="1404">
        <v>20806486</v>
      </c>
      <c r="C6" s="1404">
        <v>16234780</v>
      </c>
      <c r="D6" s="1026">
        <v>4571706</v>
      </c>
    </row>
    <row r="7" spans="1:6" x14ac:dyDescent="0.35">
      <c r="A7" s="1016" t="s">
        <v>10342</v>
      </c>
      <c r="B7" s="1404">
        <v>12735358</v>
      </c>
      <c r="C7" s="1404">
        <v>8898634</v>
      </c>
      <c r="D7" s="1026">
        <v>3836724</v>
      </c>
    </row>
    <row r="8" spans="1:6" x14ac:dyDescent="0.35">
      <c r="A8" s="1016" t="s">
        <v>11023</v>
      </c>
      <c r="B8" s="1404">
        <v>6658775</v>
      </c>
      <c r="C8" s="1404">
        <v>3847260</v>
      </c>
      <c r="D8" s="1026">
        <v>2811515</v>
      </c>
      <c r="F8" s="101"/>
    </row>
    <row r="9" spans="1:6" x14ac:dyDescent="0.35">
      <c r="A9" s="1016" t="s">
        <v>10096</v>
      </c>
      <c r="B9" s="1404">
        <v>1278570</v>
      </c>
      <c r="C9" s="1404">
        <v>389903</v>
      </c>
      <c r="D9" s="1026">
        <v>888667</v>
      </c>
    </row>
    <row r="10" spans="1:6" x14ac:dyDescent="0.35">
      <c r="A10" s="1016" t="s">
        <v>9463</v>
      </c>
      <c r="B10" s="1404">
        <v>4428561</v>
      </c>
      <c r="C10" s="1404">
        <v>3761002</v>
      </c>
      <c r="D10" s="1026">
        <v>667559</v>
      </c>
    </row>
    <row r="11" spans="1:6" x14ac:dyDescent="0.35">
      <c r="A11" s="1016" t="s">
        <v>11568</v>
      </c>
      <c r="B11" s="1404">
        <v>869173</v>
      </c>
      <c r="C11" s="1404">
        <v>250000</v>
      </c>
      <c r="D11" s="1026">
        <v>619173</v>
      </c>
    </row>
    <row r="12" spans="1:6" x14ac:dyDescent="0.35">
      <c r="A12" s="1016" t="s">
        <v>10490</v>
      </c>
      <c r="B12" s="1404">
        <v>1399144</v>
      </c>
      <c r="C12" s="1404">
        <v>874609</v>
      </c>
      <c r="D12" s="1026">
        <v>524535</v>
      </c>
    </row>
    <row r="13" spans="1:6" x14ac:dyDescent="0.35">
      <c r="A13" s="1016" t="s">
        <v>10582</v>
      </c>
      <c r="B13" s="1404">
        <v>1725755</v>
      </c>
      <c r="C13" s="1404">
        <v>1311982</v>
      </c>
      <c r="D13" s="1026">
        <v>413773</v>
      </c>
    </row>
    <row r="14" spans="1:6" x14ac:dyDescent="0.35">
      <c r="A14" s="1016" t="s">
        <v>11740</v>
      </c>
      <c r="B14" s="1404">
        <v>331066</v>
      </c>
      <c r="C14" s="1404"/>
      <c r="D14" s="1026">
        <v>331066</v>
      </c>
    </row>
    <row r="15" spans="1:6" x14ac:dyDescent="0.35">
      <c r="A15" s="1077" t="s">
        <v>8483</v>
      </c>
      <c r="B15" s="1404">
        <v>231040</v>
      </c>
      <c r="C15" s="1404"/>
      <c r="D15" s="1026">
        <v>231040</v>
      </c>
    </row>
    <row r="16" spans="1:6" x14ac:dyDescent="0.35">
      <c r="A16" s="1077" t="s">
        <v>180</v>
      </c>
      <c r="B16" s="1404">
        <v>52800</v>
      </c>
      <c r="C16" s="1404"/>
      <c r="D16" s="1026">
        <v>52800</v>
      </c>
    </row>
    <row r="17" spans="1:4" x14ac:dyDescent="0.35">
      <c r="A17" s="1077" t="s">
        <v>166</v>
      </c>
      <c r="B17" s="1404">
        <v>25430</v>
      </c>
      <c r="C17" s="1404"/>
      <c r="D17" s="1083">
        <v>25430</v>
      </c>
    </row>
    <row r="18" spans="1:4" x14ac:dyDescent="0.35">
      <c r="A18" s="1077" t="s">
        <v>164</v>
      </c>
      <c r="B18" s="1404">
        <v>21796</v>
      </c>
      <c r="C18" s="1404"/>
      <c r="D18" s="1026">
        <v>21796</v>
      </c>
    </row>
    <row r="19" spans="1:4" x14ac:dyDescent="0.35">
      <c r="A19" s="1016" t="s">
        <v>1407</v>
      </c>
      <c r="B19" s="1404">
        <v>36968514</v>
      </c>
      <c r="C19" s="1404">
        <v>36707169</v>
      </c>
      <c r="D19" s="1026">
        <v>261345</v>
      </c>
    </row>
    <row r="20" spans="1:4" x14ac:dyDescent="0.35">
      <c r="A20" s="1016" t="s">
        <v>8752</v>
      </c>
      <c r="B20" s="1404">
        <v>11286323</v>
      </c>
      <c r="C20" s="1404">
        <v>11034775</v>
      </c>
      <c r="D20" s="1026">
        <v>251548</v>
      </c>
    </row>
    <row r="21" spans="1:4" x14ac:dyDescent="0.35">
      <c r="A21" s="1016" t="s">
        <v>8974</v>
      </c>
      <c r="B21" s="1404">
        <v>1899307</v>
      </c>
      <c r="C21" s="1404">
        <v>1669531</v>
      </c>
      <c r="D21" s="1026">
        <v>229776</v>
      </c>
    </row>
    <row r="22" spans="1:4" x14ac:dyDescent="0.35">
      <c r="A22" s="1016" t="s">
        <v>9769</v>
      </c>
      <c r="B22" s="1404">
        <v>2984053</v>
      </c>
      <c r="C22" s="1404">
        <v>2803173</v>
      </c>
      <c r="D22" s="1026">
        <v>180880</v>
      </c>
    </row>
    <row r="23" spans="1:4" x14ac:dyDescent="0.35">
      <c r="A23" s="1016" t="s">
        <v>10077</v>
      </c>
      <c r="B23" s="1404">
        <v>385571</v>
      </c>
      <c r="C23" s="1404">
        <v>206977</v>
      </c>
      <c r="D23" s="1026">
        <v>178594</v>
      </c>
    </row>
    <row r="24" spans="1:4" x14ac:dyDescent="0.35">
      <c r="A24" s="1016" t="s">
        <v>11625</v>
      </c>
      <c r="B24" s="1404">
        <v>173680</v>
      </c>
      <c r="C24" s="1404"/>
      <c r="D24" s="1026">
        <v>173680</v>
      </c>
    </row>
    <row r="25" spans="1:4" x14ac:dyDescent="0.35">
      <c r="A25" s="1077" t="s">
        <v>7309</v>
      </c>
      <c r="B25" s="1404">
        <v>173680</v>
      </c>
      <c r="C25" s="1404"/>
      <c r="D25" s="1026">
        <v>173680</v>
      </c>
    </row>
    <row r="26" spans="1:4" x14ac:dyDescent="0.35">
      <c r="A26" s="1016" t="s">
        <v>8122</v>
      </c>
      <c r="B26" s="1404">
        <v>13711297</v>
      </c>
      <c r="C26" s="1404">
        <v>13597562</v>
      </c>
      <c r="D26" s="1026">
        <v>113735</v>
      </c>
    </row>
    <row r="27" spans="1:4" x14ac:dyDescent="0.35">
      <c r="A27" s="1016" t="s">
        <v>10406</v>
      </c>
      <c r="B27" s="1404">
        <v>1216578</v>
      </c>
      <c r="C27" s="1404">
        <v>1104298</v>
      </c>
      <c r="D27" s="1026">
        <v>112280</v>
      </c>
    </row>
    <row r="28" spans="1:4" x14ac:dyDescent="0.35">
      <c r="A28" s="1016" t="s">
        <v>4760</v>
      </c>
      <c r="B28" s="1404">
        <v>481480</v>
      </c>
      <c r="C28" s="1404">
        <v>382146</v>
      </c>
      <c r="D28" s="1026">
        <v>99334</v>
      </c>
    </row>
    <row r="29" spans="1:4" x14ac:dyDescent="0.35">
      <c r="A29" s="1016" t="s">
        <v>6463</v>
      </c>
      <c r="B29" s="1404">
        <v>1736321</v>
      </c>
      <c r="C29" s="1404">
        <v>1655478</v>
      </c>
      <c r="D29" s="1026">
        <v>80843</v>
      </c>
    </row>
    <row r="30" spans="1:4" x14ac:dyDescent="0.35">
      <c r="A30" s="1016" t="s">
        <v>2957</v>
      </c>
      <c r="B30" s="1404">
        <v>21934220</v>
      </c>
      <c r="C30" s="1404">
        <v>21858810</v>
      </c>
      <c r="D30" s="1026">
        <v>75410</v>
      </c>
    </row>
    <row r="31" spans="1:4" x14ac:dyDescent="0.35">
      <c r="A31" s="1016" t="s">
        <v>11193</v>
      </c>
      <c r="B31" s="1404">
        <v>900642</v>
      </c>
      <c r="C31" s="1404">
        <v>825520</v>
      </c>
      <c r="D31" s="1026">
        <v>75122</v>
      </c>
    </row>
    <row r="32" spans="1:4" x14ac:dyDescent="0.35">
      <c r="A32" s="1016" t="s">
        <v>11633</v>
      </c>
      <c r="B32" s="1404">
        <v>73043</v>
      </c>
      <c r="C32" s="1404"/>
      <c r="D32" s="1026">
        <v>73043</v>
      </c>
    </row>
    <row r="33" spans="1:4" x14ac:dyDescent="0.35">
      <c r="A33" s="1077" t="s">
        <v>8483</v>
      </c>
      <c r="B33" s="1404">
        <v>73043</v>
      </c>
      <c r="C33" s="1404"/>
      <c r="D33" s="1026">
        <v>73043</v>
      </c>
    </row>
    <row r="34" spans="1:4" hidden="1" x14ac:dyDescent="0.35">
      <c r="A34" s="1016" t="s">
        <v>11122</v>
      </c>
      <c r="B34" s="1404">
        <v>69890</v>
      </c>
      <c r="C34" s="1404"/>
      <c r="D34" s="1026">
        <v>69890</v>
      </c>
    </row>
    <row r="35" spans="1:4" hidden="1" x14ac:dyDescent="0.35">
      <c r="A35" s="1016" t="s">
        <v>11841</v>
      </c>
      <c r="B35" s="1404">
        <v>56173</v>
      </c>
      <c r="C35" s="1404"/>
      <c r="D35" s="1026">
        <v>56173</v>
      </c>
    </row>
    <row r="36" spans="1:4" hidden="1" x14ac:dyDescent="0.35">
      <c r="A36" s="1077" t="s">
        <v>8483</v>
      </c>
      <c r="B36" s="1404">
        <v>56173</v>
      </c>
      <c r="C36" s="1404"/>
      <c r="D36" s="1026">
        <v>56173</v>
      </c>
    </row>
    <row r="37" spans="1:4" hidden="1" x14ac:dyDescent="0.35">
      <c r="A37" s="1016" t="s">
        <v>11391</v>
      </c>
      <c r="B37" s="1404">
        <v>34476</v>
      </c>
      <c r="C37" s="1404"/>
      <c r="D37" s="1026">
        <v>34476</v>
      </c>
    </row>
    <row r="38" spans="1:4" hidden="1" x14ac:dyDescent="0.35">
      <c r="A38" s="1077" t="s">
        <v>168</v>
      </c>
      <c r="B38" s="1404">
        <v>19640</v>
      </c>
      <c r="C38" s="1404"/>
      <c r="D38" s="1083">
        <v>19640</v>
      </c>
    </row>
    <row r="39" spans="1:4" hidden="1" x14ac:dyDescent="0.35">
      <c r="A39" s="1077" t="s">
        <v>8483</v>
      </c>
      <c r="B39" s="1404">
        <v>13416</v>
      </c>
      <c r="C39" s="1404"/>
      <c r="D39" s="1026">
        <v>13416</v>
      </c>
    </row>
    <row r="40" spans="1:4" hidden="1" x14ac:dyDescent="0.35">
      <c r="A40" s="1077" t="s">
        <v>164</v>
      </c>
      <c r="B40" s="1404">
        <v>1420</v>
      </c>
      <c r="C40" s="1404"/>
      <c r="D40" s="1026">
        <v>1420</v>
      </c>
    </row>
    <row r="41" spans="1:4" hidden="1" x14ac:dyDescent="0.35">
      <c r="A41" s="1016" t="s">
        <v>8982</v>
      </c>
      <c r="B41" s="1404">
        <v>2828140</v>
      </c>
      <c r="C41" s="1404">
        <v>2799926</v>
      </c>
      <c r="D41" s="1026">
        <v>28214</v>
      </c>
    </row>
    <row r="42" spans="1:4" hidden="1" x14ac:dyDescent="0.35">
      <c r="A42" s="1016" t="s">
        <v>10261</v>
      </c>
      <c r="B42" s="1404">
        <v>2384019</v>
      </c>
      <c r="C42" s="1404">
        <v>2362679</v>
      </c>
      <c r="D42" s="1026">
        <v>21340</v>
      </c>
    </row>
    <row r="43" spans="1:4" hidden="1" x14ac:dyDescent="0.35">
      <c r="A43" s="1016" t="s">
        <v>8426</v>
      </c>
      <c r="B43" s="1404">
        <v>7820020</v>
      </c>
      <c r="C43" s="1404">
        <v>7803980</v>
      </c>
      <c r="D43" s="1026">
        <v>16040</v>
      </c>
    </row>
    <row r="44" spans="1:4" hidden="1" x14ac:dyDescent="0.35">
      <c r="A44" s="1016" t="s">
        <v>11025</v>
      </c>
      <c r="B44" s="1404">
        <v>79935</v>
      </c>
      <c r="C44" s="1404">
        <v>64935</v>
      </c>
      <c r="D44" s="1026">
        <v>15000</v>
      </c>
    </row>
    <row r="45" spans="1:4" hidden="1" x14ac:dyDescent="0.35">
      <c r="A45" s="1016" t="s">
        <v>7886</v>
      </c>
      <c r="B45" s="1404">
        <v>1072490</v>
      </c>
      <c r="C45" s="1404">
        <v>1061510</v>
      </c>
      <c r="D45" s="1026">
        <v>10980</v>
      </c>
    </row>
    <row r="46" spans="1:4" hidden="1" x14ac:dyDescent="0.35">
      <c r="A46" s="1016" t="s">
        <v>6565</v>
      </c>
      <c r="B46" s="1404">
        <v>1334369</v>
      </c>
      <c r="C46" s="1404">
        <v>1330124</v>
      </c>
      <c r="D46" s="1026">
        <v>4245</v>
      </c>
    </row>
    <row r="47" spans="1:4" hidden="1" x14ac:dyDescent="0.35">
      <c r="A47" s="1016" t="s">
        <v>3979</v>
      </c>
      <c r="B47" s="1404">
        <v>1108945</v>
      </c>
      <c r="C47" s="1404">
        <v>1104945</v>
      </c>
      <c r="D47" s="1026">
        <v>4000</v>
      </c>
    </row>
    <row r="48" spans="1:4" hidden="1" x14ac:dyDescent="0.35">
      <c r="A48" s="1016" t="s">
        <v>130</v>
      </c>
      <c r="B48" s="1404">
        <v>1701541</v>
      </c>
      <c r="C48" s="1404">
        <v>1701541</v>
      </c>
      <c r="D48" s="1026">
        <v>0</v>
      </c>
    </row>
    <row r="49" spans="1:4" hidden="1" x14ac:dyDescent="0.35">
      <c r="A49" s="1016" t="s">
        <v>7627</v>
      </c>
      <c r="B49" s="1404">
        <v>1012779</v>
      </c>
      <c r="C49" s="1404">
        <v>1012779</v>
      </c>
      <c r="D49" s="1026">
        <v>0</v>
      </c>
    </row>
    <row r="50" spans="1:4" hidden="1" x14ac:dyDescent="0.35">
      <c r="A50" s="1016" t="s">
        <v>11</v>
      </c>
      <c r="B50" s="1404">
        <v>164487</v>
      </c>
      <c r="C50" s="1404">
        <v>164487</v>
      </c>
      <c r="D50" s="1026">
        <v>0</v>
      </c>
    </row>
    <row r="51" spans="1:4" hidden="1" x14ac:dyDescent="0.35">
      <c r="A51" s="1016" t="s">
        <v>774</v>
      </c>
      <c r="B51" s="1404">
        <v>454645</v>
      </c>
      <c r="C51" s="1404">
        <v>454645</v>
      </c>
      <c r="D51" s="1026">
        <v>0</v>
      </c>
    </row>
    <row r="52" spans="1:4" hidden="1" x14ac:dyDescent="0.35">
      <c r="A52" s="1016" t="s">
        <v>3978</v>
      </c>
      <c r="B52" s="1404">
        <v>5200</v>
      </c>
      <c r="C52" s="1404">
        <v>5200</v>
      </c>
      <c r="D52" s="1026">
        <v>0</v>
      </c>
    </row>
    <row r="53" spans="1:4" hidden="1" x14ac:dyDescent="0.35">
      <c r="A53" s="1016" t="s">
        <v>1094</v>
      </c>
      <c r="B53" s="1404">
        <v>88730</v>
      </c>
      <c r="C53" s="1404">
        <v>88730</v>
      </c>
      <c r="D53" s="1026">
        <v>0</v>
      </c>
    </row>
    <row r="54" spans="1:4" hidden="1" x14ac:dyDescent="0.35">
      <c r="A54" s="1016" t="s">
        <v>154</v>
      </c>
      <c r="B54" s="1404">
        <v>613890</v>
      </c>
      <c r="C54" s="1404">
        <v>613890</v>
      </c>
      <c r="D54" s="1026">
        <v>0</v>
      </c>
    </row>
    <row r="55" spans="1:4" hidden="1" x14ac:dyDescent="0.35">
      <c r="A55" s="1016" t="s">
        <v>1213</v>
      </c>
      <c r="B55" s="1404">
        <v>263340</v>
      </c>
      <c r="C55" s="1404">
        <v>263340</v>
      </c>
      <c r="D55" s="1026">
        <v>0</v>
      </c>
    </row>
    <row r="56" spans="1:4" hidden="1" x14ac:dyDescent="0.35">
      <c r="A56" s="1016" t="s">
        <v>6562</v>
      </c>
      <c r="B56" s="1404">
        <v>266073</v>
      </c>
      <c r="C56" s="1404">
        <v>266073</v>
      </c>
      <c r="D56" s="1026">
        <v>0</v>
      </c>
    </row>
    <row r="57" spans="1:4" hidden="1" x14ac:dyDescent="0.35">
      <c r="A57" s="1016" t="s">
        <v>1502</v>
      </c>
      <c r="B57" s="1404">
        <v>188750</v>
      </c>
      <c r="C57" s="1404">
        <v>188750</v>
      </c>
      <c r="D57" s="1026">
        <v>0</v>
      </c>
    </row>
    <row r="58" spans="1:4" hidden="1" x14ac:dyDescent="0.35">
      <c r="A58" s="1016" t="s">
        <v>7811</v>
      </c>
      <c r="B58" s="1404">
        <v>281981</v>
      </c>
      <c r="C58" s="1404">
        <v>281981</v>
      </c>
      <c r="D58" s="1026">
        <v>0</v>
      </c>
    </row>
    <row r="59" spans="1:4" hidden="1" x14ac:dyDescent="0.35">
      <c r="A59" s="1016" t="s">
        <v>33</v>
      </c>
      <c r="B59" s="1404">
        <v>569111</v>
      </c>
      <c r="C59" s="1404">
        <v>569111</v>
      </c>
      <c r="D59" s="1026">
        <v>0</v>
      </c>
    </row>
    <row r="60" spans="1:4" hidden="1" x14ac:dyDescent="0.35">
      <c r="A60" s="1016" t="s">
        <v>14</v>
      </c>
      <c r="B60" s="1404">
        <v>53258</v>
      </c>
      <c r="C60" s="1404">
        <v>53258</v>
      </c>
      <c r="D60" s="1026">
        <v>0</v>
      </c>
    </row>
    <row r="61" spans="1:4" hidden="1" x14ac:dyDescent="0.35">
      <c r="A61" s="1016" t="s">
        <v>1820</v>
      </c>
      <c r="B61" s="1404">
        <v>4800</v>
      </c>
      <c r="C61" s="1404">
        <v>4800</v>
      </c>
      <c r="D61" s="1026">
        <v>0</v>
      </c>
    </row>
    <row r="62" spans="1:4" hidden="1" x14ac:dyDescent="0.35">
      <c r="A62" s="1016" t="s">
        <v>44</v>
      </c>
      <c r="B62" s="1404">
        <v>10000</v>
      </c>
      <c r="C62" s="1404">
        <v>10000</v>
      </c>
      <c r="D62" s="1026">
        <v>0</v>
      </c>
    </row>
    <row r="63" spans="1:4" hidden="1" x14ac:dyDescent="0.35">
      <c r="A63" s="1016" t="s">
        <v>1703</v>
      </c>
      <c r="B63" s="1404">
        <v>13508</v>
      </c>
      <c r="C63" s="1404">
        <v>13508</v>
      </c>
      <c r="D63" s="1026">
        <v>0</v>
      </c>
    </row>
    <row r="64" spans="1:4" hidden="1" x14ac:dyDescent="0.35">
      <c r="A64" s="1016" t="s">
        <v>397</v>
      </c>
      <c r="B64" s="1404">
        <v>225515</v>
      </c>
      <c r="C64" s="1404">
        <v>225515</v>
      </c>
      <c r="D64" s="1026">
        <v>0</v>
      </c>
    </row>
    <row r="65" spans="1:4" hidden="1" x14ac:dyDescent="0.35">
      <c r="A65" s="1016" t="s">
        <v>2038</v>
      </c>
      <c r="B65" s="1404">
        <v>488314</v>
      </c>
      <c r="C65" s="1404">
        <v>488314</v>
      </c>
      <c r="D65" s="1026">
        <v>0</v>
      </c>
    </row>
    <row r="66" spans="1:4" hidden="1" x14ac:dyDescent="0.35">
      <c r="A66" s="1016" t="s">
        <v>677</v>
      </c>
      <c r="B66" s="1404">
        <v>652434</v>
      </c>
      <c r="C66" s="1404">
        <v>652434</v>
      </c>
      <c r="D66" s="1026">
        <v>0</v>
      </c>
    </row>
    <row r="67" spans="1:4" hidden="1" x14ac:dyDescent="0.35">
      <c r="A67" s="1016" t="s">
        <v>32</v>
      </c>
      <c r="B67" s="1404">
        <v>327433</v>
      </c>
      <c r="C67" s="1404">
        <v>327433</v>
      </c>
      <c r="D67" s="1026">
        <v>0</v>
      </c>
    </row>
    <row r="68" spans="1:4" hidden="1" x14ac:dyDescent="0.35">
      <c r="A68" s="1016" t="s">
        <v>37</v>
      </c>
      <c r="B68" s="1404">
        <v>88360</v>
      </c>
      <c r="C68" s="1404">
        <v>88360</v>
      </c>
      <c r="D68" s="1026">
        <v>0</v>
      </c>
    </row>
    <row r="69" spans="1:4" hidden="1" x14ac:dyDescent="0.35">
      <c r="A69" s="1016" t="s">
        <v>2058</v>
      </c>
      <c r="B69" s="1404">
        <v>392680</v>
      </c>
      <c r="C69" s="1404">
        <v>392680</v>
      </c>
      <c r="D69" s="1026">
        <v>0</v>
      </c>
    </row>
    <row r="70" spans="1:4" hidden="1" x14ac:dyDescent="0.35">
      <c r="A70" s="1016" t="s">
        <v>7191</v>
      </c>
      <c r="B70" s="1404"/>
      <c r="C70" s="1404"/>
      <c r="D70" s="1026">
        <v>0</v>
      </c>
    </row>
    <row r="71" spans="1:4" hidden="1" x14ac:dyDescent="0.35">
      <c r="A71" s="1016" t="s">
        <v>2280</v>
      </c>
      <c r="B71" s="1404">
        <v>81323</v>
      </c>
      <c r="C71" s="1404">
        <v>81323</v>
      </c>
      <c r="D71" s="1026">
        <v>0</v>
      </c>
    </row>
    <row r="72" spans="1:4" hidden="1" x14ac:dyDescent="0.35">
      <c r="A72" s="1016" t="s">
        <v>7896</v>
      </c>
      <c r="B72" s="1404">
        <v>378277</v>
      </c>
      <c r="C72" s="1404">
        <v>378277</v>
      </c>
      <c r="D72" s="1026">
        <v>0</v>
      </c>
    </row>
    <row r="73" spans="1:4" hidden="1" x14ac:dyDescent="0.35">
      <c r="A73" s="1016" t="s">
        <v>2422</v>
      </c>
      <c r="B73" s="1404">
        <v>907</v>
      </c>
      <c r="C73" s="1404">
        <v>907</v>
      </c>
      <c r="D73" s="1026">
        <v>0</v>
      </c>
    </row>
    <row r="74" spans="1:4" s="1027" customFormat="1" hidden="1" x14ac:dyDescent="0.35">
      <c r="A74" s="1016" t="s">
        <v>1406</v>
      </c>
      <c r="B74" s="1404">
        <v>168305</v>
      </c>
      <c r="C74" s="1404">
        <v>168305</v>
      </c>
      <c r="D74" s="1026">
        <v>0</v>
      </c>
    </row>
    <row r="75" spans="1:4" hidden="1" x14ac:dyDescent="0.35">
      <c r="A75" s="1016" t="s">
        <v>2571</v>
      </c>
      <c r="B75" s="1404">
        <v>68818</v>
      </c>
      <c r="C75" s="1404">
        <v>68818</v>
      </c>
      <c r="D75" s="1026">
        <v>0</v>
      </c>
    </row>
    <row r="76" spans="1:4" hidden="1" x14ac:dyDescent="0.35">
      <c r="A76" s="1016" t="s">
        <v>8625</v>
      </c>
      <c r="B76" s="1404">
        <v>235522</v>
      </c>
      <c r="C76" s="1404">
        <v>235522</v>
      </c>
      <c r="D76" s="1026">
        <v>0</v>
      </c>
    </row>
    <row r="77" spans="1:4" hidden="1" x14ac:dyDescent="0.35">
      <c r="A77" s="1016" t="s">
        <v>2675</v>
      </c>
      <c r="B77" s="1404">
        <v>11034195</v>
      </c>
      <c r="C77" s="1404">
        <v>11034195</v>
      </c>
      <c r="D77" s="1026">
        <v>0</v>
      </c>
    </row>
    <row r="78" spans="1:4" hidden="1" x14ac:dyDescent="0.35">
      <c r="A78" s="1016" t="s">
        <v>9516</v>
      </c>
      <c r="B78" s="1404">
        <v>1102526</v>
      </c>
      <c r="C78" s="1404">
        <v>1102526</v>
      </c>
      <c r="D78" s="1026">
        <v>0</v>
      </c>
    </row>
    <row r="79" spans="1:4" hidden="1" x14ac:dyDescent="0.35">
      <c r="A79" s="1016" t="s">
        <v>2336</v>
      </c>
      <c r="B79" s="1404">
        <v>39773</v>
      </c>
      <c r="C79" s="1404">
        <v>39773</v>
      </c>
      <c r="D79" s="1026">
        <v>0</v>
      </c>
    </row>
    <row r="80" spans="1:4" hidden="1" x14ac:dyDescent="0.35">
      <c r="A80" s="1016" t="s">
        <v>39</v>
      </c>
      <c r="B80" s="1404">
        <v>65000</v>
      </c>
      <c r="C80" s="1404">
        <v>65000</v>
      </c>
      <c r="D80" s="1026">
        <v>0</v>
      </c>
    </row>
    <row r="81" spans="1:4" hidden="1" x14ac:dyDescent="0.35">
      <c r="A81" s="1016" t="s">
        <v>2396</v>
      </c>
      <c r="B81" s="1404">
        <v>27120</v>
      </c>
      <c r="C81" s="1404">
        <v>27120</v>
      </c>
      <c r="D81" s="1026">
        <v>0</v>
      </c>
    </row>
    <row r="82" spans="1:4" hidden="1" x14ac:dyDescent="0.35">
      <c r="A82" s="1016" t="s">
        <v>2672</v>
      </c>
      <c r="B82" s="1404">
        <v>202856</v>
      </c>
      <c r="C82" s="1404">
        <v>202856</v>
      </c>
      <c r="D82" s="1026">
        <v>0</v>
      </c>
    </row>
    <row r="83" spans="1:4" hidden="1" x14ac:dyDescent="0.35">
      <c r="A83" s="1016" t="s">
        <v>3413</v>
      </c>
      <c r="B83" s="1404">
        <v>4145</v>
      </c>
      <c r="C83" s="1404">
        <v>4145</v>
      </c>
      <c r="D83" s="1026">
        <v>0</v>
      </c>
    </row>
    <row r="84" spans="1:4" hidden="1" x14ac:dyDescent="0.35">
      <c r="A84" s="1016" t="s">
        <v>82</v>
      </c>
      <c r="B84" s="1404">
        <v>773994</v>
      </c>
      <c r="C84" s="1404">
        <v>773994</v>
      </c>
      <c r="D84" s="1026">
        <v>0</v>
      </c>
    </row>
    <row r="85" spans="1:4" hidden="1" x14ac:dyDescent="0.35">
      <c r="A85" s="1016" t="s">
        <v>3431</v>
      </c>
      <c r="B85" s="1404">
        <v>25920</v>
      </c>
      <c r="C85" s="1404">
        <v>25920</v>
      </c>
      <c r="D85" s="1026">
        <v>0</v>
      </c>
    </row>
    <row r="86" spans="1:4" hidden="1" x14ac:dyDescent="0.35">
      <c r="A86" s="1016" t="s">
        <v>36</v>
      </c>
      <c r="B86" s="1404">
        <v>98941</v>
      </c>
      <c r="C86" s="1404">
        <v>98941</v>
      </c>
      <c r="D86" s="1026">
        <v>0</v>
      </c>
    </row>
    <row r="87" spans="1:4" hidden="1" x14ac:dyDescent="0.35">
      <c r="A87" s="1016" t="s">
        <v>3652</v>
      </c>
      <c r="B87" s="1404">
        <v>1223860</v>
      </c>
      <c r="C87" s="1404">
        <v>1223860</v>
      </c>
      <c r="D87" s="1026">
        <v>0</v>
      </c>
    </row>
    <row r="88" spans="1:4" hidden="1" x14ac:dyDescent="0.35">
      <c r="A88" s="1016" t="s">
        <v>467</v>
      </c>
      <c r="B88" s="1404">
        <v>3218295</v>
      </c>
      <c r="C88" s="1404">
        <v>3218295</v>
      </c>
      <c r="D88" s="1026">
        <v>0</v>
      </c>
    </row>
    <row r="89" spans="1:4" hidden="1" x14ac:dyDescent="0.35">
      <c r="A89" s="1016" t="s">
        <v>7017</v>
      </c>
      <c r="B89" s="1404">
        <v>1069050</v>
      </c>
      <c r="C89" s="1404">
        <v>1069050</v>
      </c>
      <c r="D89" s="1026">
        <v>0</v>
      </c>
    </row>
    <row r="90" spans="1:4" hidden="1" x14ac:dyDescent="0.35">
      <c r="A90" s="1016" t="s">
        <v>3414</v>
      </c>
      <c r="B90" s="1404">
        <v>382000</v>
      </c>
      <c r="C90" s="1404">
        <v>382000</v>
      </c>
      <c r="D90" s="1026">
        <v>0</v>
      </c>
    </row>
    <row r="91" spans="1:4" hidden="1" x14ac:dyDescent="0.35">
      <c r="A91" s="1016" t="s">
        <v>7733</v>
      </c>
      <c r="B91" s="1404">
        <v>1459010</v>
      </c>
      <c r="C91" s="1404">
        <v>1459010</v>
      </c>
      <c r="D91" s="1026">
        <v>0</v>
      </c>
    </row>
    <row r="92" spans="1:4" hidden="1" x14ac:dyDescent="0.35">
      <c r="A92" s="1016" t="s">
        <v>1688</v>
      </c>
      <c r="B92" s="1404">
        <v>174105</v>
      </c>
      <c r="C92" s="1404">
        <v>174105</v>
      </c>
      <c r="D92" s="1026">
        <v>0</v>
      </c>
    </row>
    <row r="93" spans="1:4" hidden="1" x14ac:dyDescent="0.35">
      <c r="A93" s="1016" t="s">
        <v>7177</v>
      </c>
      <c r="B93" s="1404">
        <v>650882</v>
      </c>
      <c r="C93" s="1404">
        <v>650882</v>
      </c>
      <c r="D93" s="1026">
        <v>0</v>
      </c>
    </row>
    <row r="94" spans="1:4" hidden="1" x14ac:dyDescent="0.35">
      <c r="A94" s="1016" t="s">
        <v>18</v>
      </c>
      <c r="B94" s="1404">
        <v>150590</v>
      </c>
      <c r="C94" s="1404">
        <v>150590</v>
      </c>
      <c r="D94" s="1026">
        <v>0</v>
      </c>
    </row>
    <row r="95" spans="1:4" hidden="1" x14ac:dyDescent="0.35">
      <c r="A95" s="1016" t="s">
        <v>6575</v>
      </c>
      <c r="B95" s="1404">
        <v>2033111</v>
      </c>
      <c r="C95" s="1404">
        <v>2033111</v>
      </c>
      <c r="D95" s="1026">
        <v>0</v>
      </c>
    </row>
    <row r="96" spans="1:4" hidden="1" x14ac:dyDescent="0.35">
      <c r="A96" s="1016" t="s">
        <v>1818</v>
      </c>
      <c r="B96" s="1404">
        <v>236720</v>
      </c>
      <c r="C96" s="1404">
        <v>236720</v>
      </c>
      <c r="D96" s="1026">
        <v>0</v>
      </c>
    </row>
    <row r="97" spans="1:4" hidden="1" x14ac:dyDescent="0.35">
      <c r="A97" s="1016" t="s">
        <v>6706</v>
      </c>
      <c r="B97" s="1404"/>
      <c r="C97" s="1404"/>
      <c r="D97" s="1026">
        <v>0</v>
      </c>
    </row>
    <row r="98" spans="1:4" hidden="1" x14ac:dyDescent="0.35">
      <c r="A98" s="1016" t="s">
        <v>4924</v>
      </c>
      <c r="B98" s="1404">
        <v>262657</v>
      </c>
      <c r="C98" s="1404">
        <v>262657</v>
      </c>
      <c r="D98" s="1026">
        <v>0</v>
      </c>
    </row>
    <row r="99" spans="1:4" hidden="1" x14ac:dyDescent="0.35">
      <c r="A99" s="1016" t="s">
        <v>7825</v>
      </c>
      <c r="B99" s="1404">
        <v>319499</v>
      </c>
      <c r="C99" s="1404">
        <v>319499</v>
      </c>
      <c r="D99" s="1026">
        <v>0</v>
      </c>
    </row>
    <row r="100" spans="1:4" hidden="1" x14ac:dyDescent="0.35">
      <c r="A100" s="1016" t="s">
        <v>5095</v>
      </c>
      <c r="B100" s="1404">
        <v>246404</v>
      </c>
      <c r="C100" s="1404">
        <v>246404</v>
      </c>
      <c r="D100" s="1026">
        <v>0</v>
      </c>
    </row>
    <row r="101" spans="1:4" hidden="1" x14ac:dyDescent="0.35">
      <c r="A101" s="1016" t="s">
        <v>8000</v>
      </c>
      <c r="B101" s="1404">
        <v>8214710</v>
      </c>
      <c r="C101" s="1404">
        <v>8214710</v>
      </c>
      <c r="D101" s="1026">
        <v>0</v>
      </c>
    </row>
    <row r="102" spans="1:4" hidden="1" x14ac:dyDescent="0.35">
      <c r="A102" s="1016" t="s">
        <v>4854</v>
      </c>
      <c r="B102" s="1404">
        <v>15712</v>
      </c>
      <c r="C102" s="1404">
        <v>15712</v>
      </c>
      <c r="D102" s="1026">
        <v>0</v>
      </c>
    </row>
    <row r="103" spans="1:4" hidden="1" x14ac:dyDescent="0.35">
      <c r="A103" s="1016" t="s">
        <v>8032</v>
      </c>
      <c r="B103" s="1404">
        <v>3636139</v>
      </c>
      <c r="C103" s="1404">
        <v>3636139</v>
      </c>
      <c r="D103" s="1026">
        <v>0</v>
      </c>
    </row>
    <row r="104" spans="1:4" hidden="1" x14ac:dyDescent="0.35">
      <c r="A104" s="1016" t="s">
        <v>2104</v>
      </c>
      <c r="B104" s="1404">
        <v>64441</v>
      </c>
      <c r="C104" s="1404">
        <v>64441</v>
      </c>
      <c r="D104" s="1026">
        <v>0</v>
      </c>
    </row>
    <row r="105" spans="1:4" hidden="1" x14ac:dyDescent="0.35">
      <c r="A105" s="1016" t="s">
        <v>8156</v>
      </c>
      <c r="B105" s="1404">
        <v>714288</v>
      </c>
      <c r="C105" s="1404">
        <v>714288</v>
      </c>
      <c r="D105" s="1026">
        <v>0</v>
      </c>
    </row>
    <row r="106" spans="1:4" hidden="1" x14ac:dyDescent="0.35">
      <c r="A106" s="1016" t="s">
        <v>969</v>
      </c>
      <c r="B106" s="1404">
        <v>878807</v>
      </c>
      <c r="C106" s="1404">
        <v>878807</v>
      </c>
      <c r="D106" s="1026">
        <v>0</v>
      </c>
    </row>
    <row r="107" spans="1:4" hidden="1" x14ac:dyDescent="0.35">
      <c r="A107" s="1016" t="s">
        <v>8653</v>
      </c>
      <c r="B107" s="1404">
        <v>2338299</v>
      </c>
      <c r="C107" s="1404">
        <v>2338299</v>
      </c>
      <c r="D107" s="1026">
        <v>0</v>
      </c>
    </row>
    <row r="108" spans="1:4" hidden="1" x14ac:dyDescent="0.35">
      <c r="A108" s="1016" t="s">
        <v>5598</v>
      </c>
      <c r="B108" s="1404">
        <v>202398</v>
      </c>
      <c r="C108" s="1404">
        <v>202398</v>
      </c>
      <c r="D108" s="1026">
        <v>0</v>
      </c>
    </row>
    <row r="109" spans="1:4" hidden="1" x14ac:dyDescent="0.35">
      <c r="A109" s="1016" t="s">
        <v>1222</v>
      </c>
      <c r="B109" s="1404">
        <v>1763405</v>
      </c>
      <c r="C109" s="1404">
        <v>1763405</v>
      </c>
      <c r="D109" s="1026">
        <v>0</v>
      </c>
    </row>
    <row r="110" spans="1:4" hidden="1" x14ac:dyDescent="0.35">
      <c r="A110" s="1016" t="s">
        <v>2109</v>
      </c>
      <c r="B110" s="1404">
        <v>2197189</v>
      </c>
      <c r="C110" s="1404">
        <v>2197189</v>
      </c>
      <c r="D110" s="1026">
        <v>0</v>
      </c>
    </row>
    <row r="111" spans="1:4" hidden="1" x14ac:dyDescent="0.35">
      <c r="A111" s="1016" t="s">
        <v>75</v>
      </c>
      <c r="B111" s="1404">
        <v>13918</v>
      </c>
      <c r="C111" s="1404">
        <v>13918</v>
      </c>
      <c r="D111" s="1026">
        <v>0</v>
      </c>
    </row>
    <row r="112" spans="1:4" hidden="1" x14ac:dyDescent="0.35">
      <c r="A112" s="1016" t="s">
        <v>1072</v>
      </c>
      <c r="B112" s="1404">
        <v>85300</v>
      </c>
      <c r="C112" s="1404">
        <v>85300</v>
      </c>
      <c r="D112" s="1026">
        <v>0</v>
      </c>
    </row>
    <row r="113" spans="1:4" hidden="1" x14ac:dyDescent="0.35">
      <c r="A113" s="1016" t="s">
        <v>9615</v>
      </c>
      <c r="B113" s="1404">
        <v>69638</v>
      </c>
      <c r="C113" s="1404">
        <v>69638</v>
      </c>
      <c r="D113" s="1026">
        <v>0</v>
      </c>
    </row>
    <row r="114" spans="1:4" hidden="1" x14ac:dyDescent="0.35">
      <c r="A114" s="1016" t="s">
        <v>5779</v>
      </c>
      <c r="B114" s="1404">
        <v>20800</v>
      </c>
      <c r="C114" s="1404">
        <v>20800</v>
      </c>
      <c r="D114" s="1026">
        <v>0</v>
      </c>
    </row>
    <row r="115" spans="1:4" hidden="1" x14ac:dyDescent="0.35">
      <c r="A115" s="1016" t="s">
        <v>9877</v>
      </c>
      <c r="B115" s="1404">
        <v>5784400</v>
      </c>
      <c r="C115" s="1404">
        <v>5784400</v>
      </c>
      <c r="D115" s="1026">
        <v>0</v>
      </c>
    </row>
    <row r="116" spans="1:4" hidden="1" x14ac:dyDescent="0.35">
      <c r="A116" s="1077" t="s">
        <v>8483</v>
      </c>
      <c r="B116" s="1404">
        <v>3512320</v>
      </c>
      <c r="C116" s="1404">
        <v>3512320</v>
      </c>
      <c r="D116" s="1026">
        <v>0</v>
      </c>
    </row>
    <row r="117" spans="1:4" hidden="1" x14ac:dyDescent="0.35">
      <c r="A117" s="1077" t="s">
        <v>166</v>
      </c>
      <c r="B117" s="1404">
        <v>66000</v>
      </c>
      <c r="C117" s="1404">
        <v>66000</v>
      </c>
      <c r="D117" s="1083">
        <v>0</v>
      </c>
    </row>
    <row r="118" spans="1:4" hidden="1" x14ac:dyDescent="0.35">
      <c r="A118" s="1077" t="s">
        <v>9006</v>
      </c>
      <c r="B118" s="1404">
        <v>300000</v>
      </c>
      <c r="C118" s="1404">
        <v>300000</v>
      </c>
      <c r="D118" s="1026">
        <v>0</v>
      </c>
    </row>
    <row r="119" spans="1:4" hidden="1" x14ac:dyDescent="0.35">
      <c r="A119" s="1077" t="s">
        <v>180</v>
      </c>
      <c r="B119" s="1404">
        <v>1849080</v>
      </c>
      <c r="C119" s="1404">
        <v>1849080</v>
      </c>
      <c r="D119" s="1026">
        <v>0</v>
      </c>
    </row>
    <row r="120" spans="1:4" x14ac:dyDescent="0.35">
      <c r="A120" s="1077" t="s">
        <v>5731</v>
      </c>
      <c r="B120" s="1404">
        <v>57000</v>
      </c>
      <c r="C120" s="1404">
        <v>57000</v>
      </c>
      <c r="D120" s="1026">
        <v>0</v>
      </c>
    </row>
    <row r="121" spans="1:4" x14ac:dyDescent="0.35">
      <c r="A121" s="1016" t="s">
        <v>5862</v>
      </c>
      <c r="B121" s="1404">
        <v>317719</v>
      </c>
      <c r="C121" s="1404">
        <v>317719</v>
      </c>
      <c r="D121" s="1026">
        <v>0</v>
      </c>
    </row>
    <row r="122" spans="1:4" x14ac:dyDescent="0.35">
      <c r="A122" s="1016" t="s">
        <v>38</v>
      </c>
      <c r="B122" s="1404">
        <v>291424</v>
      </c>
      <c r="C122" s="1404">
        <v>291424</v>
      </c>
      <c r="D122" s="1026">
        <v>0</v>
      </c>
    </row>
    <row r="123" spans="1:4" x14ac:dyDescent="0.35">
      <c r="A123" s="1016" t="s">
        <v>6157</v>
      </c>
      <c r="B123" s="1404">
        <v>126398</v>
      </c>
      <c r="C123" s="1404">
        <v>126398</v>
      </c>
      <c r="D123" s="1026">
        <v>0</v>
      </c>
    </row>
    <row r="124" spans="1:4" x14ac:dyDescent="0.35">
      <c r="A124" s="1016" t="s">
        <v>160</v>
      </c>
      <c r="B124" s="1404">
        <v>51355</v>
      </c>
      <c r="C124" s="1404">
        <v>51355</v>
      </c>
      <c r="D124" s="1026">
        <v>0</v>
      </c>
    </row>
    <row r="125" spans="1:4" x14ac:dyDescent="0.35">
      <c r="A125" s="1016" t="s">
        <v>6303</v>
      </c>
      <c r="B125" s="1404">
        <v>64600</v>
      </c>
      <c r="C125" s="1404">
        <v>64600</v>
      </c>
      <c r="D125" s="1026">
        <v>0</v>
      </c>
    </row>
    <row r="126" spans="1:4" x14ac:dyDescent="0.35">
      <c r="A126" s="1016" t="s">
        <v>2288</v>
      </c>
      <c r="B126" s="1404">
        <v>379598</v>
      </c>
      <c r="C126" s="1404">
        <v>379598</v>
      </c>
      <c r="D126" s="1026">
        <v>0</v>
      </c>
    </row>
    <row r="127" spans="1:4" x14ac:dyDescent="0.35">
      <c r="A127" s="1016" t="s">
        <v>1210</v>
      </c>
      <c r="B127" s="1404">
        <v>114450</v>
      </c>
      <c r="C127" s="1404">
        <v>114450</v>
      </c>
      <c r="D127" s="1026">
        <v>0</v>
      </c>
    </row>
    <row r="128" spans="1:4" x14ac:dyDescent="0.35">
      <c r="A128" s="1016" t="s">
        <v>2810</v>
      </c>
      <c r="B128" s="1404">
        <v>7711931</v>
      </c>
      <c r="C128" s="1404">
        <v>7711931</v>
      </c>
      <c r="D128" s="1026">
        <v>0</v>
      </c>
    </row>
    <row r="129" spans="1:4" x14ac:dyDescent="0.35">
      <c r="A129" s="1016" t="s">
        <v>6564</v>
      </c>
      <c r="B129" s="1404">
        <v>194736</v>
      </c>
      <c r="C129" s="1404">
        <v>194736</v>
      </c>
      <c r="D129" s="1026">
        <v>0</v>
      </c>
    </row>
    <row r="130" spans="1:4" x14ac:dyDescent="0.35">
      <c r="A130" s="1016" t="s">
        <v>40</v>
      </c>
      <c r="B130" s="1404">
        <v>9536720</v>
      </c>
      <c r="C130" s="1404">
        <v>9536720</v>
      </c>
      <c r="D130" s="1026">
        <v>0</v>
      </c>
    </row>
    <row r="131" spans="1:4" x14ac:dyDescent="0.35">
      <c r="A131" s="1016" t="s">
        <v>129</v>
      </c>
      <c r="B131" s="1404">
        <v>462767</v>
      </c>
      <c r="C131" s="1404">
        <v>462767</v>
      </c>
      <c r="D131" s="1026">
        <v>0</v>
      </c>
    </row>
    <row r="132" spans="1:4" x14ac:dyDescent="0.35">
      <c r="A132" s="1016" t="s">
        <v>2243</v>
      </c>
      <c r="B132" s="1404">
        <v>450880</v>
      </c>
      <c r="C132" s="1404">
        <v>450880</v>
      </c>
      <c r="D132" s="1026">
        <v>0</v>
      </c>
    </row>
    <row r="133" spans="1:4" x14ac:dyDescent="0.35">
      <c r="A133" s="1016" t="s">
        <v>6568</v>
      </c>
      <c r="B133" s="1404">
        <v>2116010</v>
      </c>
      <c r="C133" s="1404">
        <v>2116010</v>
      </c>
      <c r="D133" s="1026">
        <v>0</v>
      </c>
    </row>
    <row r="134" spans="1:4" x14ac:dyDescent="0.35">
      <c r="A134" s="1016" t="s">
        <v>171</v>
      </c>
      <c r="B134" s="1404">
        <v>46541</v>
      </c>
      <c r="C134" s="1404">
        <v>46541</v>
      </c>
      <c r="D134" s="1026">
        <v>0</v>
      </c>
    </row>
    <row r="135" spans="1:4" x14ac:dyDescent="0.35">
      <c r="A135" s="1016" t="s">
        <v>6779</v>
      </c>
      <c r="B135" s="1404">
        <v>324270</v>
      </c>
      <c r="C135" s="1404">
        <v>324270</v>
      </c>
      <c r="D135" s="1026">
        <v>0</v>
      </c>
    </row>
    <row r="136" spans="1:4" x14ac:dyDescent="0.35">
      <c r="A136" s="1016" t="s">
        <v>6849</v>
      </c>
      <c r="B136" s="1404">
        <v>300000</v>
      </c>
      <c r="C136" s="1404">
        <v>300000</v>
      </c>
      <c r="D136" s="1026">
        <v>0</v>
      </c>
    </row>
    <row r="137" spans="1:4" x14ac:dyDescent="0.35">
      <c r="A137" s="1016" t="s">
        <v>3765</v>
      </c>
      <c r="B137" s="1404">
        <v>769824</v>
      </c>
      <c r="C137" s="1404">
        <v>769824</v>
      </c>
      <c r="D137" s="1026">
        <v>0</v>
      </c>
    </row>
    <row r="138" spans="1:4" x14ac:dyDescent="0.35">
      <c r="A138" s="1016" t="s">
        <v>1404</v>
      </c>
      <c r="B138" s="1404">
        <v>5128605</v>
      </c>
      <c r="C138" s="1404">
        <v>5128605</v>
      </c>
      <c r="D138" s="1026">
        <v>0</v>
      </c>
    </row>
    <row r="139" spans="1:4" x14ac:dyDescent="0.35">
      <c r="A139" s="1016" t="s">
        <v>5770</v>
      </c>
      <c r="B139" s="1404">
        <v>283131</v>
      </c>
      <c r="C139" s="1404">
        <v>283131</v>
      </c>
      <c r="D139" s="1026">
        <v>0</v>
      </c>
    </row>
    <row r="140" spans="1:4" x14ac:dyDescent="0.35">
      <c r="A140" s="1016" t="s">
        <v>5274</v>
      </c>
      <c r="B140" s="1404">
        <v>862774</v>
      </c>
      <c r="C140" s="1404">
        <v>862774</v>
      </c>
      <c r="D140" s="1026">
        <v>0</v>
      </c>
    </row>
    <row r="141" spans="1:4" x14ac:dyDescent="0.35">
      <c r="A141" s="1016" t="s">
        <v>5367</v>
      </c>
      <c r="B141" s="1404">
        <v>52679</v>
      </c>
      <c r="C141" s="1404">
        <v>52679</v>
      </c>
      <c r="D141" s="1026">
        <v>0</v>
      </c>
    </row>
    <row r="142" spans="1:4" x14ac:dyDescent="0.35">
      <c r="A142" s="1016" t="s">
        <v>5759</v>
      </c>
      <c r="B142" s="1404">
        <v>203382</v>
      </c>
      <c r="C142" s="1404">
        <v>203382</v>
      </c>
      <c r="D142" s="1026">
        <v>0</v>
      </c>
    </row>
    <row r="143" spans="1:4" x14ac:dyDescent="0.35">
      <c r="A143" s="1016" t="s">
        <v>10683</v>
      </c>
      <c r="B143" s="1404">
        <v>2472552</v>
      </c>
      <c r="C143" s="1404">
        <v>2519082</v>
      </c>
      <c r="D143" s="1026">
        <v>-46530</v>
      </c>
    </row>
    <row r="144" spans="1:4" x14ac:dyDescent="0.35">
      <c r="A144" s="1016" t="s">
        <v>7132</v>
      </c>
      <c r="B144" s="1404">
        <v>7806281</v>
      </c>
      <c r="C144" s="1404">
        <v>7951396</v>
      </c>
      <c r="D144" s="1026">
        <v>-145115</v>
      </c>
    </row>
    <row r="145" spans="1:4" x14ac:dyDescent="0.35">
      <c r="A145" s="1016" t="s">
        <v>12027</v>
      </c>
      <c r="B145" s="1404"/>
      <c r="C145" s="1404">
        <v>1500000</v>
      </c>
      <c r="D145" s="1026">
        <v>-1500000</v>
      </c>
    </row>
    <row r="146" spans="1:4" x14ac:dyDescent="0.35">
      <c r="A146" s="1077" t="s">
        <v>180</v>
      </c>
      <c r="B146" s="1404"/>
      <c r="C146" s="1404">
        <v>1500000</v>
      </c>
      <c r="D146" s="1026">
        <v>-1500000</v>
      </c>
    </row>
    <row r="147" spans="1:4" ht="24" thickBot="1" x14ac:dyDescent="0.4">
      <c r="A147" s="1016" t="s">
        <v>11207</v>
      </c>
      <c r="B147" s="1404">
        <v>6563280</v>
      </c>
      <c r="C147" s="1404">
        <v>11000000</v>
      </c>
      <c r="D147" s="1026">
        <v>-4436720</v>
      </c>
    </row>
    <row r="148" spans="1:4" ht="24" thickBot="1" x14ac:dyDescent="0.4">
      <c r="A148" s="1028" t="s">
        <v>45</v>
      </c>
      <c r="B148" s="1029">
        <v>267004359</v>
      </c>
      <c r="C148" s="1030">
        <v>256302058</v>
      </c>
      <c r="D148" s="1031">
        <v>10702301</v>
      </c>
    </row>
    <row r="149" spans="1:4" x14ac:dyDescent="0.35">
      <c r="B149" s="1018"/>
      <c r="C149" s="1018"/>
      <c r="D149" s="1018"/>
    </row>
    <row r="150" spans="1:4" x14ac:dyDescent="0.35">
      <c r="B150" s="1018"/>
      <c r="C150" s="1018"/>
      <c r="D150" s="1018"/>
    </row>
    <row r="151" spans="1:4" x14ac:dyDescent="0.35">
      <c r="B151" s="1018"/>
      <c r="C151" s="1018"/>
      <c r="D151" s="1018"/>
    </row>
    <row r="152" spans="1:4" x14ac:dyDescent="0.35">
      <c r="B152" s="1018"/>
      <c r="C152" s="1018"/>
      <c r="D152" s="1018"/>
    </row>
    <row r="153" spans="1:4" x14ac:dyDescent="0.35">
      <c r="B153" s="1018"/>
      <c r="C153" s="1018"/>
      <c r="D153" s="1018"/>
    </row>
    <row r="154" spans="1:4" x14ac:dyDescent="0.35">
      <c r="B154" s="1018"/>
      <c r="C154" s="1018"/>
      <c r="D154" s="1018"/>
    </row>
    <row r="155" spans="1:4" x14ac:dyDescent="0.35">
      <c r="B155" s="1018"/>
      <c r="C155" s="1018"/>
      <c r="D155" s="1018"/>
    </row>
    <row r="156" spans="1:4" x14ac:dyDescent="0.35">
      <c r="B156" s="1018"/>
      <c r="C156" s="1018"/>
      <c r="D156" s="1018"/>
    </row>
    <row r="157" spans="1:4" x14ac:dyDescent="0.35">
      <c r="B157" s="1018"/>
      <c r="C157" s="1018"/>
      <c r="D157" s="1018"/>
    </row>
    <row r="158" spans="1:4" x14ac:dyDescent="0.35">
      <c r="B158" s="1018"/>
      <c r="C158" s="1018"/>
      <c r="D158" s="1018"/>
    </row>
    <row r="159" spans="1:4" x14ac:dyDescent="0.35">
      <c r="B159" s="1018"/>
      <c r="C159" s="1018"/>
      <c r="D159" s="1018"/>
    </row>
    <row r="160" spans="1:4" x14ac:dyDescent="0.35">
      <c r="B160" s="1018"/>
      <c r="C160" s="1018"/>
      <c r="D160" s="1018"/>
    </row>
    <row r="161" s="1018" customFormat="1" x14ac:dyDescent="0.35"/>
    <row r="162" s="1018" customFormat="1" x14ac:dyDescent="0.35"/>
    <row r="163" s="1018" customFormat="1" x14ac:dyDescent="0.35"/>
    <row r="164" s="1018" customFormat="1" x14ac:dyDescent="0.35"/>
    <row r="165" s="1018" customFormat="1" x14ac:dyDescent="0.35"/>
    <row r="166" s="1018" customFormat="1" x14ac:dyDescent="0.35"/>
    <row r="167" s="1018" customFormat="1" x14ac:dyDescent="0.35"/>
    <row r="168" s="1018" customFormat="1" x14ac:dyDescent="0.35"/>
    <row r="169" s="1018" customFormat="1" x14ac:dyDescent="0.35"/>
    <row r="170" s="1018" customFormat="1" x14ac:dyDescent="0.35"/>
    <row r="171" s="1018" customFormat="1" x14ac:dyDescent="0.35"/>
    <row r="172" s="1018" customFormat="1" x14ac:dyDescent="0.35"/>
    <row r="173" s="1018" customFormat="1" x14ac:dyDescent="0.35"/>
    <row r="174" s="1018" customFormat="1" x14ac:dyDescent="0.35"/>
    <row r="175" s="1018" customFormat="1" x14ac:dyDescent="0.35"/>
    <row r="176" s="1018" customFormat="1" x14ac:dyDescent="0.35"/>
    <row r="177" s="1018" customFormat="1" x14ac:dyDescent="0.35"/>
    <row r="178" s="1018" customFormat="1" x14ac:dyDescent="0.35"/>
    <row r="179" s="1018" customFormat="1" x14ac:dyDescent="0.35"/>
    <row r="180" s="1018" customFormat="1" x14ac:dyDescent="0.35"/>
    <row r="181" s="1018" customFormat="1" x14ac:dyDescent="0.35"/>
    <row r="182" s="1018" customFormat="1" x14ac:dyDescent="0.35"/>
    <row r="183" s="1018" customFormat="1" x14ac:dyDescent="0.35"/>
    <row r="184" s="1018" customFormat="1" x14ac:dyDescent="0.35"/>
    <row r="185" s="1018" customFormat="1" x14ac:dyDescent="0.35"/>
    <row r="186" s="1018" customFormat="1" x14ac:dyDescent="0.35"/>
    <row r="187" s="1018" customFormat="1" x14ac:dyDescent="0.35"/>
    <row r="188" s="1018" customFormat="1" x14ac:dyDescent="0.35"/>
    <row r="189" s="1018" customFormat="1" x14ac:dyDescent="0.35"/>
    <row r="190" s="1018" customFormat="1" x14ac:dyDescent="0.35"/>
    <row r="191" s="1018" customFormat="1" x14ac:dyDescent="0.35"/>
    <row r="192" s="1018" customFormat="1" x14ac:dyDescent="0.35"/>
    <row r="193" s="1018" customFormat="1" x14ac:dyDescent="0.35"/>
    <row r="194" s="1018" customFormat="1" x14ac:dyDescent="0.35"/>
    <row r="195" s="1018" customFormat="1" x14ac:dyDescent="0.35"/>
    <row r="196" s="1018" customFormat="1" x14ac:dyDescent="0.35"/>
    <row r="197" s="1018" customFormat="1" x14ac:dyDescent="0.35"/>
    <row r="198" s="1018" customFormat="1" x14ac:dyDescent="0.35"/>
    <row r="199" s="1018" customFormat="1" x14ac:dyDescent="0.35"/>
    <row r="200" s="1018" customFormat="1" x14ac:dyDescent="0.35"/>
    <row r="201" s="1018" customFormat="1" x14ac:dyDescent="0.35"/>
    <row r="202" s="1018" customFormat="1" x14ac:dyDescent="0.35"/>
    <row r="203" s="1018" customFormat="1" x14ac:dyDescent="0.35"/>
    <row r="204" s="1018" customFormat="1" x14ac:dyDescent="0.35"/>
    <row r="205" s="1018" customFormat="1" x14ac:dyDescent="0.35"/>
    <row r="206" s="1018" customFormat="1" x14ac:dyDescent="0.35"/>
    <row r="207" s="1018" customFormat="1" x14ac:dyDescent="0.35"/>
    <row r="208" s="1018" customFormat="1" x14ac:dyDescent="0.35"/>
    <row r="209" s="1018" customFormat="1" x14ac:dyDescent="0.35"/>
    <row r="210" s="1018" customFormat="1" x14ac:dyDescent="0.35"/>
    <row r="211" s="1018" customFormat="1" x14ac:dyDescent="0.35"/>
    <row r="212" s="1018" customFormat="1" x14ac:dyDescent="0.35"/>
    <row r="213" s="1018" customFormat="1" x14ac:dyDescent="0.35"/>
    <row r="214" s="1018" customFormat="1" x14ac:dyDescent="0.35"/>
    <row r="215" s="1018" customFormat="1" x14ac:dyDescent="0.35"/>
    <row r="216" s="1018" customFormat="1" x14ac:dyDescent="0.35"/>
    <row r="217" s="1018" customFormat="1" x14ac:dyDescent="0.35"/>
    <row r="218" s="1018" customFormat="1" x14ac:dyDescent="0.35"/>
    <row r="219" s="1018" customFormat="1" x14ac:dyDescent="0.35"/>
    <row r="220" s="1018" customFormat="1" x14ac:dyDescent="0.35"/>
    <row r="221" s="1018" customFormat="1" x14ac:dyDescent="0.35"/>
    <row r="222" s="1018" customFormat="1" x14ac:dyDescent="0.35"/>
    <row r="223" s="1018" customFormat="1" x14ac:dyDescent="0.35"/>
    <row r="224" s="1018" customFormat="1" x14ac:dyDescent="0.35"/>
    <row r="225" s="1018" customFormat="1" x14ac:dyDescent="0.35"/>
    <row r="226" s="1018" customFormat="1" x14ac:dyDescent="0.35"/>
    <row r="227" s="1018" customFormat="1" x14ac:dyDescent="0.35"/>
    <row r="228" s="1018" customFormat="1" x14ac:dyDescent="0.35"/>
    <row r="229" s="1018" customFormat="1" x14ac:dyDescent="0.35"/>
    <row r="230" s="1018" customFormat="1" x14ac:dyDescent="0.35"/>
    <row r="231" s="1018" customFormat="1" x14ac:dyDescent="0.35"/>
    <row r="232" s="1018" customFormat="1" x14ac:dyDescent="0.35"/>
    <row r="233" s="1018" customFormat="1" x14ac:dyDescent="0.35"/>
    <row r="234" s="1018" customFormat="1" x14ac:dyDescent="0.35"/>
    <row r="235" s="1018" customFormat="1" x14ac:dyDescent="0.35"/>
    <row r="236" s="1018" customFormat="1" x14ac:dyDescent="0.35"/>
    <row r="237" s="1018" customFormat="1" x14ac:dyDescent="0.35"/>
    <row r="238" s="1018" customFormat="1" x14ac:dyDescent="0.35"/>
    <row r="239" s="1018" customFormat="1" x14ac:dyDescent="0.35"/>
    <row r="240" s="1018" customFormat="1" x14ac:dyDescent="0.35"/>
    <row r="241" s="1018" customFormat="1" x14ac:dyDescent="0.35"/>
    <row r="242" s="1018" customFormat="1" x14ac:dyDescent="0.35"/>
    <row r="243" s="1018" customFormat="1" x14ac:dyDescent="0.35"/>
    <row r="244" s="1018" customFormat="1" x14ac:dyDescent="0.35"/>
    <row r="245" s="1018" customFormat="1" x14ac:dyDescent="0.35"/>
    <row r="246" s="1018" customFormat="1" x14ac:dyDescent="0.35"/>
    <row r="247" s="1018" customFormat="1" x14ac:dyDescent="0.35"/>
    <row r="248" s="1018" customFormat="1" x14ac:dyDescent="0.35"/>
    <row r="249" s="1018" customFormat="1" x14ac:dyDescent="0.35"/>
    <row r="250" s="1018" customFormat="1" x14ac:dyDescent="0.35"/>
    <row r="251" s="1018" customFormat="1" x14ac:dyDescent="0.35"/>
    <row r="252" s="1018" customFormat="1" x14ac:dyDescent="0.35"/>
    <row r="253" s="1018" customFormat="1" x14ac:dyDescent="0.35"/>
    <row r="254" s="1018" customFormat="1" x14ac:dyDescent="0.35"/>
    <row r="255" s="1018" customFormat="1" x14ac:dyDescent="0.35"/>
    <row r="256" s="1018" customFormat="1" x14ac:dyDescent="0.35"/>
    <row r="257" s="1018" customFormat="1" x14ac:dyDescent="0.35"/>
    <row r="258" s="1018" customFormat="1" x14ac:dyDescent="0.35"/>
    <row r="259" s="1018" customFormat="1" ht="24" thickBot="1" x14ac:dyDescent="0.4"/>
    <row r="260" s="1018" customFormat="1" ht="24" thickBot="1" x14ac:dyDescent="0.4"/>
    <row r="261" s="1018" customFormat="1" x14ac:dyDescent="0.35"/>
    <row r="262" s="1018" customFormat="1" x14ac:dyDescent="0.35"/>
    <row r="263" s="1018" customFormat="1" x14ac:dyDescent="0.35"/>
    <row r="264" s="1018" customFormat="1" x14ac:dyDescent="0.35"/>
    <row r="265" s="1018" customFormat="1" x14ac:dyDescent="0.35"/>
    <row r="266" s="1018" customFormat="1" x14ac:dyDescent="0.35"/>
    <row r="267" s="1018" customFormat="1" x14ac:dyDescent="0.35"/>
    <row r="268" s="1018" customFormat="1" x14ac:dyDescent="0.35"/>
    <row r="269" s="1018" customFormat="1" x14ac:dyDescent="0.35"/>
    <row r="270" s="1018" customFormat="1" x14ac:dyDescent="0.35"/>
    <row r="271" s="1018" customFormat="1" x14ac:dyDescent="0.35"/>
    <row r="272" s="1018" customFormat="1" ht="24" thickBot="1" x14ac:dyDescent="0.4"/>
    <row r="273" s="1018" customFormat="1" ht="24" thickBot="1" x14ac:dyDescent="0.4"/>
    <row r="274" s="1018" customFormat="1" x14ac:dyDescent="0.35"/>
    <row r="275" s="1018" customFormat="1" x14ac:dyDescent="0.35"/>
    <row r="276" s="1018" customFormat="1" x14ac:dyDescent="0.35"/>
    <row r="277" s="1018" customFormat="1" x14ac:dyDescent="0.35"/>
    <row r="278" s="1018" customFormat="1" x14ac:dyDescent="0.35"/>
    <row r="279" s="1018" customFormat="1" ht="24" thickBot="1" x14ac:dyDescent="0.4"/>
    <row r="280" s="1018" customFormat="1" ht="24" thickBot="1" x14ac:dyDescent="0.4"/>
    <row r="281" s="1018" customFormat="1" x14ac:dyDescent="0.35"/>
    <row r="282" s="1018" customFormat="1" x14ac:dyDescent="0.35"/>
    <row r="283" s="1018" customFormat="1" x14ac:dyDescent="0.35"/>
    <row r="284" s="1018" customFormat="1" x14ac:dyDescent="0.35"/>
    <row r="285" s="1018" customFormat="1" ht="24" thickBot="1" x14ac:dyDescent="0.4"/>
    <row r="286" s="1018" customFormat="1" ht="24" thickBot="1" x14ac:dyDescent="0.4"/>
    <row r="287" s="1018" customFormat="1" x14ac:dyDescent="0.35"/>
    <row r="288" s="1018" customFormat="1" x14ac:dyDescent="0.35"/>
    <row r="289" s="1018" customFormat="1" x14ac:dyDescent="0.35"/>
    <row r="290" s="1018" customFormat="1" x14ac:dyDescent="0.35"/>
    <row r="291" s="1018" customFormat="1" x14ac:dyDescent="0.35"/>
    <row r="292" s="1018" customFormat="1" x14ac:dyDescent="0.35"/>
    <row r="293" s="1018" customFormat="1" x14ac:dyDescent="0.35"/>
    <row r="294" s="1018" customFormat="1" x14ac:dyDescent="0.35"/>
    <row r="295" s="1018" customFormat="1" x14ac:dyDescent="0.35"/>
    <row r="296" s="1018" customFormat="1" x14ac:dyDescent="0.35"/>
    <row r="297" s="1018" customFormat="1" x14ac:dyDescent="0.35"/>
    <row r="298" s="1018" customFormat="1" x14ac:dyDescent="0.35"/>
    <row r="299" s="1018" customFormat="1" x14ac:dyDescent="0.35"/>
    <row r="300" s="1018" customFormat="1" x14ac:dyDescent="0.35"/>
    <row r="301" s="1018" customFormat="1" x14ac:dyDescent="0.35"/>
    <row r="302" s="1018" customFormat="1" x14ac:dyDescent="0.35"/>
    <row r="303" s="1018" customFormat="1" x14ac:dyDescent="0.35"/>
    <row r="304" s="1018" customFormat="1" x14ac:dyDescent="0.35"/>
    <row r="305" s="1018" customFormat="1" ht="24" thickBot="1" x14ac:dyDescent="0.4"/>
    <row r="306" s="1018" customFormat="1" ht="24" thickBot="1" x14ac:dyDescent="0.4"/>
    <row r="307" s="1018" customFormat="1" x14ac:dyDescent="0.35"/>
    <row r="308" s="1018" customFormat="1" x14ac:dyDescent="0.35"/>
    <row r="309" s="1018" customFormat="1" x14ac:dyDescent="0.35"/>
    <row r="310" s="1018" customFormat="1" x14ac:dyDescent="0.35"/>
    <row r="311" s="1018" customFormat="1" x14ac:dyDescent="0.35"/>
    <row r="312" s="1018" customFormat="1" x14ac:dyDescent="0.35"/>
    <row r="313" s="1018" customFormat="1" x14ac:dyDescent="0.35"/>
    <row r="314" s="1018" customFormat="1" x14ac:dyDescent="0.35"/>
    <row r="315" s="1018" customFormat="1" x14ac:dyDescent="0.35"/>
    <row r="316" s="1018" customFormat="1" x14ac:dyDescent="0.35"/>
    <row r="317" s="1018" customFormat="1" ht="24" thickBot="1" x14ac:dyDescent="0.4"/>
    <row r="318" s="1018" customFormat="1" ht="24" thickBot="1" x14ac:dyDescent="0.4"/>
    <row r="319" s="1018" customFormat="1" x14ac:dyDescent="0.35"/>
    <row r="320" s="1018" customFormat="1" x14ac:dyDescent="0.35"/>
    <row r="321" s="1018" customFormat="1" x14ac:dyDescent="0.35"/>
    <row r="322" s="1018" customFormat="1" x14ac:dyDescent="0.35"/>
    <row r="323" s="1018" customFormat="1" x14ac:dyDescent="0.35"/>
    <row r="324" s="1018" customFormat="1" x14ac:dyDescent="0.35"/>
    <row r="325" s="1018" customFormat="1" x14ac:dyDescent="0.35"/>
    <row r="326" s="1018" customFormat="1" x14ac:dyDescent="0.35"/>
    <row r="327" s="1018" customFormat="1" x14ac:dyDescent="0.35"/>
    <row r="328" s="1018" customFormat="1" x14ac:dyDescent="0.35"/>
    <row r="329" s="1018" customFormat="1" ht="24" thickBot="1" x14ac:dyDescent="0.4"/>
    <row r="330" s="1018" customFormat="1" ht="24" thickBot="1" x14ac:dyDescent="0.4"/>
    <row r="331" s="1018" customFormat="1" x14ac:dyDescent="0.35"/>
    <row r="332" s="1018" customFormat="1" x14ac:dyDescent="0.35"/>
    <row r="333" s="1018" customFormat="1" x14ac:dyDescent="0.35"/>
    <row r="334" s="1018" customFormat="1" x14ac:dyDescent="0.35"/>
    <row r="335" s="1018" customFormat="1" x14ac:dyDescent="0.35"/>
    <row r="336" s="1018" customFormat="1" x14ac:dyDescent="0.35"/>
    <row r="337" s="1018" customFormat="1" ht="24" thickBot="1" x14ac:dyDescent="0.4"/>
    <row r="338" s="1018" customFormat="1" ht="24" thickBot="1" x14ac:dyDescent="0.4"/>
    <row r="339" s="1018" customFormat="1" x14ac:dyDescent="0.35"/>
    <row r="340" s="1018" customFormat="1" ht="24" thickBot="1" x14ac:dyDescent="0.4"/>
    <row r="341" s="1018" customFormat="1" x14ac:dyDescent="0.35"/>
    <row r="342" s="1018" customFormat="1" x14ac:dyDescent="0.35"/>
    <row r="343" s="1018" customFormat="1" x14ac:dyDescent="0.35"/>
    <row r="344" s="1018" customFormat="1" x14ac:dyDescent="0.35"/>
    <row r="345" s="1018" customFormat="1" x14ac:dyDescent="0.35"/>
    <row r="346" s="1018" customFormat="1" x14ac:dyDescent="0.35"/>
    <row r="347" s="1018" customFormat="1" x14ac:dyDescent="0.35"/>
    <row r="348" s="1018" customFormat="1" x14ac:dyDescent="0.35"/>
    <row r="349" s="1018" customFormat="1" x14ac:dyDescent="0.35"/>
    <row r="350" s="1018" customFormat="1" x14ac:dyDescent="0.35"/>
    <row r="351" s="1018" customFormat="1" x14ac:dyDescent="0.35"/>
    <row r="352" s="1018" customFormat="1" x14ac:dyDescent="0.35"/>
    <row r="353" s="1018" customFormat="1" x14ac:dyDescent="0.35"/>
    <row r="354" s="1018" customFormat="1" x14ac:dyDescent="0.35"/>
    <row r="355" s="1018" customFormat="1" x14ac:dyDescent="0.35"/>
    <row r="356" s="1018" customFormat="1" x14ac:dyDescent="0.35"/>
    <row r="357" s="1018" customFormat="1" x14ac:dyDescent="0.35"/>
    <row r="358" s="1018" customFormat="1" ht="24" thickBot="1" x14ac:dyDescent="0.4"/>
    <row r="359" s="1018" customFormat="1" ht="24" thickBot="1" x14ac:dyDescent="0.4"/>
    <row r="360" s="1018" customFormat="1" x14ac:dyDescent="0.35"/>
    <row r="361" s="1018" customFormat="1" x14ac:dyDescent="0.35"/>
    <row r="362" s="1018" customFormat="1" x14ac:dyDescent="0.35"/>
    <row r="363" s="1018" customFormat="1" x14ac:dyDescent="0.35"/>
    <row r="364" s="1018" customFormat="1" x14ac:dyDescent="0.35"/>
    <row r="365" s="1018" customFormat="1" x14ac:dyDescent="0.35"/>
    <row r="366" s="1018" customFormat="1" ht="24" thickBot="1" x14ac:dyDescent="0.4"/>
    <row r="367" s="101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4" sqref="C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7" t="s">
        <v>1779</v>
      </c>
      <c r="E1" s="361"/>
      <c r="I1" s="361"/>
      <c r="AP1" s="101" t="s">
        <v>1779</v>
      </c>
    </row>
    <row r="3" spans="1:42" ht="15.75" thickBot="1" x14ac:dyDescent="0.3"/>
    <row r="4" spans="1:42" x14ac:dyDescent="0.25">
      <c r="A4" s="1244" t="s">
        <v>10425</v>
      </c>
      <c r="B4" s="1245"/>
      <c r="C4" s="1246"/>
      <c r="E4" s="1244" t="s">
        <v>8101</v>
      </c>
      <c r="F4" s="1245"/>
      <c r="G4" s="1246"/>
      <c r="I4" s="1244" t="s">
        <v>7153</v>
      </c>
      <c r="J4" s="1245"/>
      <c r="K4" s="1246"/>
      <c r="M4" s="1244" t="s">
        <v>6070</v>
      </c>
      <c r="N4" s="1245"/>
      <c r="O4" s="1246"/>
      <c r="Q4" s="1244" t="s">
        <v>5112</v>
      </c>
      <c r="R4" s="1245"/>
      <c r="S4" s="1246"/>
      <c r="U4" s="1244" t="s">
        <v>3693</v>
      </c>
      <c r="V4" s="1245"/>
      <c r="W4" s="1246"/>
      <c r="Y4" s="1244" t="s">
        <v>2663</v>
      </c>
      <c r="Z4" s="1245"/>
      <c r="AA4" s="1246"/>
      <c r="AC4" s="1250" t="s">
        <v>6072</v>
      </c>
      <c r="AD4" s="1251"/>
      <c r="AE4" s="1252"/>
      <c r="AG4" s="1267" t="s">
        <v>1092</v>
      </c>
      <c r="AH4" s="1268"/>
      <c r="AI4" s="1269"/>
    </row>
    <row r="5" spans="1:42" ht="21" customHeight="1" x14ac:dyDescent="0.25">
      <c r="A5" s="1247"/>
      <c r="B5" s="1248"/>
      <c r="C5" s="1249"/>
      <c r="E5" s="1247"/>
      <c r="F5" s="1248"/>
      <c r="G5" s="1249"/>
      <c r="I5" s="1247"/>
      <c r="J5" s="1248"/>
      <c r="K5" s="1249"/>
      <c r="M5" s="1247"/>
      <c r="N5" s="1248"/>
      <c r="O5" s="1249"/>
      <c r="Q5" s="1247"/>
      <c r="R5" s="1248"/>
      <c r="S5" s="1249"/>
      <c r="U5" s="1247"/>
      <c r="V5" s="1248"/>
      <c r="W5" s="1249"/>
      <c r="Y5" s="1247"/>
      <c r="Z5" s="1248"/>
      <c r="AA5" s="1249"/>
      <c r="AB5" s="3"/>
      <c r="AC5" s="1253"/>
      <c r="AD5" s="1254"/>
      <c r="AE5" s="1255"/>
      <c r="AG5" s="1267"/>
      <c r="AH5" s="1268"/>
      <c r="AI5" s="1269"/>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SUM(Posting!E17330:E17697)</f>
        <v>29819510</v>
      </c>
      <c r="C11" s="282">
        <f>SUM(Posting!F17330:F17697)</f>
        <v>17824961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f>SUM(Posting!E17698:E22699)</f>
        <v>13712759.583333334</v>
      </c>
      <c r="C12" s="282">
        <f>SUM(Posting!F17698:F22699)</f>
        <v>20521305</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SUM(Posting!B15267:B21717)</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136534173.9623656</v>
      </c>
      <c r="C19" s="285">
        <f>SUM(C7:C18)</f>
        <v>153748232</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17214058.037634403</v>
      </c>
      <c r="G21" s="712">
        <f>G19-F19</f>
        <v>46800541.815737337</v>
      </c>
      <c r="K21" s="712">
        <f>K19-J19</f>
        <v>15703108.030833334</v>
      </c>
      <c r="O21" s="3">
        <f>O19-N19</f>
        <v>12408423.384024575</v>
      </c>
      <c r="Z21" s="3"/>
    </row>
    <row r="22" spans="1:37" ht="15.75" x14ac:dyDescent="0.25">
      <c r="A22" s="1270"/>
      <c r="B22" s="1270"/>
      <c r="C22" s="1"/>
      <c r="G22" s="712"/>
      <c r="I22" s="1270" t="s">
        <v>7786</v>
      </c>
      <c r="J22" s="1270"/>
      <c r="K22" s="1">
        <v>2831635</v>
      </c>
      <c r="Q22" s="3">
        <f>O19-N19</f>
        <v>12408423.384024575</v>
      </c>
      <c r="U22" s="3"/>
      <c r="V22" s="3"/>
      <c r="Y22" s="3"/>
      <c r="AC22" s="3"/>
      <c r="AG22" s="3"/>
    </row>
    <row r="23" spans="1:37" ht="15.75" customHeight="1" x14ac:dyDescent="0.3">
      <c r="A23" s="1270"/>
      <c r="B23" s="1270"/>
      <c r="C23" s="1"/>
      <c r="E23" s="1271" t="s">
        <v>11529</v>
      </c>
      <c r="F23" s="1271"/>
      <c r="G23" s="1271"/>
      <c r="I23" s="1270" t="s">
        <v>7787</v>
      </c>
      <c r="J23" s="1270"/>
      <c r="K23" s="1">
        <v>476160</v>
      </c>
      <c r="Q23" s="1">
        <v>12408423</v>
      </c>
      <c r="S23" s="3"/>
      <c r="U23" s="1"/>
      <c r="Y23" s="1"/>
      <c r="AC23" s="1"/>
      <c r="AG23" s="1"/>
    </row>
    <row r="24" spans="1:37" ht="21" x14ac:dyDescent="0.25">
      <c r="A24" s="1270"/>
      <c r="B24" s="1270"/>
      <c r="C24" s="1"/>
      <c r="E24" s="1076" t="s">
        <v>897</v>
      </c>
      <c r="F24" s="1076" t="s">
        <v>3</v>
      </c>
      <c r="G24" s="1076" t="s">
        <v>4</v>
      </c>
      <c r="I24" s="1270" t="s">
        <v>8262</v>
      </c>
      <c r="J24" s="1270"/>
      <c r="K24" s="1">
        <v>2434251</v>
      </c>
    </row>
    <row r="25" spans="1:37" ht="18.75" x14ac:dyDescent="0.25">
      <c r="C25" s="3"/>
      <c r="E25" s="2" t="s">
        <v>11531</v>
      </c>
      <c r="F25" s="1041">
        <f ca="1">SUMIF(Posting!$B:$E,"Meezan Bank Head Office",Posting!$E:$E)</f>
        <v>17434875</v>
      </c>
      <c r="G25" s="1041">
        <f ca="1">SUMIF(Posting!$B:$F,"Meezan Bank Head Office",Posting!$F:$F)</f>
        <v>19830000</v>
      </c>
      <c r="K25" s="3">
        <f>K21-K22-K23-K24</f>
        <v>9961062.0308333337</v>
      </c>
    </row>
    <row r="26" spans="1:37" ht="18.75" x14ac:dyDescent="0.25">
      <c r="E26" s="2" t="s">
        <v>11530</v>
      </c>
      <c r="F26" s="1041">
        <f ca="1">SUMIF(Posting!$B:$E,"Saifee Hospital",Posting!$E:$E)</f>
        <v>2000330</v>
      </c>
      <c r="G26" s="1041">
        <f ca="1">SUMIF(Posting!$B:$F,"Saifee Hospital",Posting!$F:$F)</f>
        <v>2434251</v>
      </c>
    </row>
    <row r="27" spans="1:37" x14ac:dyDescent="0.25">
      <c r="B27" s="1"/>
      <c r="C27" s="3"/>
      <c r="G27" s="3"/>
      <c r="J27" s="1"/>
      <c r="K27" s="3">
        <f>K25+G21</f>
        <v>56761603.846570671</v>
      </c>
    </row>
    <row r="28" spans="1:37" ht="19.5" thickBot="1" x14ac:dyDescent="0.35">
      <c r="C28" s="3"/>
      <c r="E28" s="283" t="s">
        <v>11532</v>
      </c>
      <c r="F28" s="284">
        <f ca="1">F19-F25-F26</f>
        <v>132859750.60426268</v>
      </c>
      <c r="G28" s="285">
        <f ca="1">G19-G25-G26</f>
        <v>176831246.42000002</v>
      </c>
      <c r="K28" s="3"/>
    </row>
    <row r="29" spans="1:37" x14ac:dyDescent="0.25">
      <c r="F29" s="1"/>
      <c r="G29" s="3"/>
    </row>
    <row r="30" spans="1:37" ht="15.75" x14ac:dyDescent="0.25">
      <c r="B30" s="3"/>
      <c r="G30" s="712">
        <f ca="1">G28-F28</f>
        <v>43971495.815737337</v>
      </c>
    </row>
    <row r="32" spans="1:37" x14ac:dyDescent="0.25">
      <c r="F32" s="3"/>
    </row>
    <row r="37" spans="32:42" ht="15.75" thickBot="1" x14ac:dyDescent="0.3"/>
    <row r="38" spans="32:42" ht="15" customHeight="1" x14ac:dyDescent="0.25">
      <c r="AF38" s="1258" t="s">
        <v>2664</v>
      </c>
      <c r="AG38" s="1259"/>
      <c r="AH38" s="1259"/>
      <c r="AI38" s="1259"/>
      <c r="AJ38" s="1259"/>
      <c r="AK38" s="1259"/>
      <c r="AL38" s="1259"/>
      <c r="AM38" s="1259"/>
      <c r="AN38" s="1259"/>
      <c r="AO38" s="1259"/>
      <c r="AP38" s="1260"/>
    </row>
    <row r="39" spans="32:42" ht="15" customHeight="1" x14ac:dyDescent="0.25">
      <c r="AF39" s="1261"/>
      <c r="AG39" s="1262"/>
      <c r="AH39" s="1262"/>
      <c r="AI39" s="1262"/>
      <c r="AJ39" s="1262"/>
      <c r="AK39" s="1262"/>
      <c r="AL39" s="1262"/>
      <c r="AM39" s="1262"/>
      <c r="AN39" s="1262"/>
      <c r="AO39" s="1262"/>
      <c r="AP39" s="1263"/>
    </row>
    <row r="40" spans="32:42" ht="15.75" thickBot="1" x14ac:dyDescent="0.3">
      <c r="AF40" s="1264"/>
      <c r="AG40" s="1265"/>
      <c r="AH40" s="1265"/>
      <c r="AI40" s="1265"/>
      <c r="AJ40" s="1265"/>
      <c r="AK40" s="1265"/>
      <c r="AL40" s="1265"/>
      <c r="AM40" s="1265"/>
      <c r="AN40" s="1265"/>
      <c r="AO40" s="1265"/>
      <c r="AP40" s="1266"/>
    </row>
    <row r="41" spans="32:42" ht="14.45" customHeight="1" x14ac:dyDescent="0.25">
      <c r="AN41" s="1256" t="s">
        <v>2663</v>
      </c>
      <c r="AO41" s="1256"/>
      <c r="AP41" s="1256"/>
    </row>
    <row r="42" spans="32:42" ht="26.25" customHeight="1" x14ac:dyDescent="0.25">
      <c r="AN42" s="1257"/>
      <c r="AO42" s="1257"/>
      <c r="AP42" s="1257"/>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38" t="s">
        <v>1208</v>
      </c>
      <c r="AG58" s="1239"/>
      <c r="AH58" s="1240"/>
    </row>
    <row r="59" spans="32:42" ht="15" hidden="1" customHeight="1" x14ac:dyDescent="0.25">
      <c r="AF59" s="1241"/>
      <c r="AG59" s="1242"/>
      <c r="AH59" s="1243"/>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4" workbookViewId="0">
      <selection activeCell="I67" sqref="I6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78" t="s">
        <v>5522</v>
      </c>
      <c r="B1" s="1278"/>
      <c r="C1" s="1278"/>
      <c r="D1" s="1278"/>
      <c r="E1" s="1278"/>
      <c r="F1" s="1278"/>
      <c r="G1" s="1278"/>
      <c r="H1" s="1278"/>
      <c r="I1" s="1278"/>
      <c r="J1" s="1278"/>
    </row>
    <row r="2" spans="1:11" x14ac:dyDescent="0.25">
      <c r="A2" s="1278"/>
      <c r="B2" s="1278"/>
      <c r="C2" s="1278"/>
      <c r="D2" s="1278"/>
      <c r="E2" s="1278"/>
      <c r="F2" s="1278"/>
      <c r="G2" s="1278"/>
      <c r="H2" s="1278"/>
      <c r="I2" s="1278"/>
      <c r="J2" s="1278"/>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277" t="s">
        <v>5531</v>
      </c>
      <c r="B11" s="1277"/>
      <c r="C11" s="1277"/>
      <c r="D11" s="1277"/>
    </row>
    <row r="12" spans="1:11" x14ac:dyDescent="0.25">
      <c r="A12" s="369" t="s">
        <v>5205</v>
      </c>
      <c r="B12" s="369" t="s">
        <v>944</v>
      </c>
      <c r="C12" s="369" t="s">
        <v>1209</v>
      </c>
      <c r="D12" s="369" t="s">
        <v>1907</v>
      </c>
      <c r="E12" s="3"/>
      <c r="G12" s="1279" t="s">
        <v>5532</v>
      </c>
      <c r="H12" s="1280"/>
      <c r="I12" s="1281"/>
      <c r="J12" s="379">
        <f>H9+I9+J9</f>
        <v>9658438.778794989</v>
      </c>
    </row>
    <row r="13" spans="1:11" x14ac:dyDescent="0.25">
      <c r="A13" s="2" t="s">
        <v>5206</v>
      </c>
      <c r="B13" s="15">
        <v>9323439</v>
      </c>
      <c r="C13" s="15">
        <v>9323439</v>
      </c>
      <c r="D13" s="15">
        <v>9605968</v>
      </c>
      <c r="G13" s="1279" t="s">
        <v>5533</v>
      </c>
      <c r="H13" s="1280"/>
      <c r="I13" s="1281"/>
      <c r="J13" s="379">
        <f>J31</f>
        <v>5549996</v>
      </c>
    </row>
    <row r="14" spans="1:11" x14ac:dyDescent="0.25">
      <c r="A14" s="2" t="s">
        <v>5207</v>
      </c>
      <c r="B14" s="15">
        <v>7575873</v>
      </c>
      <c r="C14" s="15">
        <v>7575873</v>
      </c>
      <c r="D14" s="15">
        <v>7805445</v>
      </c>
      <c r="G14" s="1279" t="s">
        <v>5534</v>
      </c>
      <c r="H14" s="1280"/>
      <c r="I14" s="1281"/>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282" t="s">
        <v>5535</v>
      </c>
      <c r="G18" s="1282"/>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277" t="s">
        <v>5539</v>
      </c>
      <c r="J22" s="1277"/>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58" t="s">
        <v>7956</v>
      </c>
      <c r="B40" s="1259"/>
      <c r="C40" s="1259"/>
      <c r="D40" s="1259"/>
      <c r="E40" s="1259"/>
      <c r="F40" s="1259"/>
      <c r="G40" s="1259"/>
      <c r="H40" s="1259"/>
      <c r="I40" s="1259"/>
      <c r="J40" s="1259"/>
      <c r="K40" s="1260"/>
    </row>
    <row r="41" spans="1:12" ht="15.75" thickBot="1" x14ac:dyDescent="0.3">
      <c r="A41" s="1264"/>
      <c r="B41" s="1265"/>
      <c r="C41" s="1265"/>
      <c r="D41" s="1265"/>
      <c r="E41" s="1265"/>
      <c r="F41" s="1265"/>
      <c r="G41" s="1265"/>
      <c r="H41" s="1265"/>
      <c r="I41" s="1265"/>
      <c r="J41" s="1265"/>
      <c r="K41" s="1266"/>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58" t="s">
        <v>7234</v>
      </c>
      <c r="B51" s="1259"/>
      <c r="C51" s="1259"/>
      <c r="D51" s="1259"/>
      <c r="E51" s="1259"/>
      <c r="F51" s="1259"/>
      <c r="G51" s="1259"/>
      <c r="H51" s="1259"/>
      <c r="I51" s="1259"/>
      <c r="J51" s="1259"/>
      <c r="K51" s="1260"/>
    </row>
    <row r="52" spans="1:14" ht="15.75" thickBot="1" x14ac:dyDescent="0.3">
      <c r="A52" s="1264"/>
      <c r="B52" s="1265"/>
      <c r="C52" s="1265"/>
      <c r="D52" s="1265"/>
      <c r="E52" s="1265"/>
      <c r="F52" s="1265"/>
      <c r="G52" s="1265"/>
      <c r="H52" s="1265"/>
      <c r="I52" s="1265"/>
      <c r="J52" s="1265"/>
      <c r="K52" s="1266"/>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61" t="s">
        <v>7235</v>
      </c>
      <c r="B59" s="1262"/>
      <c r="C59" s="1262"/>
      <c r="D59" s="1262"/>
      <c r="E59" s="1262"/>
      <c r="F59" s="1262"/>
      <c r="G59" s="1262"/>
      <c r="H59" s="1262"/>
      <c r="I59" s="1262"/>
      <c r="J59" s="1262"/>
      <c r="K59" s="1262"/>
      <c r="L59" s="982"/>
      <c r="M59" s="982"/>
    </row>
    <row r="60" spans="1:14" ht="15.75" customHeight="1" x14ac:dyDescent="0.25">
      <c r="A60" s="1275"/>
      <c r="B60" s="1276"/>
      <c r="C60" s="1276"/>
      <c r="D60" s="1276"/>
      <c r="E60" s="1276"/>
      <c r="F60" s="1276"/>
      <c r="G60" s="1276"/>
      <c r="H60" s="1276"/>
      <c r="I60" s="1276"/>
      <c r="J60" s="1276"/>
      <c r="K60" s="1276"/>
      <c r="L60" s="982"/>
      <c r="M60" s="982"/>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4"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4502000</v>
      </c>
    </row>
    <row r="64" spans="1:14" x14ac:dyDescent="0.25">
      <c r="H64" s="377" t="s">
        <v>5530</v>
      </c>
      <c r="I64" s="291">
        <f>I62-I63</f>
        <v>812196.33017500024</v>
      </c>
      <c r="J64" s="291">
        <f>J62-J63</f>
        <v>811417.33017500024</v>
      </c>
      <c r="K64" s="291">
        <f>K62-K63</f>
        <v>1003111.3704833342</v>
      </c>
      <c r="M64" s="3"/>
      <c r="N64" s="3"/>
    </row>
    <row r="65" spans="1:20" ht="15.75" thickBot="1" x14ac:dyDescent="0.3">
      <c r="L65" s="3"/>
      <c r="M65" s="3"/>
    </row>
    <row r="66" spans="1:20" ht="15.75" thickBot="1" x14ac:dyDescent="0.3">
      <c r="E66" s="1272" t="s">
        <v>10510</v>
      </c>
      <c r="F66" s="1273"/>
      <c r="G66" s="1274"/>
      <c r="H66" s="377"/>
      <c r="I66" s="291">
        <v>811417</v>
      </c>
      <c r="J66" s="291">
        <v>811417</v>
      </c>
      <c r="K66" s="291">
        <v>811417</v>
      </c>
      <c r="L66" s="3"/>
      <c r="M66" s="3"/>
    </row>
    <row r="67" spans="1:20" x14ac:dyDescent="0.25">
      <c r="L67" s="3"/>
    </row>
    <row r="68" spans="1:20" s="946" customFormat="1" ht="21.75" customHeight="1" x14ac:dyDescent="0.25">
      <c r="G68" s="964"/>
      <c r="H68" s="979" t="s">
        <v>10511</v>
      </c>
      <c r="I68" s="981" t="s">
        <v>2646</v>
      </c>
      <c r="J68" s="981" t="s">
        <v>2646</v>
      </c>
      <c r="K68" s="981" t="s">
        <v>2646</v>
      </c>
      <c r="L68" s="965">
        <f>K64-K66</f>
        <v>191694.37048333418</v>
      </c>
      <c r="M68" s="965"/>
      <c r="N68" s="964"/>
      <c r="O68" s="964"/>
      <c r="P68" s="964"/>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8" t="s">
        <v>8244</v>
      </c>
      <c r="B74" s="1259"/>
      <c r="C74" s="1259"/>
      <c r="D74" s="1259"/>
      <c r="E74" s="1259"/>
      <c r="F74" s="1259"/>
      <c r="G74" s="1259"/>
      <c r="H74" s="1259"/>
      <c r="I74" s="1259"/>
      <c r="J74" s="1259"/>
      <c r="K74" s="1259"/>
      <c r="L74" s="1260"/>
    </row>
    <row r="75" spans="1:20" ht="15.75" customHeight="1" thickBot="1" x14ac:dyDescent="0.3">
      <c r="A75" s="1264"/>
      <c r="B75" s="1265"/>
      <c r="C75" s="1265"/>
      <c r="D75" s="1265"/>
      <c r="E75" s="1265"/>
      <c r="F75" s="1265"/>
      <c r="G75" s="1265"/>
      <c r="H75" s="1265"/>
      <c r="I75" s="1265"/>
      <c r="J75" s="1265"/>
      <c r="K75" s="1265"/>
      <c r="L75" s="1266"/>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6" customFormat="1" ht="30" x14ac:dyDescent="0.25">
      <c r="I78" s="980" t="s">
        <v>6042</v>
      </c>
      <c r="J78" s="521">
        <f>Receiving!I139</f>
        <v>11609683</v>
      </c>
      <c r="K78" s="521">
        <f>Receiving!N139</f>
        <v>9500000</v>
      </c>
      <c r="L78" s="375">
        <f>Receiving!D139</f>
        <v>270000</v>
      </c>
    </row>
    <row r="79" spans="1:20" s="946" customFormat="1" ht="30" x14ac:dyDescent="0.25">
      <c r="I79" s="980" t="s">
        <v>5530</v>
      </c>
      <c r="J79" s="521">
        <f>J77-J78</f>
        <v>1689607.3391933218</v>
      </c>
      <c r="K79" s="521">
        <f>K77-K78</f>
        <v>3799290.3391933218</v>
      </c>
      <c r="L79" s="521">
        <f>L77-L78</f>
        <v>13432299.137350695</v>
      </c>
      <c r="O79" s="964"/>
      <c r="P79" s="964"/>
      <c r="Q79" s="964"/>
      <c r="T79" s="965"/>
    </row>
    <row r="80" spans="1:20" x14ac:dyDescent="0.25">
      <c r="N80" s="1"/>
      <c r="O80" s="1"/>
      <c r="P80" s="1"/>
    </row>
    <row r="81" spans="1:17" x14ac:dyDescent="0.25">
      <c r="N81" s="1"/>
      <c r="O81" s="1"/>
      <c r="P81" s="1"/>
    </row>
    <row r="82" spans="1:17" s="946" customFormat="1" ht="26.25" customHeight="1" x14ac:dyDescent="0.25">
      <c r="C82" s="1283" t="s">
        <v>10609</v>
      </c>
      <c r="D82" s="1284"/>
      <c r="E82" s="1284"/>
      <c r="F82" s="1284"/>
      <c r="G82" s="1284"/>
      <c r="H82" s="1285"/>
      <c r="I82" s="993"/>
      <c r="J82" s="993">
        <f>19830000/3</f>
        <v>6610000</v>
      </c>
      <c r="K82" s="993">
        <f>19830000/3</f>
        <v>6610000</v>
      </c>
      <c r="L82" s="993">
        <f>19830000/3</f>
        <v>6610000</v>
      </c>
      <c r="M82" s="965"/>
    </row>
    <row r="83" spans="1:17" x14ac:dyDescent="0.25">
      <c r="M83" s="3"/>
    </row>
    <row r="84" spans="1:17" s="946" customFormat="1" ht="26.25" customHeight="1" x14ac:dyDescent="0.25">
      <c r="C84" s="1283" t="s">
        <v>10648</v>
      </c>
      <c r="D84" s="1284"/>
      <c r="E84" s="1284"/>
      <c r="F84" s="1284"/>
      <c r="G84" s="1284"/>
      <c r="H84" s="1285"/>
      <c r="I84" s="984"/>
      <c r="J84" s="521">
        <f>3221500/3</f>
        <v>1073833.3333333333</v>
      </c>
      <c r="K84" s="521">
        <f>3221500/3</f>
        <v>1073833.3333333333</v>
      </c>
      <c r="L84" s="521">
        <f>3221500/3</f>
        <v>1073833.3333333333</v>
      </c>
      <c r="M84" s="965"/>
    </row>
    <row r="85" spans="1:17" x14ac:dyDescent="0.25">
      <c r="M85" s="3"/>
    </row>
    <row r="86" spans="1:17" s="946" customFormat="1" ht="21.75" customHeight="1" x14ac:dyDescent="0.25">
      <c r="G86" s="964"/>
      <c r="H86" s="964"/>
      <c r="I86" s="979" t="s">
        <v>10511</v>
      </c>
      <c r="J86" s="981">
        <f>J79-J82-J84</f>
        <v>-5994225.9941400113</v>
      </c>
      <c r="K86" s="981">
        <f>K79-K82-K84</f>
        <v>-3884542.9941400113</v>
      </c>
      <c r="L86" s="981">
        <f>L79-L82-L84</f>
        <v>5748465.8040173622</v>
      </c>
      <c r="N86" s="990">
        <f>L86+K86+J86</f>
        <v>-4130303.1842626603</v>
      </c>
      <c r="O86" s="964"/>
      <c r="P86" s="964"/>
      <c r="Q86" s="964"/>
    </row>
    <row r="87" spans="1:17" x14ac:dyDescent="0.25">
      <c r="N87" s="1"/>
      <c r="O87" s="1"/>
      <c r="P87" s="1"/>
    </row>
    <row r="88" spans="1:17" ht="15.75" thickBot="1" x14ac:dyDescent="0.3">
      <c r="N88" s="1"/>
      <c r="O88" s="1"/>
      <c r="P88" s="1"/>
    </row>
    <row r="89" spans="1:17" x14ac:dyDescent="0.25">
      <c r="A89" s="1258" t="s">
        <v>10512</v>
      </c>
      <c r="B89" s="1259"/>
      <c r="C89" s="1259"/>
      <c r="D89" s="1259"/>
      <c r="E89" s="1259"/>
      <c r="F89" s="1259"/>
      <c r="G89" s="1259"/>
      <c r="H89" s="1259"/>
      <c r="I89" s="1259"/>
      <c r="J89" s="1259"/>
      <c r="K89" s="1260"/>
      <c r="L89" s="3"/>
      <c r="M89" s="3"/>
    </row>
    <row r="90" spans="1:17" ht="15.75" thickBot="1" x14ac:dyDescent="0.3">
      <c r="A90" s="1264"/>
      <c r="B90" s="1265"/>
      <c r="C90" s="1265"/>
      <c r="D90" s="1265"/>
      <c r="E90" s="1265"/>
      <c r="F90" s="1265"/>
      <c r="G90" s="1265"/>
      <c r="H90" s="1265"/>
      <c r="I90" s="1265"/>
      <c r="J90" s="1265"/>
      <c r="K90" s="1266"/>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136534173.9623656</v>
      </c>
      <c r="C92" s="375">
        <f>'Main Summary'!C19</f>
        <v>153748232</v>
      </c>
      <c r="D92" s="375">
        <f>C92-B92</f>
        <v>17214058.037634403</v>
      </c>
      <c r="E92" s="375"/>
      <c r="F92" s="375"/>
      <c r="G92" s="520"/>
      <c r="H92" s="521">
        <f>D92-E92+F92-G92</f>
        <v>17214058.037634403</v>
      </c>
      <c r="I92" s="375">
        <f>H92*33%</f>
        <v>5680639.1524193529</v>
      </c>
      <c r="J92" s="375">
        <f>H92*33%</f>
        <v>5680639.1524193529</v>
      </c>
      <c r="K92" s="375">
        <f>H92*34%</f>
        <v>5852779.7327956976</v>
      </c>
      <c r="L92" s="3"/>
      <c r="Q92" s="3"/>
    </row>
    <row r="93" spans="1:17" ht="30" x14ac:dyDescent="0.25">
      <c r="H93" s="376" t="s">
        <v>6042</v>
      </c>
      <c r="I93" s="291">
        <f>Receiving!I125</f>
        <v>2000000</v>
      </c>
      <c r="J93" s="291">
        <f>Receiving!N125</f>
        <v>0</v>
      </c>
      <c r="K93" s="15">
        <f>Receiving!D125</f>
        <v>0</v>
      </c>
    </row>
    <row r="94" spans="1:17" ht="30" x14ac:dyDescent="0.25">
      <c r="H94" s="376" t="s">
        <v>5530</v>
      </c>
      <c r="I94" s="291">
        <f>I92-I93</f>
        <v>3680639.1524193529</v>
      </c>
      <c r="J94" s="291">
        <f t="shared" ref="J94:K94" si="5">J92-J93</f>
        <v>5680639.1524193529</v>
      </c>
      <c r="K94" s="291">
        <f t="shared" si="5"/>
        <v>5852779.7327956976</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6" workbookViewId="0">
      <selection activeCell="M29" sqref="M29"/>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2" t="s">
        <v>9610</v>
      </c>
      <c r="C1" s="1313"/>
      <c r="D1" s="1313"/>
      <c r="E1" s="1314"/>
      <c r="G1" s="1290" t="s">
        <v>11525</v>
      </c>
      <c r="H1" s="1291"/>
      <c r="I1" s="1291"/>
      <c r="J1" s="1292"/>
      <c r="L1" s="1306" t="s">
        <v>9610</v>
      </c>
      <c r="M1" s="1307"/>
      <c r="N1" s="1307"/>
      <c r="O1" s="1308"/>
      <c r="S1" s="1312" t="s">
        <v>9610</v>
      </c>
      <c r="T1" s="1313"/>
      <c r="U1" s="1313"/>
      <c r="V1" s="1314"/>
    </row>
    <row r="2" spans="2:22" ht="21" x14ac:dyDescent="0.35">
      <c r="B2" s="1309" t="s">
        <v>10512</v>
      </c>
      <c r="C2" s="1310"/>
      <c r="D2" s="1310"/>
      <c r="E2" s="1311"/>
      <c r="G2" s="1290" t="s">
        <v>11524</v>
      </c>
      <c r="H2" s="1291"/>
      <c r="I2" s="1291"/>
      <c r="J2" s="1292"/>
      <c r="L2" s="1309" t="s">
        <v>8244</v>
      </c>
      <c r="M2" s="1310"/>
      <c r="N2" s="1310"/>
      <c r="O2" s="1311"/>
      <c r="S2" s="1309" t="s">
        <v>7235</v>
      </c>
      <c r="T2" s="1310"/>
      <c r="U2" s="1310"/>
      <c r="V2" s="1311"/>
    </row>
    <row r="3" spans="2:22" ht="19.5" thickBot="1" x14ac:dyDescent="0.35">
      <c r="B3" s="947"/>
      <c r="C3" s="4"/>
      <c r="D3" s="4"/>
      <c r="E3" s="948"/>
      <c r="G3" s="947"/>
      <c r="H3" s="4"/>
      <c r="I3" s="4"/>
      <c r="J3" s="948"/>
      <c r="L3" s="947"/>
      <c r="M3" s="4"/>
      <c r="N3" s="4"/>
      <c r="O3" s="948"/>
      <c r="S3" s="947"/>
      <c r="T3" s="4"/>
      <c r="U3" s="4"/>
      <c r="V3" s="948"/>
    </row>
    <row r="4" spans="2:22" ht="21.75" thickBot="1" x14ac:dyDescent="0.4">
      <c r="B4" s="1286" t="s">
        <v>9603</v>
      </c>
      <c r="C4" s="1287"/>
      <c r="D4" s="1287"/>
      <c r="E4" s="949">
        <f>'Main Summary'!B19</f>
        <v>136534173.9623656</v>
      </c>
      <c r="G4" s="1290" t="s">
        <v>11526</v>
      </c>
      <c r="H4" s="1291"/>
      <c r="I4" s="1291"/>
      <c r="J4" s="1292"/>
      <c r="L4" s="1286" t="s">
        <v>9603</v>
      </c>
      <c r="M4" s="1287"/>
      <c r="N4" s="1287"/>
      <c r="O4" s="949">
        <f ca="1">'Main Summary'!F19-J5-J10</f>
        <v>137668700.60426268</v>
      </c>
      <c r="S4" s="1286" t="s">
        <v>9603</v>
      </c>
      <c r="T4" s="1287"/>
      <c r="U4" s="1287"/>
      <c r="V4" s="949">
        <f>'Main Summary'!J19</f>
        <v>66512286.479166672</v>
      </c>
    </row>
    <row r="5" spans="2:22" ht="19.5" thickBot="1" x14ac:dyDescent="0.35">
      <c r="B5" s="1286" t="s">
        <v>9604</v>
      </c>
      <c r="C5" s="1287"/>
      <c r="D5" s="1287"/>
      <c r="E5" s="949">
        <f>'Main Summary'!C19</f>
        <v>153748232</v>
      </c>
      <c r="G5" s="1286" t="s">
        <v>9603</v>
      </c>
      <c r="H5" s="1287"/>
      <c r="I5" s="1287"/>
      <c r="J5" s="1054">
        <f ca="1">SUMIF(Posting!$B1:$E17316,"Meezan Bank Head Office",Posting!$E1:$E17316)</f>
        <v>13034925</v>
      </c>
      <c r="L5" s="1286" t="s">
        <v>9604</v>
      </c>
      <c r="M5" s="1287"/>
      <c r="N5" s="1287"/>
      <c r="O5" s="949">
        <f ca="1">'Main Summary'!G19-J6-J11</f>
        <v>176831246.42000002</v>
      </c>
      <c r="S5" s="1286" t="s">
        <v>9604</v>
      </c>
      <c r="T5" s="1287"/>
      <c r="U5" s="1287"/>
      <c r="V5" s="949">
        <f>'Main Summary'!K19</f>
        <v>82215394.510000005</v>
      </c>
    </row>
    <row r="6" spans="2:22" ht="18.75" x14ac:dyDescent="0.3">
      <c r="B6" s="1286" t="s">
        <v>2636</v>
      </c>
      <c r="C6" s="1287"/>
      <c r="D6" s="1287"/>
      <c r="E6" s="949">
        <f>E5-E4</f>
        <v>17214058.037634403</v>
      </c>
      <c r="G6" s="1286" t="s">
        <v>9604</v>
      </c>
      <c r="H6" s="1287"/>
      <c r="I6" s="1287"/>
      <c r="J6" s="1039">
        <f ca="1">SUMIF(Posting!$B1:$F17316,"Meezan Bank Head Office",Posting!$F1:$F17316)</f>
        <v>19830000</v>
      </c>
      <c r="L6" s="1286" t="s">
        <v>2636</v>
      </c>
      <c r="M6" s="1287"/>
      <c r="N6" s="1287"/>
      <c r="O6" s="949">
        <f ca="1">O5-O4</f>
        <v>39162545.815737337</v>
      </c>
      <c r="S6" s="1286" t="s">
        <v>2636</v>
      </c>
      <c r="T6" s="1287"/>
      <c r="U6" s="1287"/>
      <c r="V6" s="949">
        <f>V5-V4</f>
        <v>15703108.030833334</v>
      </c>
    </row>
    <row r="7" spans="2:22" ht="18.75" x14ac:dyDescent="0.3">
      <c r="B7" s="1286"/>
      <c r="C7" s="1287"/>
      <c r="D7" s="1287"/>
      <c r="E7" s="949"/>
      <c r="G7" s="1286" t="s">
        <v>2636</v>
      </c>
      <c r="H7" s="1287"/>
      <c r="I7" s="1287"/>
      <c r="J7" s="949">
        <f ca="1">J6-J5</f>
        <v>6795075</v>
      </c>
      <c r="L7" s="1286"/>
      <c r="M7" s="1287"/>
      <c r="N7" s="1287"/>
      <c r="O7" s="949"/>
      <c r="S7" s="1286"/>
      <c r="T7" s="1287"/>
      <c r="U7" s="1287"/>
      <c r="V7" s="949"/>
    </row>
    <row r="8" spans="2:22" ht="19.5" thickBot="1" x14ac:dyDescent="0.35">
      <c r="B8" s="1288" t="s">
        <v>11168</v>
      </c>
      <c r="C8" s="1289"/>
      <c r="D8" s="1289"/>
      <c r="E8" s="949"/>
      <c r="G8" s="1286"/>
      <c r="H8" s="1287"/>
      <c r="I8" s="1287"/>
      <c r="J8" s="949"/>
      <c r="L8" s="1288" t="s">
        <v>11168</v>
      </c>
      <c r="M8" s="1289"/>
      <c r="N8" s="1289"/>
      <c r="O8" s="949"/>
      <c r="S8" s="1286" t="s">
        <v>9605</v>
      </c>
      <c r="T8" s="1287"/>
      <c r="U8" s="1287"/>
      <c r="V8" s="949">
        <v>300000</v>
      </c>
    </row>
    <row r="9" spans="2:22" ht="21.75" thickBot="1" x14ac:dyDescent="0.4">
      <c r="B9" s="1286" t="s">
        <v>9607</v>
      </c>
      <c r="C9" s="1287"/>
      <c r="D9" s="1287"/>
      <c r="E9" s="950"/>
      <c r="G9" s="1290" t="s">
        <v>11527</v>
      </c>
      <c r="H9" s="1291"/>
      <c r="I9" s="1291"/>
      <c r="J9" s="1292"/>
      <c r="L9" s="1286" t="s">
        <v>9607</v>
      </c>
      <c r="M9" s="1287"/>
      <c r="N9" s="1287"/>
      <c r="O9" s="950">
        <v>526260</v>
      </c>
      <c r="S9" s="1286" t="s">
        <v>9606</v>
      </c>
      <c r="T9" s="1287"/>
      <c r="U9" s="1287"/>
      <c r="V9" s="949">
        <v>526260</v>
      </c>
    </row>
    <row r="10" spans="2:22" s="946" customFormat="1" ht="19.5" thickBot="1" x14ac:dyDescent="0.35">
      <c r="B10" s="1286"/>
      <c r="C10" s="1287"/>
      <c r="D10" s="1287"/>
      <c r="E10" s="950"/>
      <c r="G10" s="1286" t="s">
        <v>9603</v>
      </c>
      <c r="H10" s="1287"/>
      <c r="I10" s="1287"/>
      <c r="J10" s="1054">
        <f ca="1">SUMIF(Posting!$B1:$E17316,"Saifee Hospital",Posting!$E1:$E17316)</f>
        <v>1591330</v>
      </c>
      <c r="L10" s="1286"/>
      <c r="M10" s="1287"/>
      <c r="N10" s="1287"/>
      <c r="O10" s="950"/>
      <c r="S10" s="1286" t="s">
        <v>9607</v>
      </c>
      <c r="T10" s="1287"/>
      <c r="U10" s="1287"/>
      <c r="V10" s="950">
        <v>1314656</v>
      </c>
    </row>
    <row r="11" spans="2:22" ht="18.75" x14ac:dyDescent="0.3">
      <c r="B11" s="1288" t="s">
        <v>2636</v>
      </c>
      <c r="C11" s="1289"/>
      <c r="D11" s="1289"/>
      <c r="E11" s="949">
        <f>E9+E6</f>
        <v>17214058.037634403</v>
      </c>
      <c r="G11" s="1286" t="s">
        <v>9604</v>
      </c>
      <c r="H11" s="1287"/>
      <c r="I11" s="1287"/>
      <c r="J11" s="1039">
        <f ca="1">SUMIF(Posting!$B1:$F17316,"Saifee Hospital",Posting!$F1:$F17316)</f>
        <v>2434251</v>
      </c>
      <c r="L11" s="1288" t="s">
        <v>2636</v>
      </c>
      <c r="M11" s="1289"/>
      <c r="N11" s="1289"/>
      <c r="O11" s="949">
        <f ca="1">O9+O6</f>
        <v>39688805.815737337</v>
      </c>
      <c r="S11" s="1286" t="s">
        <v>2638</v>
      </c>
      <c r="T11" s="1287"/>
      <c r="U11" s="1287"/>
      <c r="V11" s="949">
        <f>V6-V8-V9+V10</f>
        <v>16191504.030833334</v>
      </c>
    </row>
    <row r="12" spans="2:22" ht="21" x14ac:dyDescent="0.35">
      <c r="B12" s="1298"/>
      <c r="C12" s="1299"/>
      <c r="D12" s="1300"/>
      <c r="E12" s="949"/>
      <c r="G12" s="1286" t="s">
        <v>2636</v>
      </c>
      <c r="H12" s="1287"/>
      <c r="I12" s="1287"/>
      <c r="J12" s="949">
        <f ca="1">J11-J10</f>
        <v>842921</v>
      </c>
      <c r="L12" s="1298"/>
      <c r="M12" s="1299"/>
      <c r="N12" s="1300"/>
      <c r="O12" s="949"/>
      <c r="S12" s="1315" t="s">
        <v>9608</v>
      </c>
      <c r="T12" s="1316"/>
      <c r="U12" s="1316"/>
      <c r="V12" s="953">
        <v>2434251</v>
      </c>
    </row>
    <row r="13" spans="2:22" s="986" customFormat="1" ht="21.75" thickBot="1" x14ac:dyDescent="0.4">
      <c r="B13" s="1303" t="s">
        <v>11167</v>
      </c>
      <c r="C13" s="1304"/>
      <c r="D13" s="1305"/>
      <c r="E13" s="949"/>
      <c r="G13" s="1288"/>
      <c r="H13" s="1289"/>
      <c r="I13" s="1289"/>
      <c r="J13" s="949"/>
      <c r="L13" s="1303" t="s">
        <v>11167</v>
      </c>
      <c r="M13" s="1304"/>
      <c r="N13" s="1305"/>
      <c r="O13" s="949"/>
      <c r="S13" s="1293" t="s">
        <v>2638</v>
      </c>
      <c r="T13" s="1294"/>
      <c r="U13" s="1294"/>
      <c r="V13" s="985">
        <f>V11-V12</f>
        <v>13757253.030833334</v>
      </c>
    </row>
    <row r="14" spans="2:22" ht="18.75" x14ac:dyDescent="0.3">
      <c r="B14" s="1298" t="s">
        <v>9605</v>
      </c>
      <c r="C14" s="1299"/>
      <c r="D14" s="1300"/>
      <c r="E14" s="949">
        <v>300000</v>
      </c>
      <c r="G14" s="1298"/>
      <c r="H14" s="1299"/>
      <c r="I14" s="1300"/>
      <c r="J14" s="949"/>
      <c r="L14" s="1298" t="s">
        <v>9605</v>
      </c>
      <c r="M14" s="1299"/>
      <c r="N14" s="1300"/>
      <c r="O14" s="949">
        <v>300000</v>
      </c>
      <c r="S14" s="951"/>
      <c r="T14" s="951"/>
      <c r="U14" s="951"/>
      <c r="V14" s="952"/>
    </row>
    <row r="15" spans="2:22" ht="18.75" x14ac:dyDescent="0.3">
      <c r="B15" s="1298" t="s">
        <v>9606</v>
      </c>
      <c r="C15" s="1299"/>
      <c r="D15" s="1300"/>
      <c r="E15" s="949"/>
      <c r="F15" s="310"/>
      <c r="K15" s="310"/>
      <c r="L15" s="1298" t="s">
        <v>9606</v>
      </c>
      <c r="M15" s="1299"/>
      <c r="N15" s="1300"/>
      <c r="O15" s="949">
        <v>500000</v>
      </c>
      <c r="P15" s="310"/>
      <c r="Q15" s="310"/>
      <c r="R15" s="310"/>
      <c r="S15" s="951"/>
      <c r="T15" s="951"/>
      <c r="U15" s="951"/>
      <c r="V15" s="952"/>
    </row>
    <row r="16" spans="2:22" ht="18.75" x14ac:dyDescent="0.3">
      <c r="B16" s="1298" t="s">
        <v>11170</v>
      </c>
      <c r="C16" s="1299"/>
      <c r="D16" s="1300"/>
      <c r="E16" s="949"/>
      <c r="F16" s="310"/>
      <c r="K16" s="310"/>
      <c r="L16" s="1298" t="s">
        <v>11170</v>
      </c>
      <c r="M16" s="1299"/>
      <c r="N16" s="1300"/>
      <c r="O16" s="1119">
        <v>0</v>
      </c>
      <c r="P16" s="310"/>
      <c r="Q16" s="310"/>
      <c r="R16" s="310"/>
      <c r="S16" s="951"/>
      <c r="T16" s="951"/>
      <c r="U16" s="951"/>
      <c r="V16" s="952"/>
    </row>
    <row r="17" spans="2:22" ht="21" x14ac:dyDescent="0.35">
      <c r="B17" s="1301" t="s">
        <v>11166</v>
      </c>
      <c r="C17" s="1302"/>
      <c r="D17" s="1302"/>
      <c r="E17" s="1066"/>
      <c r="F17" s="310"/>
      <c r="J17" s="3">
        <f ca="1">J12+J7</f>
        <v>7637996</v>
      </c>
      <c r="K17" s="310"/>
      <c r="L17" s="1301" t="s">
        <v>11528</v>
      </c>
      <c r="M17" s="1302"/>
      <c r="N17" s="1302"/>
      <c r="O17" s="1066">
        <v>3707947</v>
      </c>
      <c r="P17" s="310"/>
      <c r="Q17" s="310"/>
      <c r="R17" s="310"/>
      <c r="S17" s="951"/>
      <c r="T17" s="951"/>
      <c r="U17" s="951"/>
      <c r="V17" s="952"/>
    </row>
    <row r="18" spans="2:22" ht="21" x14ac:dyDescent="0.35">
      <c r="B18" s="1301" t="s">
        <v>10610</v>
      </c>
      <c r="C18" s="1302"/>
      <c r="D18" s="1302"/>
      <c r="E18" s="1066"/>
      <c r="F18" s="310"/>
      <c r="K18" s="310"/>
      <c r="L18" s="1301"/>
      <c r="M18" s="1302"/>
      <c r="N18" s="1302"/>
      <c r="O18" s="1066"/>
      <c r="P18" s="310"/>
      <c r="Q18" s="310"/>
      <c r="R18" s="310"/>
      <c r="S18" s="951"/>
      <c r="T18" s="951"/>
      <c r="U18" s="951"/>
      <c r="V18" s="952"/>
    </row>
    <row r="19" spans="2:22" ht="19.5" thickBot="1" x14ac:dyDescent="0.35">
      <c r="B19" s="1288"/>
      <c r="C19" s="1289"/>
      <c r="D19" s="1289"/>
      <c r="E19" s="1067"/>
      <c r="F19" s="310"/>
      <c r="K19" s="310"/>
      <c r="L19" s="1288"/>
      <c r="M19" s="1289"/>
      <c r="N19" s="1289"/>
      <c r="O19" s="1067"/>
      <c r="P19" s="310"/>
      <c r="Q19" s="310"/>
      <c r="R19" s="310"/>
      <c r="S19" s="951"/>
      <c r="T19" s="951"/>
      <c r="U19" s="951"/>
      <c r="V19" s="952"/>
    </row>
    <row r="20" spans="2:22" ht="21" x14ac:dyDescent="0.35">
      <c r="B20" s="1288" t="s">
        <v>11169</v>
      </c>
      <c r="C20" s="1289"/>
      <c r="D20" s="1289"/>
      <c r="E20" s="1066">
        <f>SUM(E14:E19)</f>
        <v>300000</v>
      </c>
      <c r="L20" s="1288" t="s">
        <v>11169</v>
      </c>
      <c r="M20" s="1289"/>
      <c r="N20" s="1289"/>
      <c r="O20" s="1066">
        <f>SUM(O14:O19)</f>
        <v>4507947</v>
      </c>
      <c r="S20" s="1295" t="s">
        <v>9609</v>
      </c>
      <c r="T20" s="1296"/>
      <c r="U20" s="1296"/>
      <c r="V20" s="1297"/>
    </row>
    <row r="21" spans="2:22" s="946" customFormat="1" ht="21" x14ac:dyDescent="0.35">
      <c r="B21" s="1301"/>
      <c r="C21" s="1302"/>
      <c r="D21" s="1302"/>
      <c r="E21" s="1066"/>
      <c r="G21"/>
      <c r="H21"/>
      <c r="I21"/>
      <c r="J21"/>
      <c r="L21" s="1301"/>
      <c r="M21" s="1302"/>
      <c r="N21" s="1302"/>
      <c r="O21" s="1066"/>
      <c r="S21" s="987" t="s">
        <v>9611</v>
      </c>
      <c r="T21" s="983" t="s">
        <v>4790</v>
      </c>
      <c r="U21" s="983" t="s">
        <v>1209</v>
      </c>
      <c r="V21" s="989" t="s">
        <v>1907</v>
      </c>
    </row>
    <row r="22" spans="2:22" s="946" customFormat="1" ht="21.75" thickBot="1" x14ac:dyDescent="0.4">
      <c r="B22" s="1293" t="s">
        <v>2638</v>
      </c>
      <c r="C22" s="1294"/>
      <c r="D22" s="1294"/>
      <c r="E22" s="985">
        <f>E11-E20</f>
        <v>16914058.037634403</v>
      </c>
      <c r="G22"/>
      <c r="H22"/>
      <c r="I22"/>
      <c r="J22"/>
      <c r="L22" s="1293" t="s">
        <v>2638</v>
      </c>
      <c r="M22" s="1294"/>
      <c r="N22" s="1294"/>
      <c r="O22" s="985">
        <f ca="1">O11-O20</f>
        <v>35180858.815737337</v>
      </c>
      <c r="S22" s="956" t="s">
        <v>9612</v>
      </c>
      <c r="T22" s="962">
        <v>0.33</v>
      </c>
      <c r="U22" s="962">
        <v>0.33</v>
      </c>
      <c r="V22" s="963">
        <v>0.34</v>
      </c>
    </row>
    <row r="23" spans="2:22" s="945" customFormat="1" ht="29.25" customHeight="1" thickBot="1" x14ac:dyDescent="0.35">
      <c r="B23" s="951"/>
      <c r="C23" s="951"/>
      <c r="D23" s="951"/>
      <c r="E23" s="952"/>
      <c r="G23"/>
      <c r="H23"/>
      <c r="I23"/>
      <c r="J23"/>
      <c r="L23" s="951"/>
      <c r="M23" s="951"/>
      <c r="N23" s="951"/>
      <c r="O23" s="952"/>
      <c r="S23" s="956" t="s">
        <v>4630</v>
      </c>
      <c r="T23" s="957">
        <f>T22*V13</f>
        <v>4539893.5001750002</v>
      </c>
      <c r="U23" s="957">
        <f>U22*V13</f>
        <v>4539893.5001750002</v>
      </c>
      <c r="V23" s="950">
        <f>V22*V13</f>
        <v>4677466.0304833334</v>
      </c>
    </row>
    <row r="24" spans="2:22" s="946" customFormat="1" ht="37.5" x14ac:dyDescent="0.3">
      <c r="B24" s="1295" t="s">
        <v>9609</v>
      </c>
      <c r="C24" s="1296"/>
      <c r="D24" s="1296"/>
      <c r="E24" s="1297"/>
      <c r="G24"/>
      <c r="H24"/>
      <c r="I24"/>
      <c r="J24"/>
      <c r="L24" s="1295" t="s">
        <v>9609</v>
      </c>
      <c r="M24" s="1296"/>
      <c r="N24" s="1296"/>
      <c r="O24" s="1297"/>
      <c r="S24" s="954" t="s">
        <v>9613</v>
      </c>
      <c r="T24" s="958">
        <f>Receiving!I109</f>
        <v>4531000</v>
      </c>
      <c r="U24" s="958">
        <f>Receiving!N109</f>
        <v>4531779</v>
      </c>
      <c r="V24" s="959">
        <f>Receiving!D109</f>
        <v>4502000</v>
      </c>
    </row>
    <row r="25" spans="2:22" ht="38.25" thickBot="1" x14ac:dyDescent="0.3">
      <c r="B25" s="987" t="s">
        <v>9611</v>
      </c>
      <c r="C25" s="763" t="s">
        <v>4790</v>
      </c>
      <c r="D25" s="763" t="s">
        <v>1209</v>
      </c>
      <c r="E25" s="988" t="s">
        <v>1907</v>
      </c>
      <c r="L25" s="987" t="s">
        <v>9611</v>
      </c>
      <c r="M25" s="983" t="s">
        <v>4790</v>
      </c>
      <c r="N25" s="983" t="s">
        <v>1209</v>
      </c>
      <c r="O25" s="989" t="s">
        <v>1907</v>
      </c>
      <c r="S25" s="955" t="s">
        <v>9614</v>
      </c>
      <c r="T25" s="1081" t="s">
        <v>2646</v>
      </c>
      <c r="U25" s="1081" t="s">
        <v>2646</v>
      </c>
      <c r="V25" s="1082">
        <f t="shared" ref="V25" si="0">V23-V24</f>
        <v>175466.03048333339</v>
      </c>
    </row>
    <row r="26" spans="2:22" ht="18.75" x14ac:dyDescent="0.25">
      <c r="B26" s="956" t="s">
        <v>9612</v>
      </c>
      <c r="C26" s="962">
        <v>0.33</v>
      </c>
      <c r="D26" s="962">
        <v>0.33</v>
      </c>
      <c r="E26" s="963">
        <v>0.34</v>
      </c>
      <c r="L26" s="987" t="s">
        <v>9612</v>
      </c>
      <c r="M26" s="1068">
        <v>0.33</v>
      </c>
      <c r="N26" s="1068">
        <v>0.33</v>
      </c>
      <c r="O26" s="1069">
        <v>0.34</v>
      </c>
    </row>
    <row r="27" spans="2:22" ht="18.75" x14ac:dyDescent="0.25">
      <c r="B27" s="956" t="s">
        <v>4630</v>
      </c>
      <c r="C27" s="957">
        <f>C26*E22</f>
        <v>5581639.1524193529</v>
      </c>
      <c r="D27" s="957">
        <f>D26*E22</f>
        <v>5581639.1524193529</v>
      </c>
      <c r="E27" s="950">
        <f>E26*E22</f>
        <v>5750779.7327956976</v>
      </c>
      <c r="L27" s="956" t="s">
        <v>4630</v>
      </c>
      <c r="M27" s="957">
        <f ca="1">M26*O22</f>
        <v>11609683.409193322</v>
      </c>
      <c r="N27" s="957">
        <f ca="1">N26*O22</f>
        <v>11609683.409193322</v>
      </c>
      <c r="O27" s="950">
        <f ca="1">O26*O22</f>
        <v>11961491.997350695</v>
      </c>
    </row>
    <row r="28" spans="2:22" ht="37.5" x14ac:dyDescent="0.25">
      <c r="B28" s="954" t="s">
        <v>9613</v>
      </c>
      <c r="C28" s="958"/>
      <c r="D28" s="958"/>
      <c r="E28" s="959"/>
      <c r="L28" s="954" t="s">
        <v>9613</v>
      </c>
      <c r="M28" s="958">
        <f>Receiving!I139</f>
        <v>11609683</v>
      </c>
      <c r="N28" s="958">
        <f>Receiving!N139</f>
        <v>9500000</v>
      </c>
      <c r="O28" s="959">
        <f>Receiving!D139</f>
        <v>270000</v>
      </c>
    </row>
    <row r="29" spans="2:22" ht="38.25" thickBot="1" x14ac:dyDescent="0.3">
      <c r="B29" s="955" t="s">
        <v>9614</v>
      </c>
      <c r="C29" s="960">
        <f>C27-C28</f>
        <v>5581639.1524193529</v>
      </c>
      <c r="D29" s="960">
        <f t="shared" ref="D29:E29" si="1">D27-D28</f>
        <v>5581639.1524193529</v>
      </c>
      <c r="E29" s="961">
        <f t="shared" si="1"/>
        <v>5750779.7327956976</v>
      </c>
      <c r="L29" s="955" t="s">
        <v>9614</v>
      </c>
      <c r="M29" s="960">
        <f ca="1">M27-M28</f>
        <v>0.40919332206249237</v>
      </c>
      <c r="N29" s="960">
        <f t="shared" ref="N29" ca="1" si="2">N27-N28</f>
        <v>2109683.4091933221</v>
      </c>
      <c r="O29" s="961">
        <f t="shared" ref="O29" ca="1" si="3">O27-O28</f>
        <v>11691491.997350695</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00" workbookViewId="0">
      <selection activeCell="B125" sqref="B12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38" t="s">
        <v>1779</v>
      </c>
      <c r="B1" s="1338"/>
      <c r="C1" s="1338"/>
      <c r="D1" s="1338"/>
      <c r="E1" s="1338"/>
      <c r="F1" s="1338"/>
      <c r="G1" s="1338"/>
      <c r="H1" s="1338"/>
      <c r="I1" s="1338"/>
      <c r="J1" s="1338"/>
      <c r="K1" s="1338"/>
      <c r="L1" s="1338"/>
      <c r="M1" s="1338"/>
      <c r="N1" s="1338"/>
    </row>
    <row r="2" spans="1:14" ht="14.45" customHeight="1" x14ac:dyDescent="0.25">
      <c r="A2" s="1338"/>
      <c r="B2" s="1338"/>
      <c r="C2" s="1338"/>
      <c r="D2" s="1338"/>
      <c r="E2" s="1338"/>
      <c r="F2" s="1338"/>
      <c r="G2" s="1338"/>
      <c r="H2" s="1338"/>
      <c r="I2" s="1338"/>
      <c r="J2" s="1338"/>
      <c r="K2" s="1338"/>
      <c r="L2" s="1338"/>
      <c r="M2" s="1338"/>
      <c r="N2" s="1338"/>
    </row>
    <row r="3" spans="1:14" ht="14.45" customHeight="1" x14ac:dyDescent="0.25">
      <c r="A3" s="1339" t="s">
        <v>4752</v>
      </c>
      <c r="B3" s="1339"/>
      <c r="C3" s="1339"/>
      <c r="D3" s="1339"/>
      <c r="E3" s="1339"/>
      <c r="F3" s="1339"/>
      <c r="G3" s="1339"/>
      <c r="H3" s="1339"/>
      <c r="I3" s="1339"/>
      <c r="J3" s="1339"/>
      <c r="K3" s="1339"/>
      <c r="L3" s="1339"/>
      <c r="M3" s="1339"/>
      <c r="N3" s="1339"/>
    </row>
    <row r="4" spans="1:14" ht="14.45" customHeight="1" x14ac:dyDescent="0.25">
      <c r="A4" s="1339"/>
      <c r="B4" s="1339"/>
      <c r="C4" s="1339"/>
      <c r="D4" s="1339"/>
      <c r="E4" s="1339"/>
      <c r="F4" s="1339"/>
      <c r="G4" s="1339"/>
      <c r="H4" s="1339"/>
      <c r="I4" s="1339"/>
      <c r="J4" s="1339"/>
      <c r="K4" s="1339"/>
      <c r="L4" s="1339"/>
      <c r="M4" s="1339"/>
      <c r="N4" s="1339"/>
    </row>
    <row r="6" spans="1:14" x14ac:dyDescent="0.25">
      <c r="A6" s="1325" t="s">
        <v>6043</v>
      </c>
      <c r="B6" s="1325"/>
      <c r="C6" s="1325"/>
      <c r="D6" s="1325"/>
      <c r="E6" s="1325"/>
      <c r="F6" s="1325"/>
      <c r="G6" s="1325"/>
      <c r="H6" s="1325"/>
      <c r="I6" s="1325"/>
      <c r="J6" s="1325"/>
      <c r="K6" s="1325"/>
      <c r="L6" s="1325"/>
      <c r="M6" s="1325"/>
      <c r="N6" s="1325"/>
    </row>
    <row r="7" spans="1:14" x14ac:dyDescent="0.25">
      <c r="A7" s="1325"/>
      <c r="B7" s="1325"/>
      <c r="C7" s="1325"/>
      <c r="D7" s="1325"/>
      <c r="E7" s="1325"/>
      <c r="F7" s="1325"/>
      <c r="G7" s="1325"/>
      <c r="H7" s="1325"/>
      <c r="I7" s="1325"/>
      <c r="J7" s="1325"/>
      <c r="K7" s="1325"/>
      <c r="L7" s="1325"/>
      <c r="M7" s="1325"/>
      <c r="N7" s="1325"/>
    </row>
    <row r="8" spans="1:14" x14ac:dyDescent="0.25">
      <c r="A8" s="1326" t="s">
        <v>6074</v>
      </c>
      <c r="B8" s="1326"/>
      <c r="C8" s="1326"/>
      <c r="D8" s="1326"/>
      <c r="E8" s="1326"/>
      <c r="F8" s="1326"/>
      <c r="G8" s="1326"/>
      <c r="H8" s="1326"/>
      <c r="I8" s="1326"/>
      <c r="J8" s="1326"/>
      <c r="K8" s="1326"/>
      <c r="L8" s="1326"/>
      <c r="M8" s="1326"/>
      <c r="N8" s="1326"/>
    </row>
    <row r="9" spans="1:14" x14ac:dyDescent="0.25">
      <c r="A9" s="1326"/>
      <c r="B9" s="1326"/>
      <c r="C9" s="1326"/>
      <c r="D9" s="1326"/>
      <c r="E9" s="1326"/>
      <c r="F9" s="1326"/>
      <c r="G9" s="1326"/>
      <c r="H9" s="1326"/>
      <c r="I9" s="1326"/>
      <c r="J9" s="1326"/>
      <c r="K9" s="1326"/>
      <c r="L9" s="1326"/>
      <c r="M9" s="1326"/>
      <c r="N9" s="1326"/>
    </row>
    <row r="10" spans="1:14" ht="14.45" customHeight="1" x14ac:dyDescent="0.25">
      <c r="A10" s="1327" t="s">
        <v>1907</v>
      </c>
      <c r="B10" s="1328"/>
      <c r="C10" s="1328"/>
      <c r="D10" s="1329"/>
      <c r="E10" s="472"/>
      <c r="F10" s="1336" t="s">
        <v>4790</v>
      </c>
      <c r="G10" s="1336"/>
      <c r="H10" s="1336"/>
      <c r="I10" s="1336"/>
      <c r="K10" s="1337" t="s">
        <v>1209</v>
      </c>
      <c r="L10" s="1337"/>
      <c r="M10" s="1337"/>
      <c r="N10" s="1337"/>
    </row>
    <row r="11" spans="1:14" ht="14.45" customHeight="1" x14ac:dyDescent="0.25">
      <c r="A11" s="1330"/>
      <c r="B11" s="1331"/>
      <c r="C11" s="1331"/>
      <c r="D11" s="1332"/>
      <c r="E11" s="473"/>
      <c r="F11" s="1336"/>
      <c r="G11" s="1336"/>
      <c r="H11" s="1336"/>
      <c r="I11" s="1336"/>
      <c r="K11" s="1337"/>
      <c r="L11" s="1337"/>
      <c r="M11" s="1337"/>
      <c r="N11" s="1337"/>
    </row>
    <row r="12" spans="1:14" ht="14.45" customHeight="1" x14ac:dyDescent="0.25">
      <c r="A12" s="1333"/>
      <c r="B12" s="1334"/>
      <c r="C12" s="1334"/>
      <c r="D12" s="1335"/>
      <c r="E12" s="474"/>
      <c r="F12" s="1336"/>
      <c r="G12" s="1336"/>
      <c r="H12" s="1336"/>
      <c r="I12" s="1336"/>
      <c r="K12" s="1337"/>
      <c r="L12" s="1337"/>
      <c r="M12" s="1337"/>
      <c r="N12" s="1337"/>
    </row>
    <row r="13" spans="1:14" ht="27" thickBot="1" x14ac:dyDescent="0.3">
      <c r="A13" s="1317" t="s">
        <v>4629</v>
      </c>
      <c r="B13" s="1318"/>
      <c r="C13" s="1318"/>
      <c r="D13" s="1319"/>
      <c r="E13" s="475"/>
      <c r="F13" s="1320" t="s">
        <v>4629</v>
      </c>
      <c r="G13" s="1321"/>
      <c r="H13" s="1321"/>
      <c r="I13" s="1322"/>
      <c r="K13" s="1320" t="s">
        <v>4629</v>
      </c>
      <c r="L13" s="1321"/>
      <c r="M13" s="1321"/>
      <c r="N13" s="1322"/>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289" t="s">
        <v>4635</v>
      </c>
      <c r="B39" s="1289"/>
      <c r="C39" s="1289"/>
      <c r="D39" s="211">
        <f>SUM(D15:D38)</f>
        <v>6567291</v>
      </c>
      <c r="E39" s="481"/>
      <c r="F39" s="1323" t="s">
        <v>4635</v>
      </c>
      <c r="G39" s="1323"/>
      <c r="H39" s="1324"/>
      <c r="I39" s="437">
        <f>SUM(I15:I38)</f>
        <v>6374135</v>
      </c>
      <c r="K39" s="1323" t="s">
        <v>4635</v>
      </c>
      <c r="L39" s="1323"/>
      <c r="M39" s="1324"/>
      <c r="N39" s="437">
        <f>SUM(N15:N38)</f>
        <v>6374135</v>
      </c>
    </row>
    <row r="40" spans="1:14" x14ac:dyDescent="0.25">
      <c r="D40" s="52"/>
      <c r="E40" s="481"/>
      <c r="I40" s="52"/>
    </row>
    <row r="41" spans="1:14" x14ac:dyDescent="0.25">
      <c r="D41" s="52"/>
      <c r="E41" s="481"/>
      <c r="I41" s="52"/>
    </row>
    <row r="42" spans="1:14" x14ac:dyDescent="0.25">
      <c r="A42" s="1325" t="s">
        <v>6192</v>
      </c>
      <c r="B42" s="1325"/>
      <c r="C42" s="1325"/>
      <c r="D42" s="1325"/>
      <c r="E42" s="1325"/>
      <c r="F42" s="1325"/>
      <c r="G42" s="1325"/>
      <c r="H42" s="1325"/>
      <c r="I42" s="1325"/>
      <c r="J42" s="1325"/>
      <c r="K42" s="1325"/>
      <c r="L42" s="1325"/>
      <c r="M42" s="1325"/>
      <c r="N42" s="1325"/>
    </row>
    <row r="43" spans="1:14" x14ac:dyDescent="0.25">
      <c r="A43" s="1325"/>
      <c r="B43" s="1325"/>
      <c r="C43" s="1325"/>
      <c r="D43" s="1325"/>
      <c r="E43" s="1325"/>
      <c r="F43" s="1325"/>
      <c r="G43" s="1325"/>
      <c r="H43" s="1325"/>
      <c r="I43" s="1325"/>
      <c r="J43" s="1325"/>
      <c r="K43" s="1325"/>
      <c r="L43" s="1325"/>
      <c r="M43" s="1325"/>
      <c r="N43" s="1325"/>
    </row>
    <row r="44" spans="1:14" x14ac:dyDescent="0.25">
      <c r="A44" s="1326" t="s">
        <v>6193</v>
      </c>
      <c r="B44" s="1326"/>
      <c r="C44" s="1326"/>
      <c r="D44" s="1326"/>
      <c r="E44" s="1326"/>
      <c r="F44" s="1326"/>
      <c r="G44" s="1326"/>
      <c r="H44" s="1326"/>
      <c r="I44" s="1326"/>
      <c r="J44" s="1326"/>
      <c r="K44" s="1326"/>
      <c r="L44" s="1326"/>
      <c r="M44" s="1326"/>
      <c r="N44" s="1326"/>
    </row>
    <row r="45" spans="1:14" x14ac:dyDescent="0.25">
      <c r="A45" s="1326"/>
      <c r="B45" s="1326"/>
      <c r="C45" s="1326"/>
      <c r="D45" s="1326"/>
      <c r="E45" s="1326"/>
      <c r="F45" s="1326"/>
      <c r="G45" s="1326"/>
      <c r="H45" s="1326"/>
      <c r="I45" s="1326"/>
      <c r="J45" s="1326"/>
      <c r="K45" s="1326"/>
      <c r="L45" s="1326"/>
      <c r="M45" s="1326"/>
      <c r="N45" s="1326"/>
    </row>
    <row r="46" spans="1:14" ht="14.45" customHeight="1" x14ac:dyDescent="0.25">
      <c r="A46" s="1327" t="s">
        <v>1907</v>
      </c>
      <c r="B46" s="1328"/>
      <c r="C46" s="1328"/>
      <c r="D46" s="1329"/>
      <c r="E46" s="472"/>
      <c r="F46" s="1336" t="s">
        <v>4790</v>
      </c>
      <c r="G46" s="1336"/>
      <c r="H46" s="1336"/>
      <c r="I46" s="1336"/>
      <c r="K46" s="1337" t="s">
        <v>1209</v>
      </c>
      <c r="L46" s="1337"/>
      <c r="M46" s="1337"/>
      <c r="N46" s="1337"/>
    </row>
    <row r="47" spans="1:14" ht="14.45" customHeight="1" x14ac:dyDescent="0.25">
      <c r="A47" s="1330"/>
      <c r="B47" s="1331"/>
      <c r="C47" s="1331"/>
      <c r="D47" s="1332"/>
      <c r="E47" s="473"/>
      <c r="F47" s="1336"/>
      <c r="G47" s="1336"/>
      <c r="H47" s="1336"/>
      <c r="I47" s="1336"/>
      <c r="K47" s="1337"/>
      <c r="L47" s="1337"/>
      <c r="M47" s="1337"/>
      <c r="N47" s="1337"/>
    </row>
    <row r="48" spans="1:14" ht="14.45" customHeight="1" x14ac:dyDescent="0.25">
      <c r="A48" s="1333"/>
      <c r="B48" s="1334"/>
      <c r="C48" s="1334"/>
      <c r="D48" s="1335"/>
      <c r="E48" s="474"/>
      <c r="F48" s="1336"/>
      <c r="G48" s="1336"/>
      <c r="H48" s="1336"/>
      <c r="I48" s="1336"/>
      <c r="K48" s="1337"/>
      <c r="L48" s="1337"/>
      <c r="M48" s="1337"/>
      <c r="N48" s="1337"/>
    </row>
    <row r="49" spans="1:14" ht="27" thickBot="1" x14ac:dyDescent="0.3">
      <c r="A49" s="1317" t="s">
        <v>4629</v>
      </c>
      <c r="B49" s="1318"/>
      <c r="C49" s="1318"/>
      <c r="D49" s="1319"/>
      <c r="E49" s="475"/>
      <c r="F49" s="1320" t="s">
        <v>4629</v>
      </c>
      <c r="G49" s="1321"/>
      <c r="H49" s="1321"/>
      <c r="I49" s="1322"/>
      <c r="K49" s="1320" t="s">
        <v>4629</v>
      </c>
      <c r="L49" s="1321"/>
      <c r="M49" s="1321"/>
      <c r="N49" s="1322"/>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289" t="s">
        <v>4635</v>
      </c>
      <c r="B79" s="1289"/>
      <c r="C79" s="1289"/>
      <c r="D79" s="211">
        <f>SUM(D51:D78)</f>
        <v>4135000</v>
      </c>
      <c r="E79" s="481"/>
      <c r="F79" s="1323" t="s">
        <v>4635</v>
      </c>
      <c r="G79" s="1323"/>
      <c r="H79" s="1324"/>
      <c r="I79" s="211">
        <f>SUM(I51:I78)</f>
        <v>4012280</v>
      </c>
      <c r="K79" s="1323" t="s">
        <v>4635</v>
      </c>
      <c r="L79" s="1323"/>
      <c r="M79" s="1324"/>
      <c r="N79" s="211">
        <f>SUM(N51:N78)</f>
        <v>4012280</v>
      </c>
    </row>
    <row r="82" spans="1:14" ht="27.75" customHeight="1" x14ac:dyDescent="0.25">
      <c r="A82" s="1325" t="s">
        <v>7156</v>
      </c>
      <c r="B82" s="1325"/>
      <c r="C82" s="1325"/>
      <c r="D82" s="1325"/>
      <c r="E82" s="1325"/>
      <c r="F82" s="1325"/>
      <c r="G82" s="1325"/>
      <c r="H82" s="1325"/>
      <c r="I82" s="1325"/>
      <c r="J82" s="1325"/>
      <c r="K82" s="1325"/>
      <c r="L82" s="1325"/>
      <c r="M82" s="1325"/>
      <c r="N82" s="1325"/>
    </row>
    <row r="83" spans="1:14" ht="15" customHeight="1" x14ac:dyDescent="0.25">
      <c r="A83" s="1326" t="s">
        <v>7157</v>
      </c>
      <c r="B83" s="1326"/>
      <c r="C83" s="1326"/>
      <c r="D83" s="1326"/>
      <c r="E83" s="1326"/>
      <c r="F83" s="1326"/>
      <c r="G83" s="1326"/>
      <c r="H83" s="1326"/>
      <c r="I83" s="1326"/>
      <c r="J83" s="1326"/>
      <c r="K83" s="1326"/>
      <c r="L83" s="1326"/>
      <c r="M83" s="1326"/>
      <c r="N83" s="1326"/>
    </row>
    <row r="84" spans="1:14" ht="15" customHeight="1" x14ac:dyDescent="0.25">
      <c r="A84" s="1326"/>
      <c r="B84" s="1326"/>
      <c r="C84" s="1326"/>
      <c r="D84" s="1326"/>
      <c r="E84" s="1326"/>
      <c r="F84" s="1326"/>
      <c r="G84" s="1326"/>
      <c r="H84" s="1326"/>
      <c r="I84" s="1326"/>
      <c r="J84" s="1326"/>
      <c r="K84" s="1326"/>
      <c r="L84" s="1326"/>
      <c r="M84" s="1326"/>
      <c r="N84" s="1326"/>
    </row>
    <row r="85" spans="1:14" ht="14.45" customHeight="1" x14ac:dyDescent="0.25">
      <c r="A85" s="1327" t="s">
        <v>1907</v>
      </c>
      <c r="B85" s="1328"/>
      <c r="C85" s="1328"/>
      <c r="D85" s="1329"/>
      <c r="E85" s="472"/>
      <c r="F85" s="1336" t="s">
        <v>4790</v>
      </c>
      <c r="G85" s="1336"/>
      <c r="H85" s="1336"/>
      <c r="I85" s="1336"/>
      <c r="K85" s="1337" t="s">
        <v>1209</v>
      </c>
      <c r="L85" s="1337"/>
      <c r="M85" s="1337"/>
      <c r="N85" s="1337"/>
    </row>
    <row r="86" spans="1:14" ht="14.45" customHeight="1" x14ac:dyDescent="0.25">
      <c r="A86" s="1330"/>
      <c r="B86" s="1331"/>
      <c r="C86" s="1331"/>
      <c r="D86" s="1332"/>
      <c r="E86" s="473"/>
      <c r="F86" s="1336"/>
      <c r="G86" s="1336"/>
      <c r="H86" s="1336"/>
      <c r="I86" s="1336"/>
      <c r="K86" s="1337"/>
      <c r="L86" s="1337"/>
      <c r="M86" s="1337"/>
      <c r="N86" s="1337"/>
    </row>
    <row r="87" spans="1:14" ht="14.45" customHeight="1" x14ac:dyDescent="0.25">
      <c r="A87" s="1333"/>
      <c r="B87" s="1334"/>
      <c r="C87" s="1334"/>
      <c r="D87" s="1335"/>
      <c r="E87" s="474"/>
      <c r="F87" s="1336"/>
      <c r="G87" s="1336"/>
      <c r="H87" s="1336"/>
      <c r="I87" s="1336"/>
      <c r="K87" s="1337"/>
      <c r="L87" s="1337"/>
      <c r="M87" s="1337"/>
      <c r="N87" s="1337"/>
    </row>
    <row r="88" spans="1:14" ht="27" thickBot="1" x14ac:dyDescent="0.3">
      <c r="A88" s="1317" t="s">
        <v>4629</v>
      </c>
      <c r="B88" s="1318"/>
      <c r="C88" s="1318"/>
      <c r="D88" s="1319"/>
      <c r="E88" s="475"/>
      <c r="F88" s="1320" t="s">
        <v>4629</v>
      </c>
      <c r="G88" s="1321"/>
      <c r="H88" s="1321"/>
      <c r="I88" s="1322"/>
      <c r="K88" s="1320" t="s">
        <v>4629</v>
      </c>
      <c r="L88" s="1321"/>
      <c r="M88" s="1321"/>
      <c r="N88" s="1322"/>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6">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0" customFormat="1" ht="45" x14ac:dyDescent="0.25">
      <c r="A98" s="438">
        <v>45225</v>
      </c>
      <c r="B98" s="726" t="s">
        <v>11576</v>
      </c>
      <c r="C98" s="439"/>
      <c r="D98" s="375">
        <v>2352000</v>
      </c>
      <c r="E98" s="1078"/>
      <c r="F98" s="438">
        <v>45030</v>
      </c>
      <c r="G98" s="122" t="s">
        <v>9650</v>
      </c>
      <c r="H98" s="439"/>
      <c r="I98" s="375">
        <v>100000</v>
      </c>
      <c r="J98" s="1079"/>
      <c r="K98" s="438"/>
      <c r="L98" s="726"/>
      <c r="M98" s="439"/>
      <c r="N98" s="375"/>
    </row>
    <row r="99" spans="1:14" ht="30" x14ac:dyDescent="0.25">
      <c r="A99" s="438">
        <v>45244</v>
      </c>
      <c r="B99" s="102" t="s">
        <v>11784</v>
      </c>
      <c r="C99" s="336"/>
      <c r="D99" s="798">
        <v>100000</v>
      </c>
      <c r="E99" s="479"/>
      <c r="F99" s="438">
        <v>45033</v>
      </c>
      <c r="G99" s="102" t="s">
        <v>9788</v>
      </c>
      <c r="H99" s="336"/>
      <c r="I99" s="375">
        <v>490000</v>
      </c>
      <c r="K99" s="438"/>
      <c r="L99" s="102"/>
      <c r="M99" s="336"/>
      <c r="N99" s="375"/>
    </row>
    <row r="100" spans="1:14" ht="30" x14ac:dyDescent="0.25">
      <c r="A100" s="438">
        <v>45247</v>
      </c>
      <c r="B100" s="102" t="s">
        <v>11828</v>
      </c>
      <c r="C100" s="15"/>
      <c r="D100" s="15">
        <v>1500000</v>
      </c>
      <c r="E100" s="480"/>
      <c r="F100" s="438">
        <v>45034</v>
      </c>
      <c r="G100" s="102" t="s">
        <v>10888</v>
      </c>
      <c r="H100" s="336"/>
      <c r="I100" s="375">
        <v>500000</v>
      </c>
      <c r="K100" s="438"/>
      <c r="L100" s="102"/>
      <c r="M100" s="336"/>
      <c r="N100" s="375"/>
    </row>
    <row r="101" spans="1:14" x14ac:dyDescent="0.25">
      <c r="A101" s="350"/>
      <c r="B101" s="102"/>
      <c r="C101" s="15"/>
      <c r="D101" s="15"/>
      <c r="E101" s="480"/>
      <c r="F101" s="438">
        <v>45084</v>
      </c>
      <c r="G101" s="2" t="s">
        <v>9650</v>
      </c>
      <c r="H101" s="313"/>
      <c r="I101" s="15">
        <v>100000</v>
      </c>
      <c r="K101" s="350"/>
      <c r="L101" s="102"/>
      <c r="M101" s="313"/>
      <c r="N101" s="15"/>
    </row>
    <row r="102" spans="1:14" x14ac:dyDescent="0.25">
      <c r="A102" s="350"/>
      <c r="B102" s="102"/>
      <c r="C102" s="15"/>
      <c r="D102" s="15"/>
      <c r="E102" s="480"/>
      <c r="F102" s="438">
        <v>45090</v>
      </c>
      <c r="G102" s="2" t="s">
        <v>9650</v>
      </c>
      <c r="H102" s="313"/>
      <c r="I102" s="15">
        <v>39000</v>
      </c>
      <c r="K102" s="350"/>
      <c r="L102" s="102"/>
      <c r="M102" s="313"/>
      <c r="N102" s="15"/>
    </row>
    <row r="103" spans="1:14" x14ac:dyDescent="0.25">
      <c r="A103" s="350"/>
      <c r="B103" s="102"/>
      <c r="C103" s="15"/>
      <c r="D103" s="15"/>
      <c r="E103" s="480"/>
      <c r="F103" s="438">
        <v>45096</v>
      </c>
      <c r="G103" s="2" t="s">
        <v>9650</v>
      </c>
      <c r="H103" s="313"/>
      <c r="I103" s="15">
        <v>150000</v>
      </c>
      <c r="K103" s="350"/>
      <c r="L103" s="102"/>
      <c r="M103" s="313"/>
      <c r="N103" s="15"/>
    </row>
    <row r="104" spans="1:14" x14ac:dyDescent="0.25">
      <c r="A104" s="350"/>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289" t="s">
        <v>4635</v>
      </c>
      <c r="B109" s="1289"/>
      <c r="C109" s="1289"/>
      <c r="D109" s="211">
        <f>SUM(D90:D108)</f>
        <v>4502000</v>
      </c>
      <c r="E109" s="481"/>
      <c r="F109" s="1323" t="s">
        <v>4635</v>
      </c>
      <c r="G109" s="1323"/>
      <c r="H109" s="1324"/>
      <c r="I109" s="437">
        <f>SUM(I90:I107)</f>
        <v>4531000</v>
      </c>
      <c r="K109" s="1323" t="s">
        <v>4635</v>
      </c>
      <c r="L109" s="1323"/>
      <c r="M109" s="1324"/>
      <c r="N109" s="437">
        <f>SUM(N90:N107)</f>
        <v>4531779</v>
      </c>
    </row>
    <row r="112" spans="1:14" ht="27.75" customHeight="1" x14ac:dyDescent="0.25">
      <c r="A112" s="1325" t="s">
        <v>10548</v>
      </c>
      <c r="B112" s="1325"/>
      <c r="C112" s="1325"/>
      <c r="D112" s="1325"/>
      <c r="E112" s="1325"/>
      <c r="F112" s="1325"/>
      <c r="G112" s="1325"/>
      <c r="H112" s="1325"/>
      <c r="I112" s="1325"/>
      <c r="J112" s="1325"/>
      <c r="K112" s="1325"/>
      <c r="L112" s="1325"/>
      <c r="M112" s="1325"/>
      <c r="N112" s="1325"/>
    </row>
    <row r="113" spans="1:14" ht="15" customHeight="1" x14ac:dyDescent="0.25">
      <c r="A113" s="1326" t="s">
        <v>10549</v>
      </c>
      <c r="B113" s="1326"/>
      <c r="C113" s="1326"/>
      <c r="D113" s="1326"/>
      <c r="E113" s="1326"/>
      <c r="F113" s="1326"/>
      <c r="G113" s="1326"/>
      <c r="H113" s="1326"/>
      <c r="I113" s="1326"/>
      <c r="J113" s="1326"/>
      <c r="K113" s="1326"/>
      <c r="L113" s="1326"/>
      <c r="M113" s="1326"/>
      <c r="N113" s="1326"/>
    </row>
    <row r="114" spans="1:14" ht="15" customHeight="1" x14ac:dyDescent="0.25">
      <c r="A114" s="1326"/>
      <c r="B114" s="1326"/>
      <c r="C114" s="1326"/>
      <c r="D114" s="1326"/>
      <c r="E114" s="1326"/>
      <c r="F114" s="1326"/>
      <c r="G114" s="1326"/>
      <c r="H114" s="1326"/>
      <c r="I114" s="1326"/>
      <c r="J114" s="1326"/>
      <c r="K114" s="1326"/>
      <c r="L114" s="1326"/>
      <c r="M114" s="1326"/>
      <c r="N114" s="1326"/>
    </row>
    <row r="115" spans="1:14" ht="14.45" customHeight="1" x14ac:dyDescent="0.25">
      <c r="A115" s="1327" t="s">
        <v>1907</v>
      </c>
      <c r="B115" s="1328"/>
      <c r="C115" s="1328"/>
      <c r="D115" s="1329"/>
      <c r="E115" s="472"/>
      <c r="F115" s="1336" t="s">
        <v>4790</v>
      </c>
      <c r="G115" s="1336"/>
      <c r="H115" s="1336"/>
      <c r="I115" s="1336"/>
      <c r="K115" s="1337" t="s">
        <v>1209</v>
      </c>
      <c r="L115" s="1337"/>
      <c r="M115" s="1337"/>
      <c r="N115" s="1337"/>
    </row>
    <row r="116" spans="1:14" ht="14.45" customHeight="1" x14ac:dyDescent="0.25">
      <c r="A116" s="1330"/>
      <c r="B116" s="1331"/>
      <c r="C116" s="1331"/>
      <c r="D116" s="1332"/>
      <c r="E116" s="473"/>
      <c r="F116" s="1336"/>
      <c r="G116" s="1336"/>
      <c r="H116" s="1336"/>
      <c r="I116" s="1336"/>
      <c r="K116" s="1337"/>
      <c r="L116" s="1337"/>
      <c r="M116" s="1337"/>
      <c r="N116" s="1337"/>
    </row>
    <row r="117" spans="1:14" ht="14.45" customHeight="1" x14ac:dyDescent="0.25">
      <c r="A117" s="1333"/>
      <c r="B117" s="1334"/>
      <c r="C117" s="1334"/>
      <c r="D117" s="1335"/>
      <c r="E117" s="474"/>
      <c r="F117" s="1336"/>
      <c r="G117" s="1336"/>
      <c r="H117" s="1336"/>
      <c r="I117" s="1336"/>
      <c r="K117" s="1337"/>
      <c r="L117" s="1337"/>
      <c r="M117" s="1337"/>
      <c r="N117" s="1337"/>
    </row>
    <row r="118" spans="1:14" ht="27" thickBot="1" x14ac:dyDescent="0.3">
      <c r="A118" s="1317" t="s">
        <v>4629</v>
      </c>
      <c r="B118" s="1318"/>
      <c r="C118" s="1318"/>
      <c r="D118" s="1319"/>
      <c r="E118" s="475"/>
      <c r="F118" s="1320" t="s">
        <v>4629</v>
      </c>
      <c r="G118" s="1321"/>
      <c r="H118" s="1321"/>
      <c r="I118" s="1322"/>
      <c r="K118" s="1320" t="s">
        <v>4629</v>
      </c>
      <c r="L118" s="1321"/>
      <c r="M118" s="1321"/>
      <c r="N118" s="1322"/>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45" x14ac:dyDescent="0.25">
      <c r="A120" s="350">
        <v>45137</v>
      </c>
      <c r="B120" s="102" t="s">
        <v>10707</v>
      </c>
      <c r="C120" s="99"/>
      <c r="D120" s="99">
        <v>100000</v>
      </c>
      <c r="E120" s="477"/>
      <c r="F120" s="350">
        <v>45121</v>
      </c>
      <c r="G120" s="102" t="s">
        <v>10550</v>
      </c>
      <c r="H120" s="336"/>
      <c r="I120" s="320">
        <v>575000</v>
      </c>
      <c r="K120" s="438">
        <v>45167</v>
      </c>
      <c r="L120" s="726" t="s">
        <v>10975</v>
      </c>
      <c r="M120" s="966"/>
      <c r="N120" s="123">
        <v>3500000</v>
      </c>
    </row>
    <row r="121" spans="1:14" ht="37.5" customHeight="1" x14ac:dyDescent="0.25">
      <c r="A121" s="438">
        <v>45146</v>
      </c>
      <c r="B121" s="726" t="s">
        <v>10707</v>
      </c>
      <c r="C121" s="313"/>
      <c r="D121" s="15">
        <v>50000</v>
      </c>
      <c r="E121" s="478"/>
      <c r="F121" s="350">
        <v>45127</v>
      </c>
      <c r="G121" s="102" t="s">
        <v>10635</v>
      </c>
      <c r="H121" s="336"/>
      <c r="I121" s="15">
        <v>722500</v>
      </c>
      <c r="K121" s="438">
        <v>45167</v>
      </c>
      <c r="L121" s="726" t="s">
        <v>11040</v>
      </c>
      <c r="M121" s="336"/>
      <c r="N121" s="375">
        <v>500000</v>
      </c>
    </row>
    <row r="122" spans="1:14" x14ac:dyDescent="0.25">
      <c r="A122" s="350">
        <v>45150</v>
      </c>
      <c r="B122" s="102" t="s">
        <v>10859</v>
      </c>
      <c r="C122" s="313"/>
      <c r="D122" s="15">
        <v>40000</v>
      </c>
      <c r="E122" s="478"/>
      <c r="F122" s="438">
        <v>45033</v>
      </c>
      <c r="G122" s="102" t="s">
        <v>10889</v>
      </c>
      <c r="H122" s="336"/>
      <c r="I122" s="15">
        <v>2500</v>
      </c>
      <c r="K122" s="438">
        <v>45217</v>
      </c>
      <c r="L122" s="726" t="s">
        <v>11599</v>
      </c>
      <c r="M122" s="336"/>
      <c r="N122" s="320">
        <v>1500000</v>
      </c>
    </row>
    <row r="123" spans="1:14" x14ac:dyDescent="0.25">
      <c r="A123" s="350">
        <v>45219</v>
      </c>
      <c r="B123" s="102" t="s">
        <v>11570</v>
      </c>
      <c r="C123" s="313"/>
      <c r="D123" s="15">
        <v>40000</v>
      </c>
      <c r="E123" s="478"/>
      <c r="F123" s="438">
        <v>45156</v>
      </c>
      <c r="G123" s="102" t="s">
        <v>10888</v>
      </c>
      <c r="H123" s="336"/>
      <c r="I123" s="375">
        <v>500000</v>
      </c>
      <c r="K123" s="438">
        <v>45254</v>
      </c>
      <c r="L123" s="102" t="s">
        <v>10054</v>
      </c>
      <c r="M123" s="336"/>
      <c r="N123" s="798">
        <v>4000000</v>
      </c>
    </row>
    <row r="124" spans="1:14" x14ac:dyDescent="0.25">
      <c r="A124" s="350">
        <v>45276</v>
      </c>
      <c r="B124" s="102" t="s">
        <v>12077</v>
      </c>
      <c r="C124" s="313"/>
      <c r="D124" s="15">
        <v>40000</v>
      </c>
      <c r="E124" s="478"/>
      <c r="F124" s="438">
        <v>45161</v>
      </c>
      <c r="G124" s="102" t="s">
        <v>10635</v>
      </c>
      <c r="H124" s="774"/>
      <c r="I124" s="798">
        <v>400000</v>
      </c>
      <c r="K124" s="366"/>
      <c r="L124" s="102"/>
      <c r="M124" s="336"/>
      <c r="N124" s="320"/>
    </row>
    <row r="125" spans="1:14" x14ac:dyDescent="0.25">
      <c r="A125" s="350"/>
      <c r="B125" s="102"/>
      <c r="C125" s="313"/>
      <c r="D125" s="15"/>
      <c r="E125" s="478"/>
      <c r="F125" s="438">
        <v>45175</v>
      </c>
      <c r="G125" s="2" t="s">
        <v>11165</v>
      </c>
      <c r="H125" s="313"/>
      <c r="I125" s="320">
        <v>2000000</v>
      </c>
      <c r="K125" s="366"/>
      <c r="L125" s="2"/>
      <c r="M125" s="313"/>
      <c r="N125" s="320"/>
    </row>
    <row r="126" spans="1:14" x14ac:dyDescent="0.25">
      <c r="A126" s="350"/>
      <c r="B126" s="102"/>
      <c r="C126" s="313"/>
      <c r="D126" s="15"/>
      <c r="E126" s="478"/>
      <c r="F126" s="438">
        <v>45177</v>
      </c>
      <c r="G126" s="2" t="s">
        <v>11233</v>
      </c>
      <c r="H126" s="313"/>
      <c r="I126" s="320">
        <v>400000</v>
      </c>
      <c r="K126" s="366"/>
      <c r="L126" s="2"/>
      <c r="M126" s="313"/>
      <c r="N126" s="320"/>
    </row>
    <row r="127" spans="1:14" x14ac:dyDescent="0.25">
      <c r="A127" s="350"/>
      <c r="B127" s="2"/>
      <c r="C127" s="313"/>
      <c r="D127" s="15"/>
      <c r="E127" s="478"/>
      <c r="F127" s="438">
        <v>45178</v>
      </c>
      <c r="G127" s="2" t="s">
        <v>11165</v>
      </c>
      <c r="H127" s="313"/>
      <c r="I127" s="320">
        <v>1000000</v>
      </c>
      <c r="K127" s="366"/>
      <c r="L127" s="102"/>
      <c r="M127" s="336"/>
      <c r="N127" s="320"/>
    </row>
    <row r="128" spans="1:14" s="310" customFormat="1" x14ac:dyDescent="0.25">
      <c r="A128" s="350"/>
      <c r="B128" s="102"/>
      <c r="C128" s="313"/>
      <c r="D128" s="15"/>
      <c r="E128" s="479"/>
      <c r="F128" s="438">
        <v>45194</v>
      </c>
      <c r="G128" s="102" t="s">
        <v>10635</v>
      </c>
      <c r="H128" s="336"/>
      <c r="I128" s="15">
        <v>500000</v>
      </c>
      <c r="J128" s="484"/>
      <c r="K128" s="438"/>
      <c r="L128" s="102"/>
      <c r="M128" s="439"/>
      <c r="N128" s="375"/>
    </row>
    <row r="129" spans="1:14" x14ac:dyDescent="0.25">
      <c r="A129" s="350"/>
      <c r="B129" s="102"/>
      <c r="C129" s="313"/>
      <c r="D129" s="15"/>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11800</v>
      </c>
      <c r="H130" s="336"/>
      <c r="I130" s="375">
        <v>300000</v>
      </c>
      <c r="K130" s="438"/>
      <c r="L130" s="102"/>
      <c r="M130" s="336"/>
      <c r="N130" s="375"/>
    </row>
    <row r="131" spans="1:14" x14ac:dyDescent="0.25">
      <c r="A131" s="350"/>
      <c r="B131" s="102"/>
      <c r="C131" s="15"/>
      <c r="D131" s="15"/>
      <c r="E131" s="480"/>
      <c r="F131" s="438">
        <v>45257</v>
      </c>
      <c r="G131" s="102" t="s">
        <v>11929</v>
      </c>
      <c r="H131" s="336"/>
      <c r="I131" s="375">
        <v>500000</v>
      </c>
      <c r="K131" s="350"/>
      <c r="L131" s="102"/>
      <c r="M131" s="313"/>
      <c r="N131" s="15"/>
    </row>
    <row r="132" spans="1:14" x14ac:dyDescent="0.25">
      <c r="A132" s="350"/>
      <c r="B132" s="102"/>
      <c r="C132" s="15"/>
      <c r="D132" s="15"/>
      <c r="E132" s="480"/>
      <c r="F132" s="438">
        <v>45258</v>
      </c>
      <c r="G132" s="102" t="s">
        <v>11930</v>
      </c>
      <c r="H132" s="336"/>
      <c r="I132" s="375">
        <v>830000</v>
      </c>
      <c r="K132" s="350"/>
      <c r="L132" s="102"/>
      <c r="M132" s="313"/>
      <c r="N132" s="15"/>
    </row>
    <row r="133" spans="1:14" x14ac:dyDescent="0.25">
      <c r="A133" s="350"/>
      <c r="B133" s="102"/>
      <c r="C133" s="15"/>
      <c r="D133" s="15"/>
      <c r="E133" s="480"/>
      <c r="F133" s="438">
        <v>45258</v>
      </c>
      <c r="G133" s="102" t="s">
        <v>11930</v>
      </c>
      <c r="H133" s="313"/>
      <c r="I133" s="375">
        <v>840000</v>
      </c>
      <c r="K133" s="350"/>
      <c r="L133" s="102"/>
      <c r="M133" s="313"/>
      <c r="N133" s="15"/>
    </row>
    <row r="134" spans="1:14" x14ac:dyDescent="0.25">
      <c r="A134" s="350"/>
      <c r="B134" s="102"/>
      <c r="C134" s="15"/>
      <c r="D134" s="15"/>
      <c r="E134" s="480"/>
      <c r="F134" s="438">
        <v>45258</v>
      </c>
      <c r="G134" s="102" t="s">
        <v>11930</v>
      </c>
      <c r="H134" s="313"/>
      <c r="I134" s="15">
        <v>850000</v>
      </c>
      <c r="K134" s="350"/>
      <c r="L134" s="102"/>
      <c r="M134" s="313"/>
      <c r="N134" s="15"/>
    </row>
    <row r="135" spans="1:14" x14ac:dyDescent="0.25">
      <c r="A135" s="350"/>
      <c r="B135" s="102"/>
      <c r="C135" s="15"/>
      <c r="D135" s="15"/>
      <c r="E135" s="480"/>
      <c r="F135" s="438">
        <v>45258</v>
      </c>
      <c r="G135" s="102" t="s">
        <v>11930</v>
      </c>
      <c r="H135" s="313"/>
      <c r="I135" s="15">
        <v>800000</v>
      </c>
      <c r="K135" s="350"/>
      <c r="L135" s="102"/>
      <c r="M135" s="313"/>
      <c r="N135" s="15"/>
    </row>
    <row r="136" spans="1:14" x14ac:dyDescent="0.25">
      <c r="A136" s="350"/>
      <c r="B136" s="102"/>
      <c r="C136" s="15"/>
      <c r="D136" s="15"/>
      <c r="E136" s="480"/>
      <c r="F136" s="438">
        <v>45258</v>
      </c>
      <c r="G136" s="102" t="s">
        <v>11930</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289" t="s">
        <v>4635</v>
      </c>
      <c r="B139" s="1289"/>
      <c r="C139" s="1289"/>
      <c r="D139" s="211">
        <f>SUM(D120:D138)</f>
        <v>270000</v>
      </c>
      <c r="E139" s="481"/>
      <c r="F139" s="1323" t="s">
        <v>4635</v>
      </c>
      <c r="G139" s="1323"/>
      <c r="H139" s="1324"/>
      <c r="I139" s="437">
        <f>SUM(I120:I137)</f>
        <v>11609683</v>
      </c>
      <c r="K139" s="1323" t="s">
        <v>4635</v>
      </c>
      <c r="L139" s="1323"/>
      <c r="M139" s="1324"/>
      <c r="N139" s="437">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6" t="s">
        <v>2634</v>
      </c>
      <c r="B2" s="1356"/>
      <c r="C2" s="1356"/>
      <c r="D2" s="1356"/>
      <c r="E2" s="1356"/>
      <c r="F2" s="1356"/>
      <c r="G2" s="1356"/>
      <c r="H2" s="1356"/>
      <c r="I2" s="1356"/>
      <c r="J2" s="1356"/>
      <c r="K2" s="1356"/>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53">
        <v>28459027</v>
      </c>
      <c r="B4" s="1353">
        <v>35457479</v>
      </c>
      <c r="C4" s="1353">
        <f>B4-A4</f>
        <v>6998452</v>
      </c>
      <c r="D4" s="1353" t="s">
        <v>2642</v>
      </c>
      <c r="E4" s="232"/>
      <c r="F4" s="232"/>
      <c r="G4" s="232"/>
      <c r="H4" s="1353">
        <f>C4</f>
        <v>6998452</v>
      </c>
      <c r="I4" s="1353">
        <f>H4*25%</f>
        <v>1749613</v>
      </c>
      <c r="J4" s="1353">
        <f>H4*25%</f>
        <v>1749613</v>
      </c>
      <c r="K4" s="1353">
        <f>H4*50%</f>
        <v>3499226</v>
      </c>
    </row>
    <row r="5" spans="1:11" ht="21" customHeight="1" x14ac:dyDescent="0.25">
      <c r="A5" s="1353"/>
      <c r="B5" s="1353"/>
      <c r="C5" s="1353"/>
      <c r="D5" s="1353"/>
      <c r="E5" s="232"/>
      <c r="F5" s="232"/>
      <c r="G5" s="232"/>
      <c r="H5" s="1353"/>
      <c r="I5" s="1353"/>
      <c r="J5" s="1353"/>
      <c r="K5" s="1353"/>
    </row>
    <row r="6" spans="1:11" ht="15.75" x14ac:dyDescent="0.25">
      <c r="A6" s="1354" t="s">
        <v>2643</v>
      </c>
      <c r="B6" s="1354"/>
      <c r="C6" s="1354"/>
      <c r="D6" s="1354"/>
      <c r="E6" s="1354"/>
      <c r="F6" s="1354"/>
      <c r="G6" s="1354"/>
      <c r="H6" s="1354"/>
      <c r="I6" s="193" t="s">
        <v>158</v>
      </c>
      <c r="J6" s="193" t="s">
        <v>2644</v>
      </c>
      <c r="K6" s="193" t="s">
        <v>2644</v>
      </c>
    </row>
    <row r="7" spans="1:11" ht="15.75" x14ac:dyDescent="0.25">
      <c r="A7" s="1354" t="s">
        <v>2645</v>
      </c>
      <c r="B7" s="1354"/>
      <c r="C7" s="1354"/>
      <c r="D7" s="1354"/>
      <c r="E7" s="1354"/>
      <c r="F7" s="1354"/>
      <c r="G7" s="1354"/>
      <c r="H7" s="1354"/>
      <c r="I7" s="193" t="s">
        <v>2646</v>
      </c>
      <c r="J7" s="194">
        <f>J4</f>
        <v>1749613</v>
      </c>
      <c r="K7" s="194">
        <f>K4</f>
        <v>3499226</v>
      </c>
    </row>
    <row r="9" spans="1:11" ht="18" x14ac:dyDescent="0.25">
      <c r="A9" s="1356" t="s">
        <v>2647</v>
      </c>
      <c r="B9" s="1356"/>
      <c r="C9" s="1356"/>
      <c r="D9" s="1356"/>
      <c r="E9" s="1356"/>
      <c r="F9" s="1356"/>
      <c r="G9" s="1356"/>
      <c r="H9" s="1356"/>
      <c r="I9" s="1356"/>
      <c r="J9" s="1356"/>
      <c r="K9" s="1356"/>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53">
        <v>42596884</v>
      </c>
      <c r="B11" s="1353">
        <v>51367818</v>
      </c>
      <c r="C11" s="1353">
        <f>B11-A11</f>
        <v>8770934</v>
      </c>
      <c r="D11" s="1353" t="s">
        <v>2642</v>
      </c>
      <c r="E11" s="232"/>
      <c r="F11" s="232"/>
      <c r="G11" s="232"/>
      <c r="H11" s="1353">
        <f>C11</f>
        <v>8770934</v>
      </c>
      <c r="I11" s="1353">
        <f>H11*25%</f>
        <v>2192733.5</v>
      </c>
      <c r="J11" s="1353">
        <f>H11*25%</f>
        <v>2192733.5</v>
      </c>
      <c r="K11" s="1353">
        <f>H11*50%</f>
        <v>4385467</v>
      </c>
    </row>
    <row r="12" spans="1:11" ht="12.75" customHeight="1" x14ac:dyDescent="0.25">
      <c r="A12" s="1353"/>
      <c r="B12" s="1353"/>
      <c r="C12" s="1353"/>
      <c r="D12" s="1353"/>
      <c r="E12" s="232"/>
      <c r="F12" s="232"/>
      <c r="G12" s="232"/>
      <c r="H12" s="1353"/>
      <c r="I12" s="1353"/>
      <c r="J12" s="1353"/>
      <c r="K12" s="1353"/>
    </row>
    <row r="13" spans="1:11" ht="15.75" x14ac:dyDescent="0.25">
      <c r="A13" s="1354" t="s">
        <v>2648</v>
      </c>
      <c r="B13" s="1354"/>
      <c r="C13" s="1354"/>
      <c r="D13" s="1354"/>
      <c r="E13" s="1354"/>
      <c r="F13" s="1354"/>
      <c r="G13" s="1354"/>
      <c r="H13" s="1354"/>
      <c r="I13" s="193" t="s">
        <v>158</v>
      </c>
      <c r="J13" s="195">
        <v>84775</v>
      </c>
      <c r="K13" s="193" t="s">
        <v>2644</v>
      </c>
    </row>
    <row r="14" spans="1:11" ht="15.75" x14ac:dyDescent="0.25">
      <c r="A14" s="1354" t="s">
        <v>2645</v>
      </c>
      <c r="B14" s="1354"/>
      <c r="C14" s="1354"/>
      <c r="D14" s="1354"/>
      <c r="E14" s="1354"/>
      <c r="F14" s="1354"/>
      <c r="G14" s="1354"/>
      <c r="H14" s="1354"/>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56" t="s">
        <v>2649</v>
      </c>
      <c r="B17" s="1356"/>
      <c r="C17" s="1356"/>
      <c r="D17" s="1356"/>
      <c r="E17" s="1356"/>
      <c r="F17" s="1356"/>
      <c r="G17" s="1356"/>
      <c r="H17" s="1356"/>
      <c r="I17" s="1356"/>
      <c r="J17" s="1356"/>
      <c r="K17" s="1356"/>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53">
        <v>91625888</v>
      </c>
      <c r="B19" s="1353">
        <v>130688607</v>
      </c>
      <c r="C19" s="1353">
        <f>B19-A19</f>
        <v>39062719</v>
      </c>
      <c r="D19" s="1353">
        <v>7500000</v>
      </c>
      <c r="E19" s="232"/>
      <c r="F19" s="232"/>
      <c r="G19" s="232"/>
      <c r="H19" s="1353">
        <f>C19</f>
        <v>39062719</v>
      </c>
      <c r="I19" s="1353">
        <f>H19*25%</f>
        <v>9765679.75</v>
      </c>
      <c r="J19" s="1353">
        <f>H19*25%</f>
        <v>9765679.75</v>
      </c>
      <c r="K19" s="1353">
        <f>H19*50%</f>
        <v>19531359.5</v>
      </c>
    </row>
    <row r="20" spans="1:11" ht="12.75" customHeight="1" x14ac:dyDescent="0.25">
      <c r="A20" s="1353"/>
      <c r="B20" s="1353"/>
      <c r="C20" s="1353"/>
      <c r="D20" s="1353"/>
      <c r="E20" s="232"/>
      <c r="F20" s="232"/>
      <c r="G20" s="232"/>
      <c r="H20" s="1353"/>
      <c r="I20" s="1353"/>
      <c r="J20" s="1353"/>
      <c r="K20" s="1353"/>
    </row>
    <row r="21" spans="1:11" ht="15.75" x14ac:dyDescent="0.25">
      <c r="A21" s="1354" t="s">
        <v>2648</v>
      </c>
      <c r="B21" s="1354"/>
      <c r="C21" s="1354"/>
      <c r="D21" s="1354"/>
      <c r="E21" s="1354"/>
      <c r="F21" s="1354"/>
      <c r="G21" s="1354"/>
      <c r="H21" s="1354"/>
      <c r="I21" s="195">
        <v>13000000</v>
      </c>
      <c r="J21" s="193"/>
      <c r="K21" s="193"/>
    </row>
    <row r="22" spans="1:11" ht="15.75" x14ac:dyDescent="0.25">
      <c r="A22" s="1354" t="s">
        <v>2645</v>
      </c>
      <c r="B22" s="1354"/>
      <c r="C22" s="1354"/>
      <c r="D22" s="1354"/>
      <c r="E22" s="1354"/>
      <c r="F22" s="1354"/>
      <c r="G22" s="1354"/>
      <c r="H22" s="1354"/>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4" t="s">
        <v>2659</v>
      </c>
      <c r="B36" s="1344"/>
      <c r="C36" s="1344"/>
      <c r="D36" s="1344"/>
      <c r="E36" s="1344"/>
      <c r="F36" s="1344"/>
      <c r="G36" s="1344"/>
      <c r="H36" s="1344"/>
      <c r="I36" s="1344"/>
      <c r="J36" s="1344"/>
      <c r="K36" s="1344"/>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49">
        <f>'Main Summary'!$AG$73</f>
        <v>31688154.002880182</v>
      </c>
      <c r="B38" s="1349">
        <f>'Main Summary'!$AH$73</f>
        <v>37164776</v>
      </c>
      <c r="C38" s="1349">
        <f>B38-A38</f>
        <v>5476621.9971198179</v>
      </c>
      <c r="D38" s="1349">
        <v>6000000</v>
      </c>
      <c r="E38" s="1351"/>
      <c r="F38" s="1351"/>
      <c r="G38" s="1349">
        <v>300000</v>
      </c>
      <c r="H38" s="1349">
        <f>C38-D38-G38</f>
        <v>-823378.00288018212</v>
      </c>
      <c r="I38" s="1349">
        <f>H38*33%</f>
        <v>-271714.74095046014</v>
      </c>
      <c r="J38" s="1349">
        <f>H38*33%</f>
        <v>-271714.74095046014</v>
      </c>
      <c r="K38" s="1349">
        <f>H38*34%</f>
        <v>-279948.52097926196</v>
      </c>
    </row>
    <row r="39" spans="1:13" ht="16.899999999999999" customHeight="1" x14ac:dyDescent="0.25">
      <c r="A39" s="1349"/>
      <c r="B39" s="1349"/>
      <c r="C39" s="1349"/>
      <c r="D39" s="1349"/>
      <c r="E39" s="1352"/>
      <c r="F39" s="1352"/>
      <c r="G39" s="1349"/>
      <c r="H39" s="1349"/>
      <c r="I39" s="1349"/>
      <c r="J39" s="1349"/>
      <c r="K39" s="1349"/>
    </row>
    <row r="40" spans="1:13" ht="16.5" x14ac:dyDescent="0.25">
      <c r="A40" s="1350" t="s">
        <v>2660</v>
      </c>
      <c r="B40" s="1350"/>
      <c r="C40" s="1350"/>
      <c r="D40" s="1350"/>
      <c r="E40" s="1350"/>
      <c r="F40" s="1350"/>
      <c r="G40" s="1350"/>
      <c r="H40" s="1350"/>
      <c r="I40" s="238">
        <v>3234320</v>
      </c>
      <c r="J40" s="238"/>
      <c r="K40" s="238"/>
    </row>
    <row r="41" spans="1:13" ht="16.5" x14ac:dyDescent="0.25">
      <c r="A41" s="1350" t="s">
        <v>2888</v>
      </c>
      <c r="B41" s="1350"/>
      <c r="C41" s="1350"/>
      <c r="D41" s="1350"/>
      <c r="E41" s="1350"/>
      <c r="F41" s="1350"/>
      <c r="G41" s="1350"/>
      <c r="H41" s="1350"/>
      <c r="I41" s="238"/>
      <c r="J41" s="238">
        <v>1676486</v>
      </c>
      <c r="K41" s="238">
        <v>6090000</v>
      </c>
    </row>
    <row r="42" spans="1:13" ht="16.5" x14ac:dyDescent="0.25">
      <c r="A42" s="1350" t="s">
        <v>2661</v>
      </c>
      <c r="B42" s="1350"/>
      <c r="C42" s="1350"/>
      <c r="D42" s="1350"/>
      <c r="E42" s="1350"/>
      <c r="F42" s="1350"/>
      <c r="G42" s="1350"/>
      <c r="H42" s="1350"/>
      <c r="I42" s="238">
        <v>1568356</v>
      </c>
      <c r="J42" s="238"/>
      <c r="K42" s="238"/>
    </row>
    <row r="43" spans="1:13" ht="16.5" x14ac:dyDescent="0.25">
      <c r="A43" s="1348" t="s">
        <v>2662</v>
      </c>
      <c r="B43" s="1348"/>
      <c r="C43" s="1348"/>
      <c r="D43" s="1348"/>
      <c r="E43" s="1348"/>
      <c r="F43" s="1348"/>
      <c r="G43" s="1348"/>
      <c r="H43" s="1348"/>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55" t="s">
        <v>2797</v>
      </c>
      <c r="B45" s="1355"/>
      <c r="C45" s="1355"/>
      <c r="D45" s="1355"/>
      <c r="E45" s="1355"/>
      <c r="F45" s="1355"/>
      <c r="G45" s="1355"/>
      <c r="H45" s="1355"/>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44" t="s">
        <v>3323</v>
      </c>
      <c r="B49" s="1344"/>
      <c r="C49" s="1344"/>
      <c r="D49" s="1344"/>
      <c r="E49" s="1344"/>
      <c r="F49" s="1344"/>
      <c r="G49" s="1344"/>
      <c r="H49" s="1344"/>
      <c r="I49" s="1344"/>
      <c r="J49" s="1344"/>
      <c r="K49" s="1344"/>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45">
        <f>'Main Summary'!Z19</f>
        <v>113012540.90419273</v>
      </c>
      <c r="B51" s="1345">
        <f>'Main Summary'!AA19</f>
        <v>164353252</v>
      </c>
      <c r="C51" s="1345">
        <f>B51-A51</f>
        <v>51340711.095807269</v>
      </c>
      <c r="D51" s="1345">
        <v>7000000</v>
      </c>
      <c r="E51" s="1346">
        <f>15000000+6000000</f>
        <v>21000000</v>
      </c>
      <c r="F51" s="353"/>
      <c r="G51" s="1345">
        <v>500000</v>
      </c>
      <c r="H51" s="1345">
        <f>C51-D51-G51-E51</f>
        <v>22840711.095807269</v>
      </c>
      <c r="I51" s="1345">
        <f>H51*33%</f>
        <v>7537434.661616399</v>
      </c>
      <c r="J51" s="1345">
        <f>H51*33%</f>
        <v>7537434.661616399</v>
      </c>
      <c r="K51" s="1345">
        <f>H51*34%</f>
        <v>7765841.7725744722</v>
      </c>
    </row>
    <row r="52" spans="1:13" ht="16.899999999999999" customHeight="1" x14ac:dyDescent="0.25">
      <c r="A52" s="1345"/>
      <c r="B52" s="1345"/>
      <c r="C52" s="1345"/>
      <c r="D52" s="1345"/>
      <c r="E52" s="1347"/>
      <c r="F52" s="354"/>
      <c r="G52" s="1345"/>
      <c r="H52" s="1345"/>
      <c r="I52" s="1345"/>
      <c r="J52" s="1345"/>
      <c r="K52" s="1345"/>
    </row>
    <row r="53" spans="1:13" ht="15.75" x14ac:dyDescent="0.25">
      <c r="A53" s="1341" t="s">
        <v>2660</v>
      </c>
      <c r="B53" s="1341"/>
      <c r="C53" s="1341"/>
      <c r="D53" s="1341"/>
      <c r="E53" s="1341"/>
      <c r="F53" s="1341"/>
      <c r="G53" s="1341"/>
      <c r="H53" s="1341"/>
      <c r="I53" s="232"/>
      <c r="J53" s="232"/>
      <c r="K53" s="232"/>
      <c r="M53" s="1">
        <v>1682985</v>
      </c>
    </row>
    <row r="54" spans="1:13" ht="15.75" x14ac:dyDescent="0.25">
      <c r="A54" s="1341" t="s">
        <v>2888</v>
      </c>
      <c r="B54" s="1341"/>
      <c r="C54" s="1341"/>
      <c r="D54" s="1341"/>
      <c r="E54" s="1341"/>
      <c r="F54" s="1341"/>
      <c r="G54" s="1341"/>
      <c r="H54" s="1341"/>
      <c r="I54" s="232">
        <f>450000+3000000+1300000+200000+6000000</f>
        <v>10950000</v>
      </c>
      <c r="J54" s="232">
        <f>3800000+300000+1500000+89000+1000000+1300000</f>
        <v>7989000</v>
      </c>
      <c r="K54" s="232">
        <f>150000+500000+500000+5000000</f>
        <v>6150000</v>
      </c>
      <c r="M54" s="1">
        <v>26656</v>
      </c>
    </row>
    <row r="55" spans="1:13" ht="15.75" x14ac:dyDescent="0.25">
      <c r="A55" s="1341" t="s">
        <v>4310</v>
      </c>
      <c r="B55" s="1341"/>
      <c r="C55" s="1341"/>
      <c r="D55" s="1341"/>
      <c r="E55" s="1341"/>
      <c r="F55" s="1341"/>
      <c r="G55" s="1341"/>
      <c r="H55" s="1341"/>
      <c r="I55" s="232"/>
      <c r="J55" s="232">
        <v>493250</v>
      </c>
      <c r="K55" s="232"/>
      <c r="M55" s="1">
        <v>7143</v>
      </c>
    </row>
    <row r="56" spans="1:13" ht="15.75" x14ac:dyDescent="0.25">
      <c r="A56" s="1342" t="s">
        <v>2662</v>
      </c>
      <c r="B56" s="1342"/>
      <c r="C56" s="1342"/>
      <c r="D56" s="1342"/>
      <c r="E56" s="1342"/>
      <c r="F56" s="1342"/>
      <c r="G56" s="1342"/>
      <c r="H56" s="1342"/>
      <c r="I56" s="270">
        <f>I51-I53-I54-I55</f>
        <v>-3412565.338383601</v>
      </c>
      <c r="J56" s="270">
        <f>J51+J55-J54</f>
        <v>41684.661616398953</v>
      </c>
      <c r="K56" s="270">
        <f>K51-K53-K54-K55</f>
        <v>1615841.7725744722</v>
      </c>
      <c r="M56" s="1">
        <v>7257</v>
      </c>
    </row>
    <row r="57" spans="1:13" ht="15.75" x14ac:dyDescent="0.25">
      <c r="A57" s="1343" t="s">
        <v>2797</v>
      </c>
      <c r="B57" s="1343"/>
      <c r="C57" s="1343"/>
      <c r="D57" s="1343"/>
      <c r="E57" s="1343"/>
      <c r="F57" s="1343"/>
      <c r="G57" s="1343"/>
      <c r="H57" s="1343"/>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44" t="s">
        <v>3700</v>
      </c>
      <c r="B61" s="1344"/>
      <c r="C61" s="1344"/>
      <c r="D61" s="1344"/>
      <c r="E61" s="1344"/>
      <c r="F61" s="1344"/>
      <c r="G61" s="1344"/>
      <c r="H61" s="1344"/>
      <c r="I61" s="1344"/>
      <c r="J61" s="1344"/>
      <c r="K61" s="1344"/>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45">
        <f>'Main Summary'!V19</f>
        <v>138622950.11069509</v>
      </c>
      <c r="B63" s="1345">
        <f>'Main Summary'!W19</f>
        <v>174948764</v>
      </c>
      <c r="C63" s="1345">
        <f>B63-A63</f>
        <v>36325813.889304906</v>
      </c>
      <c r="D63" s="1345">
        <v>2000000</v>
      </c>
      <c r="E63" s="1346">
        <v>4500000</v>
      </c>
      <c r="F63" s="1346">
        <v>889800</v>
      </c>
      <c r="G63" s="1345">
        <v>500000</v>
      </c>
      <c r="H63" s="1345">
        <f>C63-D63-G63-E63-F63</f>
        <v>28436013.889304906</v>
      </c>
      <c r="I63" s="1345">
        <f>H63*33%</f>
        <v>9383884.5834706202</v>
      </c>
      <c r="J63" s="1345">
        <f>H63*33%</f>
        <v>9383884.5834706202</v>
      </c>
      <c r="K63" s="1345">
        <f>H63*34%</f>
        <v>9668244.7223636694</v>
      </c>
    </row>
    <row r="64" spans="1:13" ht="15" customHeight="1" x14ac:dyDescent="0.25">
      <c r="A64" s="1345"/>
      <c r="B64" s="1345"/>
      <c r="C64" s="1345"/>
      <c r="D64" s="1345"/>
      <c r="E64" s="1347"/>
      <c r="F64" s="1347"/>
      <c r="G64" s="1345"/>
      <c r="H64" s="1345"/>
      <c r="I64" s="1345"/>
      <c r="J64" s="1345"/>
      <c r="K64" s="1345"/>
    </row>
    <row r="65" spans="1:18" ht="27" customHeight="1" x14ac:dyDescent="0.25">
      <c r="A65" s="1341" t="s">
        <v>2888</v>
      </c>
      <c r="B65" s="1341"/>
      <c r="C65" s="1341"/>
      <c r="D65" s="1341"/>
      <c r="E65" s="1341"/>
      <c r="F65" s="1341"/>
      <c r="G65" s="1341"/>
      <c r="H65" s="1341"/>
      <c r="I65" s="232">
        <f>'old Sharing details'!H30</f>
        <v>20909127</v>
      </c>
      <c r="J65" s="232">
        <f>'old Sharing details'!H65</f>
        <v>20630910</v>
      </c>
      <c r="K65" s="232">
        <f>'old Sharing details'!D125</f>
        <v>17742859</v>
      </c>
    </row>
    <row r="66" spans="1:18" ht="27" customHeight="1" x14ac:dyDescent="0.25">
      <c r="A66" s="1342" t="s">
        <v>2662</v>
      </c>
      <c r="B66" s="1342"/>
      <c r="C66" s="1342"/>
      <c r="D66" s="1342"/>
      <c r="E66" s="1342"/>
      <c r="F66" s="1342"/>
      <c r="G66" s="1342"/>
      <c r="H66" s="1342"/>
      <c r="I66" s="270">
        <f>I63-I65</f>
        <v>-11525242.41652938</v>
      </c>
      <c r="J66" s="270">
        <f t="shared" ref="J66:K66" si="0">J63-J65</f>
        <v>-11247025.41652938</v>
      </c>
      <c r="K66" s="270">
        <f t="shared" si="0"/>
        <v>-8074614.2776363306</v>
      </c>
    </row>
    <row r="67" spans="1:18" ht="15.75" x14ac:dyDescent="0.25">
      <c r="A67" s="1343" t="s">
        <v>2797</v>
      </c>
      <c r="B67" s="1343"/>
      <c r="C67" s="1343"/>
      <c r="D67" s="1343"/>
      <c r="E67" s="1343"/>
      <c r="F67" s="1343"/>
      <c r="G67" s="1343"/>
      <c r="H67" s="1343"/>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40" t="s">
        <v>5211</v>
      </c>
      <c r="B69" s="1340"/>
      <c r="C69" s="1340"/>
      <c r="D69" s="1340"/>
      <c r="E69" s="291">
        <v>3118282</v>
      </c>
      <c r="M69"/>
      <c r="N69" s="1">
        <v>4629646</v>
      </c>
      <c r="O69" s="1">
        <v>7330193</v>
      </c>
      <c r="P69" s="1">
        <v>1850440</v>
      </c>
      <c r="R69" s="1"/>
    </row>
    <row r="70" spans="1:18" x14ac:dyDescent="0.25">
      <c r="A70" s="1340" t="s">
        <v>5209</v>
      </c>
      <c r="B70" s="1340"/>
      <c r="C70" s="1340"/>
      <c r="D70" s="1340"/>
      <c r="E70" s="15">
        <v>1000000</v>
      </c>
      <c r="M70"/>
      <c r="N70" s="3"/>
      <c r="R70" s="1"/>
    </row>
    <row r="71" spans="1:18" ht="26.25" x14ac:dyDescent="0.25">
      <c r="A71" s="1340" t="s">
        <v>5210</v>
      </c>
      <c r="B71" s="1340"/>
      <c r="C71" s="1340"/>
      <c r="D71" s="1340"/>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57" t="s">
        <v>4751</v>
      </c>
      <c r="O73" s="1357"/>
      <c r="P73" s="1357"/>
    </row>
    <row r="74" spans="1:18" x14ac:dyDescent="0.25">
      <c r="A74">
        <f>139220029+2000000</f>
        <v>141220029</v>
      </c>
      <c r="B74" s="3">
        <f>B63-A74</f>
        <v>33728735</v>
      </c>
      <c r="M74"/>
      <c r="N74" s="1357"/>
      <c r="O74" s="1357"/>
      <c r="P74" s="135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5" t="s">
        <v>1779</v>
      </c>
      <c r="D1" s="1125"/>
      <c r="E1" s="1125"/>
    </row>
    <row r="2" spans="1:8" x14ac:dyDescent="0.25">
      <c r="C2" s="1125"/>
      <c r="D2" s="1125"/>
      <c r="E2" s="1125"/>
    </row>
    <row r="3" spans="1:8" x14ac:dyDescent="0.25">
      <c r="C3" s="1339" t="s">
        <v>4752</v>
      </c>
      <c r="D3" s="1339"/>
      <c r="E3" s="1339"/>
    </row>
    <row r="4" spans="1:8" x14ac:dyDescent="0.25">
      <c r="C4" s="1339"/>
      <c r="D4" s="1339"/>
      <c r="E4" s="1339"/>
    </row>
    <row r="6" spans="1:8" ht="14.45" customHeight="1" x14ac:dyDescent="0.25">
      <c r="A6" s="1372" t="s">
        <v>1907</v>
      </c>
      <c r="B6" s="1373"/>
      <c r="C6" s="1373"/>
      <c r="D6" s="1374"/>
      <c r="E6" s="1381" t="s">
        <v>4790</v>
      </c>
      <c r="F6" s="1381"/>
      <c r="G6" s="1381"/>
      <c r="H6" s="1381"/>
    </row>
    <row r="7" spans="1:8" ht="14.45" customHeight="1" x14ac:dyDescent="0.25">
      <c r="A7" s="1375"/>
      <c r="B7" s="1376"/>
      <c r="C7" s="1376"/>
      <c r="D7" s="1377"/>
      <c r="E7" s="1381"/>
      <c r="F7" s="1381"/>
      <c r="G7" s="1381"/>
      <c r="H7" s="1381"/>
    </row>
    <row r="8" spans="1:8" ht="14.45" customHeight="1" x14ac:dyDescent="0.25">
      <c r="A8" s="1378"/>
      <c r="B8" s="1379"/>
      <c r="C8" s="1379"/>
      <c r="D8" s="1380"/>
      <c r="E8" s="1381"/>
      <c r="F8" s="1381"/>
      <c r="G8" s="1381"/>
      <c r="H8" s="1381"/>
    </row>
    <row r="9" spans="1:8" ht="27" thickBot="1" x14ac:dyDescent="0.3">
      <c r="A9" s="1317" t="s">
        <v>4629</v>
      </c>
      <c r="B9" s="1318"/>
      <c r="C9" s="1318"/>
      <c r="D9" s="1319"/>
      <c r="E9" s="1320" t="s">
        <v>4629</v>
      </c>
      <c r="F9" s="1321"/>
      <c r="G9" s="1321"/>
      <c r="H9" s="1322"/>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23" t="s">
        <v>4635</v>
      </c>
      <c r="F30" s="1323"/>
      <c r="G30" s="1324"/>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371" t="s">
        <v>4787</v>
      </c>
      <c r="F37" s="1321"/>
      <c r="G37" s="1321"/>
      <c r="H37" s="1322"/>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289" t="s">
        <v>4635</v>
      </c>
      <c r="B54" s="1289"/>
      <c r="C54" s="1289"/>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61" t="s">
        <v>4639</v>
      </c>
      <c r="B58" s="1362"/>
      <c r="C58" s="1362"/>
      <c r="D58" s="1362"/>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289" t="s">
        <v>4635</v>
      </c>
      <c r="F65" s="1289"/>
      <c r="G65" s="1289"/>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67" t="s">
        <v>4784</v>
      </c>
      <c r="F73" s="1367"/>
      <c r="G73" s="1367"/>
      <c r="H73" s="1367"/>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68" t="s">
        <v>4635</v>
      </c>
      <c r="F87" s="1369"/>
      <c r="G87" s="1370"/>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63" t="s">
        <v>4635</v>
      </c>
      <c r="B102" s="1304"/>
      <c r="C102" s="1305"/>
      <c r="D102" s="322">
        <f>SUM(D60:D101)</f>
        <v>8325000</v>
      </c>
    </row>
    <row r="104" spans="1:4" ht="15.75" thickBot="1" x14ac:dyDescent="0.3">
      <c r="D104" s="52"/>
    </row>
    <row r="105" spans="1:4" ht="21.75" thickBot="1" x14ac:dyDescent="0.3">
      <c r="A105" s="1364" t="s">
        <v>4636</v>
      </c>
      <c r="B105" s="1365"/>
      <c r="C105" s="1365"/>
      <c r="D105" s="1366"/>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03" t="s">
        <v>4635</v>
      </c>
      <c r="B124" s="1304"/>
      <c r="C124" s="1305"/>
      <c r="D124" s="329">
        <f>SUM(D107:D123)</f>
        <v>3665720</v>
      </c>
    </row>
    <row r="125" spans="1:4" ht="19.5" thickBot="1" x14ac:dyDescent="0.35">
      <c r="A125" s="1358" t="s">
        <v>4656</v>
      </c>
      <c r="B125" s="1359"/>
      <c r="C125" s="1360"/>
      <c r="D125" s="216">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2023-11-14T12:25:56Z</cp:lastPrinted>
  <dcterms:created xsi:type="dcterms:W3CDTF">2016-01-21T08:10:35Z</dcterms:created>
  <dcterms:modified xsi:type="dcterms:W3CDTF">2023-12-18T11:38:47Z</dcterms:modified>
</cp:coreProperties>
</file>