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han Aslam\Desktop\"/>
    </mc:Choice>
  </mc:AlternateContent>
  <xr:revisionPtr revIDLastSave="0" documentId="13_ncr:1_{70EFEECB-5440-47D4-949E-4769B19AA93A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</sheets>
  <definedNames>
    <definedName name="_xlnm.Print_Area" localSheetId="1">'Salary Record'!$A$796:$L$810</definedName>
    <definedName name="_xlnm.Print_Area" localSheetId="0">'Salary Sheets'!$A$1:$D$78</definedName>
  </definedNames>
  <calcPr calcId="181029"/>
  <fileRecoveryPr autoRecover="0"/>
</workbook>
</file>

<file path=xl/calcChain.xml><?xml version="1.0" encoding="utf-8"?>
<calcChain xmlns="http://schemas.openxmlformats.org/spreadsheetml/2006/main">
  <c r="H61" i="1" l="1"/>
  <c r="E22" i="1"/>
  <c r="E21" i="1"/>
  <c r="E20" i="1"/>
  <c r="E19" i="1"/>
  <c r="F22" i="1" s="1"/>
  <c r="F15" i="1"/>
  <c r="E15" i="1"/>
  <c r="E14" i="1"/>
  <c r="E13" i="1"/>
  <c r="E12" i="1"/>
  <c r="E52" i="1"/>
  <c r="E50" i="1"/>
  <c r="G13" i="1"/>
  <c r="E55" i="1"/>
  <c r="E78" i="1" l="1"/>
  <c r="G28" i="1" l="1"/>
  <c r="D73" i="1"/>
  <c r="E67" i="1" l="1"/>
  <c r="E66" i="1"/>
  <c r="E65" i="1"/>
  <c r="E64" i="1"/>
  <c r="E63" i="1"/>
  <c r="E62" i="1"/>
  <c r="E61" i="1"/>
  <c r="E60" i="1"/>
  <c r="E59" i="1"/>
  <c r="E45" i="1"/>
  <c r="E44" i="1"/>
  <c r="E43" i="1"/>
  <c r="E42" i="1"/>
  <c r="E69" i="1"/>
  <c r="E27" i="1" l="1"/>
  <c r="E68" i="1"/>
  <c r="E7" i="1"/>
  <c r="D74" i="1"/>
  <c r="E8" i="1"/>
  <c r="E6" i="1"/>
  <c r="E5" i="1"/>
  <c r="E4" i="1"/>
  <c r="E3" i="1"/>
  <c r="E77" i="1"/>
  <c r="E76" i="1"/>
  <c r="E75" i="1"/>
  <c r="E74" i="1"/>
  <c r="E73" i="1"/>
  <c r="E54" i="1"/>
  <c r="E53" i="1"/>
  <c r="E51" i="1"/>
  <c r="E49" i="1"/>
  <c r="E38" i="1"/>
  <c r="E37" i="1"/>
  <c r="E36" i="1"/>
  <c r="E35" i="1"/>
  <c r="E26" i="1"/>
  <c r="E31" i="1"/>
  <c r="E30" i="1"/>
  <c r="E29" i="1"/>
  <c r="E28" i="1"/>
  <c r="D68" i="1"/>
  <c r="D6" i="1"/>
  <c r="D4" i="1"/>
  <c r="D3" i="1"/>
  <c r="D52" i="1"/>
  <c r="D51" i="1"/>
  <c r="D50" i="1"/>
  <c r="D45" i="1"/>
  <c r="D44" i="1"/>
  <c r="D43" i="1"/>
  <c r="D42" i="1"/>
  <c r="D27" i="1"/>
  <c r="D26" i="1"/>
  <c r="D22" i="1"/>
  <c r="D21" i="1"/>
  <c r="D20" i="1"/>
  <c r="D19" i="1"/>
  <c r="D15" i="1"/>
  <c r="D14" i="1"/>
  <c r="D13" i="1"/>
  <c r="D12" i="1"/>
  <c r="D78" i="1" l="1"/>
  <c r="K228" i="8" l="1"/>
  <c r="I223" i="8"/>
  <c r="R220" i="8"/>
  <c r="I802" i="8"/>
  <c r="I708" i="8"/>
  <c r="I755" i="8"/>
  <c r="R100" i="8" l="1"/>
  <c r="K32" i="8" l="1"/>
  <c r="R206" i="8"/>
  <c r="R205" i="8"/>
  <c r="C72" i="1"/>
  <c r="B72" i="1"/>
  <c r="K743" i="8" l="1"/>
  <c r="I739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C71" i="1" l="1"/>
  <c r="V781" i="8"/>
  <c r="B71" i="1"/>
  <c r="R99" i="8"/>
  <c r="V657" i="8" l="1"/>
  <c r="R204" i="8"/>
  <c r="K771" i="8"/>
  <c r="R294" i="8"/>
  <c r="R219" i="8"/>
  <c r="R279" i="8" l="1"/>
  <c r="C77" i="1"/>
  <c r="D77" i="1" s="1"/>
  <c r="B77" i="1"/>
  <c r="K234" i="8"/>
  <c r="K249" i="8"/>
  <c r="K641" i="8"/>
  <c r="K279" i="8"/>
  <c r="C65" i="1"/>
  <c r="B65" i="1"/>
  <c r="C63" i="1"/>
  <c r="B63" i="1"/>
  <c r="V174" i="8"/>
  <c r="V204" i="8"/>
  <c r="R339" i="8" l="1"/>
  <c r="K324" i="8" l="1"/>
  <c r="K354" i="8" l="1"/>
  <c r="K384" i="8"/>
  <c r="K339" i="8"/>
  <c r="K144" i="8"/>
  <c r="C76" i="8"/>
  <c r="C75" i="8"/>
  <c r="K69" i="8" l="1"/>
  <c r="K9" i="8"/>
  <c r="K490" i="8" l="1"/>
  <c r="K475" i="8"/>
  <c r="K460" i="8"/>
  <c r="K445" i="8"/>
  <c r="K219" i="8" l="1"/>
  <c r="K309" i="8"/>
  <c r="K294" i="8"/>
  <c r="K99" i="8"/>
  <c r="K54" i="8"/>
  <c r="R65" i="8" l="1"/>
  <c r="R379" i="8" l="1"/>
  <c r="U759" i="8" l="1"/>
  <c r="K189" i="8" l="1"/>
  <c r="K84" i="8" l="1"/>
  <c r="K415" i="8" l="1"/>
  <c r="B69" i="1" l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B60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B73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Y28" i="8" l="1"/>
  <c r="U13" i="8"/>
  <c r="U29" i="8" l="1"/>
  <c r="W13" i="8"/>
  <c r="W29" i="8" l="1"/>
  <c r="Y29" i="8" s="1"/>
  <c r="G28" i="8"/>
  <c r="G30" i="8"/>
  <c r="Y13" i="8"/>
  <c r="K114" i="8"/>
  <c r="U14" i="8" l="1"/>
  <c r="B66" i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U138" i="8" l="1"/>
  <c r="W138" i="8" s="1"/>
  <c r="Y138" i="8" s="1"/>
  <c r="Y16" i="8"/>
  <c r="B42" i="1"/>
  <c r="U139" i="8" l="1"/>
  <c r="W139" i="8" s="1"/>
  <c r="Y139" i="8" s="1"/>
  <c r="U17" i="8"/>
  <c r="B4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Y18" i="8" l="1"/>
  <c r="K570" i="8"/>
  <c r="U19" i="8" l="1"/>
  <c r="W19" i="8" l="1"/>
  <c r="Y19" i="8" l="1"/>
  <c r="U20" i="8" l="1"/>
  <c r="W20" i="8" l="1"/>
  <c r="G13" i="8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W571" i="8" l="1"/>
  <c r="K74" i="8" l="1"/>
  <c r="B20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B74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8" i="1" l="1"/>
  <c r="W299" i="8" l="1"/>
  <c r="K709" i="8" l="1"/>
  <c r="B37" i="1" l="1"/>
  <c r="R309" i="8" l="1"/>
  <c r="R310" i="8" s="1"/>
  <c r="R311" i="8" l="1"/>
  <c r="R312" i="8" s="1"/>
  <c r="R313" i="8" s="1"/>
  <c r="R314" i="8" s="1"/>
  <c r="R315" i="8" s="1"/>
  <c r="B68" i="1"/>
  <c r="R316" i="8" l="1"/>
  <c r="G497" i="8"/>
  <c r="K497" i="8" s="1"/>
  <c r="C497" i="8"/>
  <c r="C496" i="8"/>
  <c r="K495" i="8"/>
  <c r="G495" i="8"/>
  <c r="H489" i="8"/>
  <c r="G489" i="8"/>
  <c r="G542" i="8"/>
  <c r="C542" i="8"/>
  <c r="C541" i="8"/>
  <c r="K540" i="8"/>
  <c r="G540" i="8"/>
  <c r="H534" i="8"/>
  <c r="G534" i="8"/>
  <c r="W380" i="8"/>
  <c r="Y380" i="8" s="1"/>
  <c r="G376" i="8"/>
  <c r="C376" i="8"/>
  <c r="C375" i="8"/>
  <c r="G374" i="8"/>
  <c r="H368" i="8"/>
  <c r="G368" i="8"/>
  <c r="G226" i="8"/>
  <c r="C226" i="8"/>
  <c r="C225" i="8"/>
  <c r="K224" i="8"/>
  <c r="G224" i="8"/>
  <c r="W219" i="8"/>
  <c r="Y219" i="8" s="1"/>
  <c r="W220" i="8" s="1"/>
  <c r="Y220" i="8" s="1"/>
  <c r="H218" i="8"/>
  <c r="G218" i="8"/>
  <c r="G467" i="8"/>
  <c r="C467" i="8"/>
  <c r="C466" i="8"/>
  <c r="K465" i="8"/>
  <c r="G465" i="8"/>
  <c r="H459" i="8"/>
  <c r="G459" i="8"/>
  <c r="G106" i="8"/>
  <c r="C106" i="8"/>
  <c r="C105" i="8"/>
  <c r="I103" i="8" s="1"/>
  <c r="K104" i="8"/>
  <c r="G104" i="8"/>
  <c r="W99" i="8"/>
  <c r="Y99" i="8" s="1"/>
  <c r="H98" i="8"/>
  <c r="G98" i="8"/>
  <c r="G271" i="8"/>
  <c r="K271" i="8" s="1"/>
  <c r="C271" i="8"/>
  <c r="C270" i="8"/>
  <c r="K269" i="8"/>
  <c r="G269" i="8"/>
  <c r="H263" i="8"/>
  <c r="G263" i="8"/>
  <c r="G664" i="8"/>
  <c r="C664" i="8"/>
  <c r="C663" i="8"/>
  <c r="K662" i="8"/>
  <c r="G662" i="8"/>
  <c r="H656" i="8"/>
  <c r="G656" i="8"/>
  <c r="G437" i="8"/>
  <c r="K437" i="8" s="1"/>
  <c r="C437" i="8"/>
  <c r="C436" i="8"/>
  <c r="K435" i="8"/>
  <c r="G435" i="8"/>
  <c r="R431" i="8"/>
  <c r="R432" i="8" s="1"/>
  <c r="R433" i="8" s="1"/>
  <c r="H429" i="8"/>
  <c r="G429" i="8"/>
  <c r="G361" i="8"/>
  <c r="C361" i="8"/>
  <c r="C360" i="8"/>
  <c r="K359" i="8"/>
  <c r="G359" i="8"/>
  <c r="H353" i="8"/>
  <c r="G353" i="8"/>
  <c r="G76" i="8"/>
  <c r="K76" i="8" s="1"/>
  <c r="G74" i="8"/>
  <c r="H68" i="8"/>
  <c r="G68" i="8"/>
  <c r="G680" i="8"/>
  <c r="C680" i="8"/>
  <c r="C679" i="8"/>
  <c r="G678" i="8"/>
  <c r="C681" i="8"/>
  <c r="H672" i="8"/>
  <c r="G672" i="8"/>
  <c r="G346" i="8"/>
  <c r="K346" i="8" s="1"/>
  <c r="C346" i="8"/>
  <c r="C345" i="8"/>
  <c r="K344" i="8"/>
  <c r="G344" i="8"/>
  <c r="H338" i="8"/>
  <c r="G338" i="8"/>
  <c r="U792" i="8"/>
  <c r="W792" i="8" s="1"/>
  <c r="Y792" i="8" s="1"/>
  <c r="R791" i="8"/>
  <c r="R788" i="8"/>
  <c r="G788" i="8"/>
  <c r="C788" i="8"/>
  <c r="C787" i="8"/>
  <c r="K786" i="8"/>
  <c r="G786" i="8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R405" i="8"/>
  <c r="C405" i="8"/>
  <c r="R404" i="8"/>
  <c r="K404" i="8"/>
  <c r="G404" i="8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C710" i="8"/>
  <c r="G709" i="8"/>
  <c r="H703" i="8"/>
  <c r="G703" i="8"/>
  <c r="G181" i="8"/>
  <c r="K181" i="8" s="1"/>
  <c r="C181" i="8"/>
  <c r="C180" i="8"/>
  <c r="K179" i="8"/>
  <c r="G179" i="8"/>
  <c r="H173" i="8"/>
  <c r="G173" i="8"/>
  <c r="R777" i="8"/>
  <c r="R776" i="8"/>
  <c r="R775" i="8"/>
  <c r="R774" i="8"/>
  <c r="R773" i="8"/>
  <c r="G773" i="8"/>
  <c r="C773" i="8"/>
  <c r="R772" i="8"/>
  <c r="C772" i="8"/>
  <c r="R771" i="8"/>
  <c r="G771" i="8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R741" i="8"/>
  <c r="C741" i="8"/>
  <c r="R740" i="8"/>
  <c r="K740" i="8"/>
  <c r="G740" i="8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C725" i="8"/>
  <c r="R724" i="8"/>
  <c r="K724" i="8"/>
  <c r="G724" i="8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K585" i="8"/>
  <c r="G585" i="8"/>
  <c r="H579" i="8"/>
  <c r="G579" i="8"/>
  <c r="G316" i="8"/>
  <c r="K316" i="8" s="1"/>
  <c r="C316" i="8"/>
  <c r="C315" i="8"/>
  <c r="K314" i="8"/>
  <c r="G314" i="8"/>
  <c r="H308" i="8"/>
  <c r="G308" i="8"/>
  <c r="G422" i="8"/>
  <c r="C422" i="8"/>
  <c r="C421" i="8"/>
  <c r="K420" i="8"/>
  <c r="G420" i="8"/>
  <c r="H414" i="8"/>
  <c r="G414" i="8"/>
  <c r="G527" i="8"/>
  <c r="K527" i="8" s="1"/>
  <c r="C527" i="8"/>
  <c r="C526" i="8"/>
  <c r="K525" i="8"/>
  <c r="G525" i="8"/>
  <c r="H519" i="8"/>
  <c r="G519" i="8"/>
  <c r="G696" i="8"/>
  <c r="K696" i="8" s="1"/>
  <c r="C696" i="8"/>
  <c r="C695" i="8"/>
  <c r="R694" i="8"/>
  <c r="K694" i="8"/>
  <c r="G694" i="8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K616" i="8"/>
  <c r="G616" i="8"/>
  <c r="H610" i="8"/>
  <c r="G610" i="8"/>
  <c r="G557" i="8"/>
  <c r="K557" i="8" s="1"/>
  <c r="C557" i="8"/>
  <c r="C556" i="8"/>
  <c r="K555" i="8"/>
  <c r="G555" i="8"/>
  <c r="H549" i="8"/>
  <c r="G549" i="8"/>
  <c r="G602" i="8"/>
  <c r="K602" i="8" s="1"/>
  <c r="C602" i="8"/>
  <c r="C601" i="8"/>
  <c r="K600" i="8"/>
  <c r="G600" i="8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C820" i="8"/>
  <c r="K819" i="8"/>
  <c r="G819" i="8"/>
  <c r="R814" i="8"/>
  <c r="R815" i="8" s="1"/>
  <c r="R816" i="8" s="1"/>
  <c r="H813" i="8"/>
  <c r="G813" i="8"/>
  <c r="R762" i="8"/>
  <c r="G758" i="8"/>
  <c r="K758" i="8" s="1"/>
  <c r="C758" i="8"/>
  <c r="R757" i="8"/>
  <c r="C757" i="8"/>
  <c r="G756" i="8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G284" i="8"/>
  <c r="Y279" i="8"/>
  <c r="W280" i="8" s="1"/>
  <c r="Y280" i="8" s="1"/>
  <c r="H278" i="8"/>
  <c r="G278" i="8"/>
  <c r="G391" i="8"/>
  <c r="C391" i="8"/>
  <c r="C390" i="8"/>
  <c r="K389" i="8"/>
  <c r="G389" i="8"/>
  <c r="H383" i="8"/>
  <c r="G383" i="8"/>
  <c r="G482" i="8"/>
  <c r="C482" i="8"/>
  <c r="C481" i="8"/>
  <c r="K480" i="8"/>
  <c r="G480" i="8"/>
  <c r="H474" i="8"/>
  <c r="G474" i="8"/>
  <c r="G331" i="8"/>
  <c r="K331" i="8" s="1"/>
  <c r="C331" i="8"/>
  <c r="C330" i="8"/>
  <c r="G329" i="8"/>
  <c r="H323" i="8"/>
  <c r="G323" i="8"/>
  <c r="G633" i="8"/>
  <c r="K633" i="8" s="1"/>
  <c r="C633" i="8"/>
  <c r="C632" i="8"/>
  <c r="K631" i="8"/>
  <c r="G631" i="8"/>
  <c r="H625" i="8"/>
  <c r="G625" i="8"/>
  <c r="G91" i="8"/>
  <c r="K91" i="8" s="1"/>
  <c r="C91" i="8"/>
  <c r="C90" i="8"/>
  <c r="I88" i="8" s="1"/>
  <c r="K89" i="8"/>
  <c r="G89" i="8"/>
  <c r="H83" i="8"/>
  <c r="G83" i="8"/>
  <c r="G196" i="8"/>
  <c r="K196" i="8" s="1"/>
  <c r="C196" i="8"/>
  <c r="I193" i="8" s="1"/>
  <c r="C195" i="8"/>
  <c r="K194" i="8"/>
  <c r="G194" i="8"/>
  <c r="Y189" i="8"/>
  <c r="H188" i="8"/>
  <c r="G188" i="8"/>
  <c r="G512" i="8"/>
  <c r="K512" i="8" s="1"/>
  <c r="C512" i="8"/>
  <c r="C511" i="8"/>
  <c r="K510" i="8"/>
  <c r="G510" i="8"/>
  <c r="W505" i="8"/>
  <c r="Y505" i="8" s="1"/>
  <c r="H504" i="8"/>
  <c r="G504" i="8"/>
  <c r="G166" i="8"/>
  <c r="K166" i="8" s="1"/>
  <c r="C166" i="8"/>
  <c r="C165" i="8"/>
  <c r="K164" i="8"/>
  <c r="G164" i="8"/>
  <c r="W159" i="8"/>
  <c r="Y159" i="8" s="1"/>
  <c r="H158" i="8"/>
  <c r="G158" i="8"/>
  <c r="R455" i="8"/>
  <c r="G452" i="8"/>
  <c r="K452" i="8" s="1"/>
  <c r="C452" i="8"/>
  <c r="C451" i="8"/>
  <c r="K450" i="8"/>
  <c r="G450" i="8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C300" i="8"/>
  <c r="K299" i="8"/>
  <c r="G299" i="8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211" i="8"/>
  <c r="C211" i="8"/>
  <c r="C210" i="8"/>
  <c r="K209" i="8"/>
  <c r="G209" i="8"/>
  <c r="Y204" i="8"/>
  <c r="H203" i="8"/>
  <c r="G203" i="8"/>
  <c r="R260" i="8"/>
  <c r="C257" i="8" s="1"/>
  <c r="G256" i="8"/>
  <c r="K256" i="8" s="1"/>
  <c r="C256" i="8"/>
  <c r="C255" i="8"/>
  <c r="K254" i="8"/>
  <c r="G254" i="8"/>
  <c r="H248" i="8"/>
  <c r="G248" i="8"/>
  <c r="G241" i="8"/>
  <c r="K241" i="8" s="1"/>
  <c r="C241" i="8"/>
  <c r="C240" i="8"/>
  <c r="K239" i="8"/>
  <c r="G239" i="8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C647" i="8"/>
  <c r="K646" i="8"/>
  <c r="G646" i="8"/>
  <c r="H640" i="8"/>
  <c r="G640" i="8"/>
  <c r="G151" i="8"/>
  <c r="K151" i="8" s="1"/>
  <c r="C151" i="8"/>
  <c r="C150" i="8"/>
  <c r="K149" i="8"/>
  <c r="G149" i="8"/>
  <c r="H143" i="8"/>
  <c r="G143" i="8"/>
  <c r="G136" i="8"/>
  <c r="K136" i="8" s="1"/>
  <c r="C136" i="8"/>
  <c r="C135" i="8"/>
  <c r="I133" i="8" s="1"/>
  <c r="K134" i="8"/>
  <c r="G134" i="8"/>
  <c r="H128" i="8"/>
  <c r="G128" i="8"/>
  <c r="G121" i="8"/>
  <c r="K121" i="8" s="1"/>
  <c r="C121" i="8"/>
  <c r="C120" i="8"/>
  <c r="I118" i="8" s="1"/>
  <c r="K119" i="8"/>
  <c r="G119" i="8"/>
  <c r="W114" i="8"/>
  <c r="Y114" i="8" s="1"/>
  <c r="H113" i="8"/>
  <c r="G113" i="8"/>
  <c r="R50" i="8"/>
  <c r="R49" i="8"/>
  <c r="R46" i="8"/>
  <c r="G46" i="8"/>
  <c r="K46" i="8" s="1"/>
  <c r="C46" i="8"/>
  <c r="R45" i="8"/>
  <c r="C45" i="8"/>
  <c r="K44" i="8"/>
  <c r="G44" i="8"/>
  <c r="R43" i="8"/>
  <c r="R42" i="8"/>
  <c r="R41" i="8"/>
  <c r="W39" i="8"/>
  <c r="Y39" i="8" s="1"/>
  <c r="H38" i="8"/>
  <c r="G38" i="8"/>
  <c r="G61" i="8"/>
  <c r="C61" i="8"/>
  <c r="C60" i="8"/>
  <c r="K59" i="8"/>
  <c r="G59" i="8"/>
  <c r="W54" i="8"/>
  <c r="Y54" i="8" s="1"/>
  <c r="U55" i="8" s="1"/>
  <c r="H53" i="8"/>
  <c r="G53" i="8"/>
  <c r="G572" i="8"/>
  <c r="K572" i="8" s="1"/>
  <c r="C572" i="8"/>
  <c r="C571" i="8"/>
  <c r="G570" i="8"/>
  <c r="H564" i="8"/>
  <c r="G564" i="8"/>
  <c r="C59" i="1"/>
  <c r="B59" i="1"/>
  <c r="C51" i="1"/>
  <c r="B51" i="1"/>
  <c r="C62" i="1"/>
  <c r="B62" i="1"/>
  <c r="C70" i="1"/>
  <c r="B70" i="1"/>
  <c r="C49" i="1"/>
  <c r="D49" i="1" s="1"/>
  <c r="C22" i="1"/>
  <c r="B22" i="1"/>
  <c r="C45" i="1"/>
  <c r="C37" i="1"/>
  <c r="D37" i="1" s="1"/>
  <c r="C53" i="1"/>
  <c r="D53" i="1" s="1"/>
  <c r="C14" i="1"/>
  <c r="B14" i="1"/>
  <c r="C35" i="1"/>
  <c r="D35" i="1" s="1"/>
  <c r="C66" i="1"/>
  <c r="C43" i="1"/>
  <c r="B43" i="1"/>
  <c r="C38" i="1"/>
  <c r="D38" i="1" s="1"/>
  <c r="B38" i="1"/>
  <c r="C36" i="1"/>
  <c r="D36" i="1" s="1"/>
  <c r="B36" i="1"/>
  <c r="C58" i="1"/>
  <c r="C31" i="1"/>
  <c r="D31" i="1" s="1"/>
  <c r="B31" i="1"/>
  <c r="C20" i="1"/>
  <c r="C60" i="1"/>
  <c r="C30" i="1"/>
  <c r="B30" i="1"/>
  <c r="C42" i="1"/>
  <c r="C54" i="1"/>
  <c r="D54" i="1" s="1"/>
  <c r="C52" i="1"/>
  <c r="B52" i="1"/>
  <c r="C28" i="1"/>
  <c r="D28" i="1" s="1"/>
  <c r="C50" i="1"/>
  <c r="B50" i="1"/>
  <c r="C26" i="1"/>
  <c r="C19" i="1"/>
  <c r="B19" i="1"/>
  <c r="C75" i="1"/>
  <c r="D75" i="1" s="1"/>
  <c r="B75" i="1"/>
  <c r="C44" i="1"/>
  <c r="B44" i="1"/>
  <c r="C13" i="1"/>
  <c r="B13" i="1"/>
  <c r="C12" i="1"/>
  <c r="B12" i="1"/>
  <c r="C64" i="1"/>
  <c r="B64" i="1"/>
  <c r="C6" i="1"/>
  <c r="B6" i="1"/>
  <c r="C15" i="1"/>
  <c r="B15" i="1"/>
  <c r="C21" i="1"/>
  <c r="B21" i="1"/>
  <c r="C29" i="1"/>
  <c r="D29" i="1" s="1"/>
  <c r="B29" i="1"/>
  <c r="C8" i="1"/>
  <c r="D8" i="1" s="1"/>
  <c r="B8" i="1"/>
  <c r="C7" i="1"/>
  <c r="B7" i="1"/>
  <c r="C61" i="1"/>
  <c r="B61" i="1"/>
  <c r="C3" i="1"/>
  <c r="B3" i="1"/>
  <c r="C68" i="1"/>
  <c r="C4" i="1"/>
  <c r="K406" i="8" l="1"/>
  <c r="K788" i="8"/>
  <c r="K742" i="8"/>
  <c r="K773" i="8"/>
  <c r="K178" i="8"/>
  <c r="C759" i="8"/>
  <c r="I58" i="8"/>
  <c r="C47" i="8"/>
  <c r="I43" i="8" s="1"/>
  <c r="C789" i="8"/>
  <c r="I785" i="8" s="1"/>
  <c r="R456" i="8"/>
  <c r="C453" i="8" s="1"/>
  <c r="I449" i="8" s="1"/>
  <c r="C697" i="8"/>
  <c r="I693" i="8" s="1"/>
  <c r="K693" i="8" s="1"/>
  <c r="K695" i="8" s="1"/>
  <c r="K697" i="8" s="1"/>
  <c r="I569" i="8"/>
  <c r="K283" i="8"/>
  <c r="K285" i="8" s="1"/>
  <c r="K287" i="8" s="1"/>
  <c r="I615" i="8"/>
  <c r="I584" i="8"/>
  <c r="I677" i="8"/>
  <c r="K677" i="8" s="1"/>
  <c r="I253" i="8"/>
  <c r="K253" i="8" s="1"/>
  <c r="K255" i="8" s="1"/>
  <c r="K257" i="8" s="1"/>
  <c r="I509" i="8"/>
  <c r="K509" i="8" s="1"/>
  <c r="K511" i="8" s="1"/>
  <c r="K513" i="8" s="1"/>
  <c r="I554" i="8"/>
  <c r="K554" i="8" s="1"/>
  <c r="K556" i="8" s="1"/>
  <c r="K558" i="8" s="1"/>
  <c r="I268" i="8"/>
  <c r="K268" i="8" s="1"/>
  <c r="K270" i="8" s="1"/>
  <c r="K272" i="8" s="1"/>
  <c r="I539" i="8"/>
  <c r="K539" i="8" s="1"/>
  <c r="K541" i="8" s="1"/>
  <c r="I524" i="8"/>
  <c r="I630" i="8"/>
  <c r="I494" i="8"/>
  <c r="I479" i="8"/>
  <c r="I464" i="8"/>
  <c r="I388" i="8"/>
  <c r="I373" i="8"/>
  <c r="I358" i="8"/>
  <c r="K358" i="8" s="1"/>
  <c r="K360" i="8" s="1"/>
  <c r="I328" i="8"/>
  <c r="I343" i="8"/>
  <c r="I419" i="8"/>
  <c r="I208" i="8"/>
  <c r="K208" i="8" s="1"/>
  <c r="K210" i="8" s="1"/>
  <c r="K61" i="8"/>
  <c r="R317" i="8"/>
  <c r="R318" i="8" s="1"/>
  <c r="K726" i="8"/>
  <c r="K664" i="8"/>
  <c r="I645" i="8"/>
  <c r="K645" i="8" s="1"/>
  <c r="K647" i="8" s="1"/>
  <c r="K649" i="8" s="1"/>
  <c r="R301" i="8"/>
  <c r="C438" i="8"/>
  <c r="I434" i="8" s="1"/>
  <c r="U788" i="8"/>
  <c r="W788" i="8" s="1"/>
  <c r="Y788" i="8" s="1"/>
  <c r="W297" i="8"/>
  <c r="Y297" i="8" s="1"/>
  <c r="W100" i="8"/>
  <c r="Y100" i="8" s="1"/>
  <c r="K75" i="8"/>
  <c r="K77" i="8" s="1"/>
  <c r="W506" i="8"/>
  <c r="Y506" i="8" s="1"/>
  <c r="W281" i="8"/>
  <c r="Y281" i="8" s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C603" i="8"/>
  <c r="I599" i="8" s="1"/>
  <c r="K599" i="8" s="1"/>
  <c r="K601" i="8" s="1"/>
  <c r="U447" i="8"/>
  <c r="W447" i="8" s="1"/>
  <c r="Y447" i="8" s="1"/>
  <c r="W190" i="8"/>
  <c r="Y190" i="8" s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Y299" i="8"/>
  <c r="C806" i="8"/>
  <c r="C822" i="8"/>
  <c r="I818" i="8" s="1"/>
  <c r="W221" i="8"/>
  <c r="Y221" i="8" s="1"/>
  <c r="U222" i="8" s="1"/>
  <c r="G586" i="8"/>
  <c r="K226" i="8"/>
  <c r="K542" i="8"/>
  <c r="K467" i="8"/>
  <c r="K106" i="8"/>
  <c r="K482" i="8"/>
  <c r="K680" i="8"/>
  <c r="K376" i="8"/>
  <c r="G524" i="8"/>
  <c r="K802" i="8"/>
  <c r="K804" i="8" s="1"/>
  <c r="K422" i="8"/>
  <c r="K361" i="8"/>
  <c r="K391" i="8"/>
  <c r="G770" i="8"/>
  <c r="W776" i="8"/>
  <c r="Y776" i="8" s="1"/>
  <c r="K838" i="8"/>
  <c r="G834" i="8"/>
  <c r="W840" i="8"/>
  <c r="W699" i="8"/>
  <c r="G88" i="8"/>
  <c r="G403" i="8"/>
  <c r="W409" i="8"/>
  <c r="G328" i="8"/>
  <c r="K211" i="8"/>
  <c r="Y723" i="8"/>
  <c r="G178" i="8"/>
  <c r="G802" i="8"/>
  <c r="W808" i="8"/>
  <c r="G755" i="8"/>
  <c r="G584" i="8"/>
  <c r="G494" i="8"/>
  <c r="W745" i="8"/>
  <c r="G739" i="8"/>
  <c r="G343" i="8"/>
  <c r="G661" i="8"/>
  <c r="G708" i="8"/>
  <c r="K785" i="8" l="1"/>
  <c r="K787" i="8" s="1"/>
  <c r="K739" i="8"/>
  <c r="K741" i="8" s="1"/>
  <c r="K789" i="8"/>
  <c r="K403" i="8"/>
  <c r="K405" i="8" s="1"/>
  <c r="K772" i="8"/>
  <c r="K603" i="8"/>
  <c r="R319" i="8"/>
  <c r="R320" i="8" s="1"/>
  <c r="C317" i="8" s="1"/>
  <c r="I313" i="8" s="1"/>
  <c r="K313" i="8" s="1"/>
  <c r="K315" i="8" s="1"/>
  <c r="K723" i="8"/>
  <c r="C69" i="1" s="1"/>
  <c r="R302" i="8"/>
  <c r="R303" i="8" s="1"/>
  <c r="U789" i="8"/>
  <c r="K212" i="8"/>
  <c r="K543" i="8"/>
  <c r="K362" i="8"/>
  <c r="K137" i="8"/>
  <c r="W300" i="8"/>
  <c r="Y300" i="8" s="1"/>
  <c r="U301" i="8" s="1"/>
  <c r="W301" i="8" s="1"/>
  <c r="W298" i="8"/>
  <c r="Y298" i="8" s="1"/>
  <c r="W101" i="8"/>
  <c r="Y101" i="8" s="1"/>
  <c r="K757" i="8"/>
  <c r="K759" i="8" s="1"/>
  <c r="K103" i="8"/>
  <c r="K105" i="8" s="1"/>
  <c r="K107" i="8" s="1"/>
  <c r="K449" i="8"/>
  <c r="K451" i="8" s="1"/>
  <c r="K453" i="8" s="1"/>
  <c r="W507" i="8"/>
  <c r="Y507" i="8" s="1"/>
  <c r="W282" i="8"/>
  <c r="Y282" i="8" s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615" i="8"/>
  <c r="K617" i="8" s="1"/>
  <c r="K619" i="8" s="1"/>
  <c r="K343" i="8"/>
  <c r="K345" i="8" s="1"/>
  <c r="K347" i="8" s="1"/>
  <c r="K118" i="8"/>
  <c r="K120" i="8" s="1"/>
  <c r="K122" i="8" s="1"/>
  <c r="K679" i="8"/>
  <c r="K681" i="8" s="1"/>
  <c r="W41" i="8"/>
  <c r="Y41" i="8" s="1"/>
  <c r="U42" i="8" s="1"/>
  <c r="I163" i="8"/>
  <c r="K163" i="8" s="1"/>
  <c r="K165" i="8" s="1"/>
  <c r="K167" i="8" s="1"/>
  <c r="K710" i="8"/>
  <c r="K712" i="8" s="1"/>
  <c r="K630" i="8"/>
  <c r="K632" i="8" s="1"/>
  <c r="U448" i="8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93" i="8"/>
  <c r="K195" i="8" s="1"/>
  <c r="K197" i="8" s="1"/>
  <c r="K328" i="8"/>
  <c r="K330" i="8" s="1"/>
  <c r="K332" i="8" s="1"/>
  <c r="U693" i="8"/>
  <c r="W693" i="8" s="1"/>
  <c r="Y693" i="8" s="1"/>
  <c r="W240" i="8"/>
  <c r="Y240" i="8" s="1"/>
  <c r="K818" i="8"/>
  <c r="K820" i="8" s="1"/>
  <c r="K148" i="8"/>
  <c r="K150" i="8" s="1"/>
  <c r="G603" i="8"/>
  <c r="K180" i="8"/>
  <c r="K182" i="8" s="1"/>
  <c r="K569" i="8"/>
  <c r="K571" i="8" s="1"/>
  <c r="K573" i="8" s="1"/>
  <c r="W222" i="8"/>
  <c r="K494" i="8"/>
  <c r="K496" i="8" s="1"/>
  <c r="K498" i="8" s="1"/>
  <c r="K464" i="8"/>
  <c r="K466" i="8" s="1"/>
  <c r="K468" i="8" s="1"/>
  <c r="K419" i="8"/>
  <c r="K421" i="8" s="1"/>
  <c r="W777" i="8"/>
  <c r="K806" i="8"/>
  <c r="G526" i="8"/>
  <c r="G804" i="8"/>
  <c r="Y808" i="8"/>
  <c r="G806" i="8" s="1"/>
  <c r="G180" i="8"/>
  <c r="G836" i="8"/>
  <c r="Y840" i="8"/>
  <c r="G838" i="8" s="1"/>
  <c r="G345" i="8"/>
  <c r="G496" i="8"/>
  <c r="G330" i="8"/>
  <c r="G405" i="8"/>
  <c r="Y409" i="8"/>
  <c r="G407" i="8" s="1"/>
  <c r="G665" i="8"/>
  <c r="G663" i="8"/>
  <c r="G757" i="8"/>
  <c r="U724" i="8"/>
  <c r="Y745" i="8"/>
  <c r="G743" i="8" s="1"/>
  <c r="G741" i="8"/>
  <c r="Y699" i="8"/>
  <c r="K407" i="8" l="1"/>
  <c r="K774" i="8"/>
  <c r="R304" i="8"/>
  <c r="K317" i="8"/>
  <c r="K725" i="8"/>
  <c r="W789" i="8"/>
  <c r="C242" i="8"/>
  <c r="I238" i="8" s="1"/>
  <c r="AB132" i="8"/>
  <c r="Y301" i="8"/>
  <c r="U302" i="8" s="1"/>
  <c r="K634" i="8"/>
  <c r="K423" i="8"/>
  <c r="K152" i="8"/>
  <c r="W102" i="8"/>
  <c r="Y102" i="8" s="1"/>
  <c r="K661" i="8"/>
  <c r="K663" i="8" s="1"/>
  <c r="W283" i="8"/>
  <c r="Y283" i="8" s="1"/>
  <c r="W42" i="8"/>
  <c r="Y42" i="8" s="1"/>
  <c r="U43" i="8" s="1"/>
  <c r="W448" i="8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G772" i="8"/>
  <c r="K434" i="8"/>
  <c r="K436" i="8" s="1"/>
  <c r="K438" i="8" s="1"/>
  <c r="G599" i="8"/>
  <c r="G601" i="8"/>
  <c r="W241" i="8"/>
  <c r="Y241" i="8" s="1"/>
  <c r="U694" i="8"/>
  <c r="W694" i="8" s="1"/>
  <c r="Y694" i="8" s="1"/>
  <c r="W724" i="8"/>
  <c r="Y222" i="8"/>
  <c r="W700" i="8"/>
  <c r="Y700" i="8" s="1"/>
  <c r="C302" i="8" l="1"/>
  <c r="K727" i="8"/>
  <c r="W302" i="8"/>
  <c r="Y302" i="8" s="1"/>
  <c r="U303" i="8" s="1"/>
  <c r="U242" i="8"/>
  <c r="W242" i="8" s="1"/>
  <c r="Y242" i="8" s="1"/>
  <c r="Y789" i="8"/>
  <c r="K665" i="8"/>
  <c r="W103" i="8"/>
  <c r="Y103" i="8" s="1"/>
  <c r="K479" i="8"/>
  <c r="K481" i="8" s="1"/>
  <c r="K483" i="8" s="1"/>
  <c r="W284" i="8"/>
  <c r="Y284" i="8" s="1"/>
  <c r="W508" i="8"/>
  <c r="Y508" i="8" s="1"/>
  <c r="K88" i="8"/>
  <c r="K90" i="8" s="1"/>
  <c r="W43" i="8"/>
  <c r="Y43" i="8" s="1"/>
  <c r="U44" i="8" s="1"/>
  <c r="K58" i="8"/>
  <c r="K60" i="8" s="1"/>
  <c r="K62" i="8" s="1"/>
  <c r="K584" i="8"/>
  <c r="K586" i="8" s="1"/>
  <c r="K588" i="8" s="1"/>
  <c r="Y448" i="8"/>
  <c r="U449" i="8" s="1"/>
  <c r="Y58" i="8"/>
  <c r="U59" i="8" s="1"/>
  <c r="G73" i="8"/>
  <c r="G90" i="8"/>
  <c r="W118" i="8"/>
  <c r="Y118" i="8" s="1"/>
  <c r="W193" i="8"/>
  <c r="Y193" i="8" s="1"/>
  <c r="U194" i="8" s="1"/>
  <c r="W208" i="8"/>
  <c r="Y208" i="8" s="1"/>
  <c r="W163" i="8"/>
  <c r="Y163" i="8" s="1"/>
  <c r="G710" i="8"/>
  <c r="G464" i="8"/>
  <c r="U695" i="8"/>
  <c r="W695" i="8" s="1"/>
  <c r="Y695" i="8" s="1"/>
  <c r="Y724" i="8"/>
  <c r="U725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W104" i="8"/>
  <c r="Y104" i="8" s="1"/>
  <c r="W285" i="8"/>
  <c r="Y285" i="8" s="1"/>
  <c r="K388" i="8"/>
  <c r="K390" i="8" s="1"/>
  <c r="W44" i="8"/>
  <c r="Y44" i="8" s="1"/>
  <c r="U45" i="8" s="1"/>
  <c r="G255" i="8"/>
  <c r="G253" i="8"/>
  <c r="W449" i="8"/>
  <c r="G554" i="8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G75" i="8"/>
  <c r="G556" i="8"/>
  <c r="G466" i="8"/>
  <c r="W223" i="8"/>
  <c r="U304" i="8" l="1"/>
  <c r="K242" i="8"/>
  <c r="W790" i="8"/>
  <c r="K392" i="8"/>
  <c r="W105" i="8"/>
  <c r="Y105" i="8" s="1"/>
  <c r="W45" i="8"/>
  <c r="Y45" i="8" s="1"/>
  <c r="W286" i="8"/>
  <c r="Y286" i="8" s="1"/>
  <c r="Y449" i="8"/>
  <c r="U450" i="8" s="1"/>
  <c r="W60" i="8"/>
  <c r="Y60" i="8" s="1"/>
  <c r="U61" i="8" s="1"/>
  <c r="W165" i="8"/>
  <c r="Y165" i="8" s="1"/>
  <c r="G479" i="8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W304" i="8" l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W450" i="8"/>
  <c r="W121" i="8"/>
  <c r="Y121" i="8" s="1"/>
  <c r="G419" i="8"/>
  <c r="G677" i="8"/>
  <c r="W166" i="8"/>
  <c r="Y166" i="8" s="1"/>
  <c r="W211" i="8"/>
  <c r="Y211" i="8" s="1"/>
  <c r="W196" i="8"/>
  <c r="Y196" i="8" s="1"/>
  <c r="U197" i="8" s="1"/>
  <c r="W61" i="8"/>
  <c r="Y61" i="8" s="1"/>
  <c r="G481" i="8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Y450" i="8"/>
  <c r="U451" i="8" s="1"/>
  <c r="G388" i="8"/>
  <c r="G681" i="8"/>
  <c r="G679" i="8"/>
  <c r="G358" i="8"/>
  <c r="G421" i="8"/>
  <c r="G539" i="8"/>
  <c r="G693" i="8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G645" i="8"/>
  <c r="G434" i="8"/>
  <c r="G360" i="8"/>
  <c r="G268" i="8"/>
  <c r="G541" i="8"/>
  <c r="W244" i="8"/>
  <c r="Y244" i="8" s="1"/>
  <c r="G695" i="8"/>
  <c r="W726" i="8"/>
  <c r="Y224" i="8"/>
  <c r="U225" i="8" s="1"/>
  <c r="W305" i="8" l="1"/>
  <c r="G298" i="8"/>
  <c r="W49" i="8"/>
  <c r="U199" i="8"/>
  <c r="W199" i="8" s="1"/>
  <c r="Y199" i="8" s="1"/>
  <c r="U200" i="8" s="1"/>
  <c r="Y791" i="8"/>
  <c r="G789" i="8" s="1"/>
  <c r="G787" i="8"/>
  <c r="W109" i="8"/>
  <c r="Y109" i="8" s="1"/>
  <c r="Y451" i="8"/>
  <c r="W169" i="8"/>
  <c r="Y169" i="8" s="1"/>
  <c r="G818" i="8"/>
  <c r="G630" i="8"/>
  <c r="G313" i="8"/>
  <c r="G615" i="8"/>
  <c r="G270" i="8"/>
  <c r="G436" i="8"/>
  <c r="W245" i="8"/>
  <c r="G238" i="8"/>
  <c r="G133" i="8"/>
  <c r="Y726" i="8"/>
  <c r="U727" i="8" s="1"/>
  <c r="Y305" i="8" l="1"/>
  <c r="G302" i="8" s="1"/>
  <c r="G300" i="8"/>
  <c r="Y49" i="8"/>
  <c r="G43" i="8" s="1"/>
  <c r="W378" i="8"/>
  <c r="Y378" i="8" s="1"/>
  <c r="W170" i="8"/>
  <c r="Y170" i="8" s="1"/>
  <c r="W200" i="8"/>
  <c r="Y200" i="8" s="1"/>
  <c r="W214" i="8"/>
  <c r="G58" i="8"/>
  <c r="G193" i="8"/>
  <c r="G163" i="8"/>
  <c r="U452" i="8"/>
  <c r="G617" i="8"/>
  <c r="G632" i="8"/>
  <c r="G649" i="8"/>
  <c r="G647" i="8"/>
  <c r="G315" i="8"/>
  <c r="G165" i="8"/>
  <c r="G822" i="8"/>
  <c r="G820" i="8"/>
  <c r="Y245" i="8"/>
  <c r="G240" i="8"/>
  <c r="G135" i="8"/>
  <c r="W225" i="8"/>
  <c r="G242" i="8" l="1"/>
  <c r="G195" i="8"/>
  <c r="G197" i="8"/>
  <c r="G167" i="8"/>
  <c r="W50" i="8"/>
  <c r="U379" i="8"/>
  <c r="W110" i="8"/>
  <c r="G103" i="8"/>
  <c r="G283" i="8"/>
  <c r="Y214" i="8"/>
  <c r="G208" i="8" s="1"/>
  <c r="W65" i="8"/>
  <c r="W452" i="8"/>
  <c r="W727" i="8"/>
  <c r="Y225" i="8"/>
  <c r="U226" i="8" s="1"/>
  <c r="Y50" i="8" l="1"/>
  <c r="G47" i="8" s="1"/>
  <c r="G45" i="8"/>
  <c r="W379" i="8"/>
  <c r="G373" i="8"/>
  <c r="Y110" i="8"/>
  <c r="G105" i="8"/>
  <c r="W215" i="8"/>
  <c r="W290" i="8"/>
  <c r="Y65" i="8"/>
  <c r="G60" i="8"/>
  <c r="W124" i="8"/>
  <c r="Y452" i="8"/>
  <c r="Y727" i="8"/>
  <c r="U728" i="8" s="1"/>
  <c r="W226" i="8"/>
  <c r="G107" i="8" l="1"/>
  <c r="G62" i="8"/>
  <c r="Y379" i="8"/>
  <c r="G377" i="8" s="1"/>
  <c r="G375" i="8"/>
  <c r="U453" i="8"/>
  <c r="W453" i="8" s="1"/>
  <c r="Y453" i="8" s="1"/>
  <c r="U454" i="8" s="1"/>
  <c r="Y215" i="8"/>
  <c r="G210" i="8"/>
  <c r="Y290" i="8"/>
  <c r="G285" i="8"/>
  <c r="Y124" i="8"/>
  <c r="Y226" i="8"/>
  <c r="G287" i="8" l="1"/>
  <c r="G212" i="8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Y728" i="8"/>
  <c r="U729" i="8" s="1"/>
  <c r="W729" i="8" s="1"/>
  <c r="Y125" i="8" l="1"/>
  <c r="G120" i="8"/>
  <c r="G122" i="8" l="1"/>
  <c r="Y729" i="8"/>
  <c r="U730" i="8" l="1"/>
  <c r="W730" i="8" s="1"/>
  <c r="G723" i="8"/>
  <c r="G725" i="8" l="1"/>
  <c r="Y730" i="8"/>
  <c r="G727" i="8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W568" i="8"/>
  <c r="Y568" i="8" s="1"/>
  <c r="Y230" i="8" l="1"/>
  <c r="G225" i="8"/>
  <c r="W569" i="8"/>
  <c r="Y569" i="8" s="1"/>
  <c r="W570" i="8" s="1"/>
  <c r="Y570" i="8" s="1"/>
  <c r="W456" i="8"/>
  <c r="G449" i="8"/>
  <c r="G227" i="8" l="1"/>
  <c r="Y456" i="8"/>
  <c r="G451" i="8"/>
  <c r="Y571" i="8"/>
  <c r="G453" i="8" l="1"/>
  <c r="U572" i="8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U576" i="8" l="1"/>
  <c r="W576" i="8" l="1"/>
  <c r="G569" i="8"/>
  <c r="Y576" i="8" l="1"/>
  <c r="G571" i="8"/>
  <c r="G573" i="8" l="1"/>
  <c r="C5" i="1"/>
  <c r="C78" i="1" s="1"/>
  <c r="R1" i="8" l="1"/>
  <c r="W144" i="8" l="1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W151" i="8" l="1"/>
  <c r="Y151" i="8" l="1"/>
  <c r="W152" i="8" l="1"/>
  <c r="Y152" i="8" s="1"/>
  <c r="W153" i="8" l="1"/>
  <c r="Y153" i="8" s="1"/>
  <c r="W154" i="8" l="1"/>
  <c r="Y154" i="8" l="1"/>
  <c r="G148" i="8" s="1"/>
  <c r="W155" i="8" l="1"/>
  <c r="Y155" i="8" l="1"/>
  <c r="G150" i="8"/>
  <c r="G152" i="8" l="1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W514" i="8" l="1"/>
  <c r="Y514" i="8" s="1"/>
  <c r="W515" i="8" l="1"/>
  <c r="Y515" i="8" l="1"/>
  <c r="G509" i="8" l="1"/>
  <c r="W516" i="8"/>
  <c r="Y516" i="8" l="1"/>
  <c r="G513" i="8" s="1"/>
  <c r="G51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<sst xmlns="http://schemas.openxmlformats.org/spreadsheetml/2006/main" count="3249" uniqueCount="121">
  <si>
    <t>Name</t>
  </si>
  <si>
    <t>Salary</t>
  </si>
  <si>
    <t>Mr. Abid</t>
  </si>
  <si>
    <t>Mr. Imran</t>
  </si>
  <si>
    <t>Absent</t>
  </si>
  <si>
    <t>Present</t>
  </si>
  <si>
    <t>Mr.Abbas Ishaq</t>
  </si>
  <si>
    <t>Mr. Sajjad</t>
  </si>
  <si>
    <t>Mr. Jahangir</t>
  </si>
  <si>
    <t>Total Adv</t>
  </si>
  <si>
    <t>This month</t>
  </si>
  <si>
    <t>Deduct</t>
  </si>
  <si>
    <t>Abbas Ishaq</t>
  </si>
  <si>
    <t>Mr. Irfan</t>
  </si>
  <si>
    <t>Shahid painter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</si>
  <si>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</si>
  <si>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</si>
  <si>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</si>
  <si>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</si>
  <si>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</si>
  <si>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</si>
  <si>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</si>
  <si>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</si>
  <si>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</si>
  <si>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</si>
  <si>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</si>
  <si>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</si>
  <si>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</si>
  <si>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</si>
  <si>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</si>
  <si>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</si>
  <si>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</si>
  <si>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</si>
  <si>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</si>
  <si>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</si>
  <si>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</si>
  <si>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</si>
  <si>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</si>
  <si>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</si>
  <si>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</si>
  <si>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</si>
  <si>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</si>
  <si>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</si>
  <si>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</si>
  <si>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</si>
  <si>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</si>
  <si>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</si>
  <si>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</si>
  <si>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</si>
  <si>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</si>
  <si>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</si>
  <si>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</si>
  <si>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</si>
  <si>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</si>
  <si>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>Amir (JPMC)</t>
  </si>
  <si>
    <t>07th March 2017</t>
  </si>
  <si>
    <t>Gul Sher</t>
  </si>
  <si>
    <t>I have received the above amount from Pioneer Engineering Services ____________________</t>
  </si>
  <si>
    <t>Adil (FTC)</t>
  </si>
  <si>
    <t>Khizer Mujeeb</t>
  </si>
  <si>
    <t>A. Lateef Chacha</t>
  </si>
  <si>
    <t>Junaid</t>
  </si>
  <si>
    <t>Ahsan Razak</t>
  </si>
  <si>
    <t>Mossi</t>
  </si>
  <si>
    <t>M. Shafeeq</t>
  </si>
  <si>
    <t>Suleman Dilawer</t>
  </si>
  <si>
    <t>Hammad Ahmed</t>
  </si>
  <si>
    <t>Amjad Ustad</t>
  </si>
  <si>
    <t>Mumtaz Ali Chakar</t>
  </si>
  <si>
    <t>Mukhtiar</t>
  </si>
  <si>
    <t>Hassan Khan</t>
  </si>
  <si>
    <t>Umer Farooq</t>
  </si>
  <si>
    <t>M. Sami</t>
  </si>
  <si>
    <t>Asif Hussain</t>
  </si>
  <si>
    <t xml:space="preserve">M. Imran </t>
  </si>
  <si>
    <t>Ahsan Khan</t>
  </si>
  <si>
    <t>Sufyan</t>
  </si>
  <si>
    <t>Ashraf Bhai</t>
  </si>
  <si>
    <t>Kamran</t>
  </si>
  <si>
    <t>Imran Engr</t>
  </si>
  <si>
    <t>Lateef</t>
  </si>
  <si>
    <t>Nadeem Painter</t>
  </si>
  <si>
    <t>10 Nos leaves remaining</t>
  </si>
  <si>
    <t>Noor Islam</t>
  </si>
  <si>
    <t>M. Arif</t>
  </si>
  <si>
    <t>Ibtehaj</t>
  </si>
  <si>
    <t>Remaining Advance</t>
  </si>
  <si>
    <t>Mohib uz Zaman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</si>
  <si>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</si>
  <si>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</si>
  <si>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</si>
  <si>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</si>
  <si>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</si>
  <si>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</si>
  <si>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</si>
  <si>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Affan Ali</t>
  </si>
  <si>
    <t xml:space="preserve">Engr. Israr </t>
  </si>
  <si>
    <t>Waqas</t>
  </si>
  <si>
    <t>M. Raza</t>
  </si>
  <si>
    <t>Sufyan Plumber</t>
  </si>
  <si>
    <t>NASTP</t>
  </si>
  <si>
    <t>Talha</t>
  </si>
  <si>
    <t>Zeeshan</t>
  </si>
  <si>
    <t>M. Osama</t>
  </si>
  <si>
    <t>M. Usman</t>
  </si>
  <si>
    <t>15000 deduct from sami salary</t>
  </si>
  <si>
    <t>February</t>
  </si>
  <si>
    <t>Umair Ali</t>
  </si>
  <si>
    <t>Ahsan</t>
  </si>
  <si>
    <t>In march salary 2 days will be given to RAZA</t>
  </si>
  <si>
    <t>RMR Cinema</t>
  </si>
  <si>
    <t>FTC</t>
  </si>
  <si>
    <t>MISC</t>
  </si>
  <si>
    <t>OFFICE</t>
  </si>
  <si>
    <t>The Place Cinema</t>
  </si>
  <si>
    <t>Zeeshan AC</t>
  </si>
  <si>
    <t xml:space="preserve">TOTAL </t>
  </si>
  <si>
    <t>Employee Name</t>
  </si>
  <si>
    <t>EIDI</t>
  </si>
  <si>
    <t>Adeel FTC</t>
  </si>
  <si>
    <t>M. Noman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</si>
</sst>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3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4" fillId="0" borderId="0" xfId="0" applyFont="1"/>
    <xf numFmtId="165" fontId="0" fillId="0" borderId="0" xfId="1" applyNumberFormat="1" applyFont="1"/>
    <xf numFmtId="0" fontId="5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4" fontId="10" fillId="0" borderId="8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165" fontId="11" fillId="0" borderId="1" xfId="1" applyNumberFormat="1" applyFont="1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165" fontId="11" fillId="0" borderId="9" xfId="1" applyNumberFormat="1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65" fontId="13" fillId="0" borderId="0" xfId="1" applyNumberFormat="1" applyFont="1" applyFill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16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11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9" fillId="0" borderId="0" xfId="0" applyNumberFormat="1" applyFont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165" fontId="10" fillId="0" borderId="0" xfId="0" applyNumberFormat="1" applyFont="1" applyAlignment="1">
      <alignment vertical="center"/>
    </xf>
    <xf numFmtId="165" fontId="19" fillId="0" borderId="1" xfId="1" applyNumberFormat="1" applyFont="1" applyFill="1" applyBorder="1" applyAlignment="1">
      <alignment vertical="center"/>
    </xf>
    <xf numFmtId="0" fontId="7" fillId="0" borderId="0" xfId="0" applyFont="1"/>
    <xf numFmtId="165" fontId="14" fillId="0" borderId="1" xfId="1" applyNumberFormat="1" applyFont="1" applyFill="1" applyBorder="1" applyAlignment="1">
      <alignment horizontal="center" vertical="center"/>
    </xf>
    <xf numFmtId="165" fontId="20" fillId="0" borderId="1" xfId="1" applyNumberFormat="1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65" fontId="13" fillId="0" borderId="1" xfId="0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24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7" fontId="24" fillId="0" borderId="0" xfId="0" applyNumberFormat="1" applyFont="1"/>
    <xf numFmtId="0" fontId="24" fillId="0" borderId="8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24" fillId="0" borderId="0" xfId="0" applyNumberFormat="1" applyFont="1" applyAlignment="1">
      <alignment vertical="center"/>
    </xf>
    <xf numFmtId="14" fontId="24" fillId="0" borderId="9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5" fontId="13" fillId="0" borderId="0" xfId="1" applyNumberFormat="1" applyFont="1" applyFill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9" xfId="1" applyNumberFormat="1" applyFont="1" applyFill="1" applyBorder="1" applyAlignment="1">
      <alignment vertical="center"/>
    </xf>
    <xf numFmtId="0" fontId="24" fillId="0" borderId="0" xfId="0" applyFont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4" fillId="0" borderId="9" xfId="0" applyFont="1" applyBorder="1" applyAlignment="1">
      <alignment vertical="center"/>
    </xf>
    <xf numFmtId="165" fontId="24" fillId="0" borderId="0" xfId="1" applyNumberFormat="1" applyFont="1" applyFill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165" fontId="24" fillId="0" borderId="1" xfId="1" applyNumberFormat="1" applyFont="1" applyFill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5" fontId="24" fillId="0" borderId="1" xfId="0" applyNumberFormat="1" applyFont="1" applyBorder="1" applyAlignment="1">
      <alignment horizontal="right" vertical="center"/>
    </xf>
    <xf numFmtId="165" fontId="24" fillId="0" borderId="9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vertical="center"/>
    </xf>
    <xf numFmtId="165" fontId="24" fillId="0" borderId="1" xfId="0" applyNumberFormat="1" applyFont="1" applyBorder="1" applyAlignment="1">
      <alignment vertical="center"/>
    </xf>
    <xf numFmtId="165" fontId="24" fillId="0" borderId="9" xfId="0" applyNumberFormat="1" applyFont="1" applyBorder="1" applyAlignment="1">
      <alignment vertical="center"/>
    </xf>
    <xf numFmtId="165" fontId="24" fillId="0" borderId="9" xfId="1" applyNumberFormat="1" applyFont="1" applyFill="1" applyBorder="1" applyAlignment="1">
      <alignment vertical="center"/>
    </xf>
    <xf numFmtId="165" fontId="13" fillId="0" borderId="9" xfId="0" applyNumberFormat="1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7" xfId="0" applyFont="1" applyBorder="1"/>
    <xf numFmtId="0" fontId="24" fillId="0" borderId="11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" xfId="0" applyFont="1" applyBorder="1" applyAlignment="1">
      <alignment horizontal="right" vertical="center" wrapText="1"/>
    </xf>
    <xf numFmtId="15" fontId="24" fillId="0" borderId="0" xfId="0" applyNumberFormat="1" applyFont="1" applyAlignment="1">
      <alignment horizontal="left" vertical="center"/>
    </xf>
    <xf numFmtId="165" fontId="24" fillId="0" borderId="0" xfId="0" applyNumberFormat="1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7" xfId="0" applyFont="1" applyBorder="1" applyAlignment="1">
      <alignment vertical="center"/>
    </xf>
    <xf numFmtId="1" fontId="24" fillId="0" borderId="2" xfId="0" applyNumberFormat="1" applyFont="1" applyBorder="1" applyAlignment="1">
      <alignment vertical="center"/>
    </xf>
    <xf numFmtId="15" fontId="27" fillId="0" borderId="0" xfId="0" applyNumberFormat="1" applyFont="1" applyAlignment="1">
      <alignment horizontal="left" vertical="center"/>
    </xf>
    <xf numFmtId="14" fontId="21" fillId="0" borderId="0" xfId="0" applyNumberFormat="1" applyFont="1" applyAlignment="1">
      <alignment horizontal="left" vertical="center"/>
    </xf>
    <xf numFmtId="15" fontId="30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65" fontId="5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1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2" fillId="0" borderId="0" xfId="0" applyFont="1"/>
    <xf numFmtId="15" fontId="5" fillId="0" borderId="0" xfId="0" applyNumberFormat="1" applyFont="1" applyAlignment="1">
      <alignment horizontal="left" vertical="center"/>
    </xf>
    <xf numFmtId="0" fontId="10" fillId="0" borderId="15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1" fillId="0" borderId="16" xfId="1" applyNumberFormat="1" applyFont="1" applyFill="1" applyBorder="1" applyAlignment="1">
      <alignment horizontal="center" vertical="center"/>
    </xf>
    <xf numFmtId="165" fontId="11" fillId="0" borderId="16" xfId="1" applyNumberFormat="1" applyFont="1" applyFill="1" applyBorder="1" applyAlignment="1">
      <alignment vertical="center"/>
    </xf>
    <xf numFmtId="165" fontId="11" fillId="0" borderId="17" xfId="1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4" fillId="6" borderId="2" xfId="0" applyFont="1" applyFill="1" applyBorder="1" applyAlignment="1">
      <alignment vertical="center"/>
    </xf>
    <xf numFmtId="165" fontId="14" fillId="0" borderId="0" xfId="1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8" fillId="0" borderId="1" xfId="1" applyNumberFormat="1" applyFont="1" applyFill="1" applyBorder="1"/>
    <xf numFmtId="165" fontId="8" fillId="0" borderId="1" xfId="1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165" fontId="20" fillId="0" borderId="1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165" fontId="34" fillId="0" borderId="1" xfId="1" applyNumberFormat="1" applyFont="1" applyFill="1" applyBorder="1"/>
    <xf numFmtId="0" fontId="33" fillId="0" borderId="2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0" applyNumberFormat="1"/>
    <xf numFmtId="165" fontId="7" fillId="0" borderId="1" xfId="1" applyNumberFormat="1" applyFont="1" applyBorder="1" applyAlignment="1">
      <alignment vertical="center"/>
    </xf>
    <xf numFmtId="165" fontId="7" fillId="0" borderId="0" xfId="0" applyNumberFormat="1" applyFont="1"/>
    <xf numFmtId="165" fontId="7" fillId="0" borderId="0" xfId="0" applyNumberFormat="1" applyFont="1" applyAlignment="1">
      <alignment vertical="center"/>
    </xf>
    <xf numFmtId="0" fontId="34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6" borderId="19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9" fillId="5" borderId="4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2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9" fillId="3" borderId="4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6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7" borderId="6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65" fontId="0" fillId="0" borderId="0" xfId="0" applyNumberFormat="1" applyAlignment="1">
      <alignment vertical="center"/>
    </xf>
    <xf numFmtId="165" fontId="18" fillId="0" borderId="0" xfId="0" applyNumberFormat="1" applyFont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9"/>
  <sheetViews>
    <sheetView tabSelected="1" view="pageBreakPreview" topLeftCell="A34" zoomScale="130" zoomScaleNormal="130" zoomScaleSheetLayoutView="130" workbookViewId="0">
      <selection activeCell="E58" sqref="E58"/>
    </sheetView>
  </sheetViews>
  <sheetFormatPr defaultRowHeight="12.75" x14ac:dyDescent="0.2"/>
  <cols>
    <col min="1" max="1" width="5.28515625" style="40" customWidth="1"/>
    <col min="2" max="2" width="24.140625" style="1" customWidth="1"/>
    <col min="3" max="3" width="14.7109375" style="2" customWidth="1"/>
    <col min="4" max="4" width="16" customWidth="1"/>
    <col min="5" max="5" width="12.85546875" customWidth="1"/>
    <col min="6" max="7" width="11.140625" bestFit="1" customWidth="1"/>
  </cols>
  <sheetData>
    <row r="1" spans="1:7" ht="18.75" customHeight="1" x14ac:dyDescent="0.2">
      <c r="A1" s="131" t="s">
        <v>113</v>
      </c>
      <c r="B1" s="131"/>
      <c r="C1" s="131"/>
      <c r="D1" s="131"/>
    </row>
    <row r="2" spans="1:7" ht="18.75" customHeight="1" x14ac:dyDescent="0.2">
      <c r="A2" s="121"/>
      <c r="B2" s="122" t="s">
        <v>117</v>
      </c>
      <c r="C2" s="123" t="s">
        <v>1</v>
      </c>
      <c r="D2" s="123" t="s">
        <v>118</v>
      </c>
    </row>
    <row r="3" spans="1:7" s="36" customFormat="1" ht="19.5" customHeight="1" x14ac:dyDescent="0.2">
      <c r="A3" s="105">
        <v>1</v>
      </c>
      <c r="B3" s="114" t="str">
        <f>'Salary Record'!C70</f>
        <v>Ashraf Bhai</v>
      </c>
      <c r="C3" s="32">
        <f>'Salary Record'!K69</f>
        <v>80000</v>
      </c>
      <c r="D3" s="124">
        <f>C3/2</f>
        <v>40000</v>
      </c>
      <c r="E3" s="128">
        <f t="shared" ref="E3:E7" si="0">D3</f>
        <v>40000</v>
      </c>
    </row>
    <row r="4" spans="1:7" s="36" customFormat="1" ht="15.75" x14ac:dyDescent="0.2">
      <c r="A4" s="105">
        <v>2</v>
      </c>
      <c r="B4" s="114" t="s">
        <v>78</v>
      </c>
      <c r="C4" s="32">
        <f>'Salary Record'!K54</f>
        <v>47000</v>
      </c>
      <c r="D4" s="124">
        <f>C4/2</f>
        <v>23500</v>
      </c>
      <c r="E4" s="128">
        <f t="shared" si="0"/>
        <v>23500</v>
      </c>
    </row>
    <row r="5" spans="1:7" s="36" customFormat="1" ht="21" customHeight="1" x14ac:dyDescent="0.2">
      <c r="A5" s="106">
        <v>3</v>
      </c>
      <c r="B5" s="114" t="s">
        <v>47</v>
      </c>
      <c r="C5" s="32">
        <f>'Salary Record'!K9</f>
        <v>75000</v>
      </c>
      <c r="D5" s="124">
        <v>75000</v>
      </c>
      <c r="E5" s="128">
        <f t="shared" si="0"/>
        <v>75000</v>
      </c>
    </row>
    <row r="6" spans="1:7" s="36" customFormat="1" ht="21" customHeight="1" x14ac:dyDescent="0.2">
      <c r="A6" s="105">
        <v>4</v>
      </c>
      <c r="B6" s="116" t="str">
        <f>'Salary Record'!C100</f>
        <v>Ahsan Khan</v>
      </c>
      <c r="C6" s="32">
        <f>'Salary Record'!K99</f>
        <v>41000</v>
      </c>
      <c r="D6" s="124">
        <f>C6/2</f>
        <v>20500</v>
      </c>
      <c r="E6" s="128">
        <f t="shared" si="0"/>
        <v>20500</v>
      </c>
    </row>
    <row r="7" spans="1:7" s="36" customFormat="1" ht="17.25" customHeight="1" x14ac:dyDescent="0.2">
      <c r="A7" s="105">
        <v>5</v>
      </c>
      <c r="B7" s="114" t="str">
        <f>'Salary Record'!C25</f>
        <v>Mossi</v>
      </c>
      <c r="C7" s="32">
        <f>'Salary Record'!K24</f>
        <v>6000</v>
      </c>
      <c r="D7" s="32">
        <v>3000</v>
      </c>
      <c r="E7" s="128">
        <f t="shared" si="0"/>
        <v>3000</v>
      </c>
    </row>
    <row r="8" spans="1:7" s="36" customFormat="1" ht="20.25" customHeight="1" x14ac:dyDescent="0.2">
      <c r="A8" s="106">
        <v>6</v>
      </c>
      <c r="B8" s="114" t="str">
        <f>'Salary Record'!C40</f>
        <v>Umer Farooq</v>
      </c>
      <c r="C8" s="32">
        <f>'Salary Record'!K39</f>
        <v>23000</v>
      </c>
      <c r="D8" s="124">
        <f>C8/2</f>
        <v>11500</v>
      </c>
      <c r="E8" s="128">
        <f t="shared" ref="E8" si="1">D8</f>
        <v>11500</v>
      </c>
      <c r="F8" s="128"/>
    </row>
    <row r="9" spans="1:7" s="36" customFormat="1" ht="20.25" customHeight="1" x14ac:dyDescent="0.2">
      <c r="A9" s="107"/>
      <c r="B9" s="108"/>
      <c r="C9" s="104"/>
      <c r="D9" s="128"/>
    </row>
    <row r="10" spans="1:7" ht="18.75" customHeight="1" x14ac:dyDescent="0.2">
      <c r="A10" s="132" t="s">
        <v>110</v>
      </c>
      <c r="B10" s="132"/>
      <c r="C10" s="132"/>
      <c r="D10" s="132"/>
    </row>
    <row r="11" spans="1:7" ht="18.75" customHeight="1" x14ac:dyDescent="0.2">
      <c r="A11" s="121"/>
      <c r="B11" s="122" t="s">
        <v>117</v>
      </c>
      <c r="C11" s="123" t="s">
        <v>1</v>
      </c>
      <c r="D11" s="123" t="s">
        <v>118</v>
      </c>
      <c r="G11" s="126"/>
    </row>
    <row r="12" spans="1:7" s="86" customFormat="1" ht="20.25" customHeight="1" x14ac:dyDescent="0.2">
      <c r="A12" s="105">
        <v>1</v>
      </c>
      <c r="B12" s="117" t="str">
        <f>'Salary Record'!C491</f>
        <v>Khizer Mujeeb</v>
      </c>
      <c r="C12" s="38">
        <f>'Salary Record'!K490</f>
        <v>31500</v>
      </c>
      <c r="D12" s="32">
        <f>C12/2</f>
        <v>15750</v>
      </c>
      <c r="E12" s="176">
        <f>D12</f>
        <v>15750</v>
      </c>
    </row>
    <row r="13" spans="1:7" s="88" customFormat="1" ht="20.25" customHeight="1" x14ac:dyDescent="0.2">
      <c r="A13" s="109">
        <v>2</v>
      </c>
      <c r="B13" s="114" t="str">
        <f>'Salary Record'!C461</f>
        <v>Hassan Khan</v>
      </c>
      <c r="C13" s="87">
        <f>'Salary Record'!K460</f>
        <v>26500</v>
      </c>
      <c r="D13" s="32">
        <f>C13/2</f>
        <v>13250</v>
      </c>
      <c r="E13" s="176">
        <f>D13</f>
        <v>13250</v>
      </c>
      <c r="G13" s="175">
        <f>D12+D13+D14+D15+D19+D20+D21+D22+D50+D52</f>
        <v>155750</v>
      </c>
    </row>
    <row r="14" spans="1:7" s="89" customFormat="1" ht="21" customHeight="1" x14ac:dyDescent="0.2">
      <c r="A14" s="105">
        <v>3</v>
      </c>
      <c r="B14" s="114" t="str">
        <f>'Salary Record'!C476</f>
        <v>Noor Islam</v>
      </c>
      <c r="C14" s="32">
        <f>'Salary Record'!K475</f>
        <v>32000</v>
      </c>
      <c r="D14" s="32">
        <f>C14/2</f>
        <v>16000</v>
      </c>
      <c r="E14" s="176">
        <f>D14</f>
        <v>16000</v>
      </c>
    </row>
    <row r="15" spans="1:7" s="89" customFormat="1" ht="20.25" customHeight="1" x14ac:dyDescent="0.2">
      <c r="A15" s="109">
        <v>4</v>
      </c>
      <c r="B15" s="116" t="str">
        <f>'Salary Record'!C446</f>
        <v>Junaid</v>
      </c>
      <c r="C15" s="110">
        <f>'Salary Record'!K445</f>
        <v>26500</v>
      </c>
      <c r="D15" s="32">
        <f>C15/2</f>
        <v>13250</v>
      </c>
      <c r="E15" s="176">
        <f>D15</f>
        <v>13250</v>
      </c>
      <c r="F15" s="129">
        <f>SUM(E12:E15)</f>
        <v>58250</v>
      </c>
    </row>
    <row r="16" spans="1:7" s="36" customFormat="1" ht="20.25" customHeight="1" x14ac:dyDescent="0.2">
      <c r="A16" s="107"/>
      <c r="B16" s="108"/>
      <c r="C16" s="104"/>
    </row>
    <row r="17" spans="1:7" ht="18.75" customHeight="1" x14ac:dyDescent="0.2">
      <c r="A17" s="132" t="s">
        <v>114</v>
      </c>
      <c r="B17" s="132"/>
      <c r="C17" s="132"/>
      <c r="D17" s="132"/>
    </row>
    <row r="18" spans="1:7" ht="18.75" customHeight="1" x14ac:dyDescent="0.2">
      <c r="A18" s="121"/>
      <c r="B18" s="122" t="s">
        <v>117</v>
      </c>
      <c r="C18" s="123" t="s">
        <v>1</v>
      </c>
      <c r="D18" s="123" t="s">
        <v>118</v>
      </c>
    </row>
    <row r="19" spans="1:7" s="36" customFormat="1" ht="21" customHeight="1" x14ac:dyDescent="0.2">
      <c r="A19" s="106">
        <v>1</v>
      </c>
      <c r="B19" s="116" t="str">
        <f>'Salary Record'!C536</f>
        <v>Ahsan Razak</v>
      </c>
      <c r="C19" s="32">
        <f>'Salary Record'!K535</f>
        <v>29500</v>
      </c>
      <c r="D19" s="32">
        <f t="shared" ref="D19:D22" si="2">C19/2</f>
        <v>14750</v>
      </c>
      <c r="E19" s="176">
        <f>D19</f>
        <v>14750</v>
      </c>
      <c r="F19" s="86"/>
    </row>
    <row r="20" spans="1:7" s="36" customFormat="1" ht="21" customHeight="1" x14ac:dyDescent="0.2">
      <c r="A20" s="106">
        <v>2</v>
      </c>
      <c r="B20" s="116" t="str">
        <f>'Salary Record'!C506</f>
        <v>Suleman Dilawer</v>
      </c>
      <c r="C20" s="32">
        <f>'Salary Record'!K505</f>
        <v>30000</v>
      </c>
      <c r="D20" s="32">
        <f t="shared" si="2"/>
        <v>15000</v>
      </c>
      <c r="E20" s="176">
        <f>D20</f>
        <v>15000</v>
      </c>
      <c r="F20" s="88"/>
    </row>
    <row r="21" spans="1:7" s="36" customFormat="1" ht="21" customHeight="1" x14ac:dyDescent="0.2">
      <c r="A21" s="106">
        <v>3</v>
      </c>
      <c r="B21" s="116" t="str">
        <f>'Salary Record'!C521</f>
        <v>Mumtaz Ali Chakar</v>
      </c>
      <c r="C21" s="32">
        <f>'Salary Record'!K520</f>
        <v>37500</v>
      </c>
      <c r="D21" s="32">
        <f t="shared" si="2"/>
        <v>18750</v>
      </c>
      <c r="E21" s="176">
        <f>D21</f>
        <v>18750</v>
      </c>
      <c r="F21" s="89"/>
    </row>
    <row r="22" spans="1:7" ht="15.75" x14ac:dyDescent="0.2">
      <c r="A22" s="106">
        <v>4</v>
      </c>
      <c r="B22" s="116" t="str">
        <f>'Salary Record'!C551</f>
        <v>Sufyan</v>
      </c>
      <c r="C22" s="112">
        <f>'Salary Record'!K550</f>
        <v>25000</v>
      </c>
      <c r="D22" s="32">
        <f t="shared" si="2"/>
        <v>12500</v>
      </c>
      <c r="E22" s="176">
        <f>D22</f>
        <v>12500</v>
      </c>
      <c r="F22" s="129">
        <f>SUM(E19:E22)</f>
        <v>61000</v>
      </c>
    </row>
    <row r="23" spans="1:7" s="36" customFormat="1" ht="20.25" customHeight="1" x14ac:dyDescent="0.2">
      <c r="A23" s="107"/>
      <c r="B23" s="108"/>
      <c r="C23" s="104"/>
    </row>
    <row r="24" spans="1:7" ht="18.75" customHeight="1" x14ac:dyDescent="0.2">
      <c r="A24" s="132" t="s">
        <v>110</v>
      </c>
      <c r="B24" s="132"/>
      <c r="C24" s="132"/>
      <c r="D24" s="132"/>
    </row>
    <row r="25" spans="1:7" ht="18.75" customHeight="1" x14ac:dyDescent="0.2">
      <c r="A25" s="121"/>
      <c r="B25" s="122" t="s">
        <v>117</v>
      </c>
      <c r="C25" s="123" t="s">
        <v>1</v>
      </c>
      <c r="D25" s="123" t="s">
        <v>118</v>
      </c>
    </row>
    <row r="26" spans="1:7" s="36" customFormat="1" ht="21" customHeight="1" x14ac:dyDescent="0.2">
      <c r="A26" s="105">
        <v>1</v>
      </c>
      <c r="B26" s="114" t="s">
        <v>3</v>
      </c>
      <c r="C26" s="37">
        <f>'Salary Record'!K159</f>
        <v>60000</v>
      </c>
      <c r="D26" s="32">
        <f t="shared" ref="D26:D27" si="3">C26/2</f>
        <v>30000</v>
      </c>
      <c r="E26" s="128">
        <f>D26</f>
        <v>30000</v>
      </c>
    </row>
    <row r="27" spans="1:7" s="36" customFormat="1" ht="21" customHeight="1" x14ac:dyDescent="0.2">
      <c r="A27" s="105">
        <v>2</v>
      </c>
      <c r="B27" s="114" t="s">
        <v>13</v>
      </c>
      <c r="C27" s="32">
        <v>42000</v>
      </c>
      <c r="D27" s="32">
        <f t="shared" si="3"/>
        <v>21000</v>
      </c>
      <c r="E27" s="128">
        <f t="shared" ref="E27" si="4">D27</f>
        <v>21000</v>
      </c>
    </row>
    <row r="28" spans="1:7" s="36" customFormat="1" ht="21" customHeight="1" x14ac:dyDescent="0.2">
      <c r="A28" s="105">
        <v>3</v>
      </c>
      <c r="B28" s="114" t="s">
        <v>2</v>
      </c>
      <c r="C28" s="37">
        <f>'Salary Record'!K580</f>
        <v>35000</v>
      </c>
      <c r="D28" s="124">
        <f>C28/2</f>
        <v>17500</v>
      </c>
      <c r="E28" s="128">
        <f>D28</f>
        <v>17500</v>
      </c>
      <c r="G28" s="128">
        <f>E28+E29+E30+E26+E73+E74</f>
        <v>106000</v>
      </c>
    </row>
    <row r="29" spans="1:7" s="36" customFormat="1" ht="21" customHeight="1" x14ac:dyDescent="0.2">
      <c r="A29" s="105">
        <v>4</v>
      </c>
      <c r="B29" s="114" t="str">
        <f>'Salary Record'!C175</f>
        <v>Amjad Ustad</v>
      </c>
      <c r="C29" s="113">
        <f>'Salary Record'!K174</f>
        <v>50000</v>
      </c>
      <c r="D29" s="124">
        <f>C29/2</f>
        <v>25000</v>
      </c>
      <c r="E29" s="128">
        <f>D29</f>
        <v>25000</v>
      </c>
    </row>
    <row r="30" spans="1:7" ht="20.25" customHeight="1" x14ac:dyDescent="0.2">
      <c r="A30" s="105">
        <v>5</v>
      </c>
      <c r="B30" s="114" t="str">
        <f>'Salary Record'!C674</f>
        <v>Fahad Fareed</v>
      </c>
      <c r="C30" s="112">
        <f>'Salary Record'!K673</f>
        <v>22000</v>
      </c>
      <c r="D30" s="125">
        <v>5000</v>
      </c>
      <c r="E30" s="128">
        <f>D30</f>
        <v>5000</v>
      </c>
    </row>
    <row r="31" spans="1:7" s="36" customFormat="1" ht="21" customHeight="1" x14ac:dyDescent="0.2">
      <c r="A31" s="105">
        <v>6</v>
      </c>
      <c r="B31" s="114" t="str">
        <f>'Salary Record'!C205</f>
        <v>Gul Sher</v>
      </c>
      <c r="C31" s="110">
        <f>'Salary Record'!K204</f>
        <v>26000</v>
      </c>
      <c r="D31" s="124">
        <f>C31/2</f>
        <v>13000</v>
      </c>
      <c r="E31" s="128">
        <f>D31</f>
        <v>13000</v>
      </c>
      <c r="F31" s="128"/>
    </row>
    <row r="32" spans="1:7" s="36" customFormat="1" ht="20.25" customHeight="1" x14ac:dyDescent="0.2">
      <c r="A32" s="107"/>
      <c r="B32" s="108"/>
      <c r="C32" s="104"/>
    </row>
    <row r="33" spans="1:6" ht="18.75" customHeight="1" x14ac:dyDescent="0.2">
      <c r="A33" s="132" t="s">
        <v>111</v>
      </c>
      <c r="B33" s="132"/>
      <c r="C33" s="132"/>
      <c r="D33" s="132"/>
    </row>
    <row r="34" spans="1:6" ht="18.75" customHeight="1" x14ac:dyDescent="0.2">
      <c r="A34" s="121"/>
      <c r="B34" s="122" t="s">
        <v>117</v>
      </c>
      <c r="C34" s="123" t="s">
        <v>1</v>
      </c>
      <c r="D34" s="123" t="s">
        <v>118</v>
      </c>
    </row>
    <row r="35" spans="1:6" s="36" customFormat="1" ht="21" customHeight="1" x14ac:dyDescent="0.2">
      <c r="A35" s="105">
        <v>1</v>
      </c>
      <c r="B35" s="114" t="s">
        <v>7</v>
      </c>
      <c r="C35" s="32">
        <f>'Salary Record'!K384</f>
        <v>25000</v>
      </c>
      <c r="D35" s="124">
        <f>C35/2</f>
        <v>12500</v>
      </c>
      <c r="E35" s="128">
        <f t="shared" ref="E35:E38" si="5">D35</f>
        <v>12500</v>
      </c>
    </row>
    <row r="36" spans="1:6" s="36" customFormat="1" ht="21" customHeight="1" x14ac:dyDescent="0.2">
      <c r="A36" s="106">
        <v>2</v>
      </c>
      <c r="B36" s="114" t="str">
        <f>'Salary Record'!C340</f>
        <v>M. Sami</v>
      </c>
      <c r="C36" s="32">
        <f>'Salary Record'!K339</f>
        <v>35000</v>
      </c>
      <c r="D36" s="124">
        <f>C36/2</f>
        <v>17500</v>
      </c>
      <c r="E36" s="128">
        <f t="shared" si="5"/>
        <v>17500</v>
      </c>
    </row>
    <row r="37" spans="1:6" s="36" customFormat="1" ht="21" customHeight="1" x14ac:dyDescent="0.2">
      <c r="A37" s="105">
        <v>3</v>
      </c>
      <c r="B37" s="114" t="str">
        <f>'Salary Record'!C355</f>
        <v>Adil (FTC)</v>
      </c>
      <c r="C37" s="32">
        <f>'Salary Record'!K354</f>
        <v>27000</v>
      </c>
      <c r="D37" s="124">
        <f>C37/2</f>
        <v>13500</v>
      </c>
      <c r="E37" s="128">
        <f t="shared" si="5"/>
        <v>13500</v>
      </c>
    </row>
    <row r="38" spans="1:6" s="36" customFormat="1" ht="21" customHeight="1" x14ac:dyDescent="0.2">
      <c r="A38" s="106">
        <v>4</v>
      </c>
      <c r="B38" s="114" t="str">
        <f>'Salary Record'!C325</f>
        <v>M. Shafeeq</v>
      </c>
      <c r="C38" s="32">
        <f>'Salary Record'!K324</f>
        <v>27000</v>
      </c>
      <c r="D38" s="124">
        <f>C38/2</f>
        <v>13500</v>
      </c>
      <c r="E38" s="128">
        <f t="shared" si="5"/>
        <v>13500</v>
      </c>
      <c r="F38" s="128"/>
    </row>
    <row r="39" spans="1:6" s="36" customFormat="1" ht="20.25" customHeight="1" x14ac:dyDescent="0.2">
      <c r="A39" s="107"/>
      <c r="B39" s="108"/>
      <c r="C39" s="104"/>
    </row>
    <row r="40" spans="1:6" ht="18.75" customHeight="1" x14ac:dyDescent="0.2">
      <c r="A40" s="132" t="s">
        <v>100</v>
      </c>
      <c r="B40" s="132"/>
      <c r="C40" s="132"/>
      <c r="D40" s="132"/>
      <c r="F40" s="126"/>
    </row>
    <row r="41" spans="1:6" ht="18.75" customHeight="1" x14ac:dyDescent="0.2">
      <c r="A41" s="121"/>
      <c r="B41" s="122" t="s">
        <v>117</v>
      </c>
      <c r="C41" s="123" t="s">
        <v>1</v>
      </c>
      <c r="D41" s="123" t="s">
        <v>118</v>
      </c>
    </row>
    <row r="42" spans="1:6" s="88" customFormat="1" ht="18" customHeight="1" x14ac:dyDescent="0.2">
      <c r="A42" s="105">
        <v>1</v>
      </c>
      <c r="B42" s="114" t="str">
        <f>'Salary Record'!C295</f>
        <v xml:space="preserve">M. Imran </v>
      </c>
      <c r="C42" s="39">
        <f>'Salary Record'!K294</f>
        <v>65000</v>
      </c>
      <c r="D42" s="32">
        <f t="shared" ref="D42:D45" si="6">C42/2</f>
        <v>32500</v>
      </c>
      <c r="E42" s="129">
        <f t="shared" ref="E42:E45" si="7">D42</f>
        <v>32500</v>
      </c>
    </row>
    <row r="43" spans="1:6" s="89" customFormat="1" ht="18" customHeight="1" x14ac:dyDescent="0.2">
      <c r="A43" s="105">
        <v>2</v>
      </c>
      <c r="B43" s="114" t="str">
        <f>'Salary Record'!C280</f>
        <v>Mukhtiar</v>
      </c>
      <c r="C43" s="39">
        <f>'Salary Record'!K279</f>
        <v>50000</v>
      </c>
      <c r="D43" s="32">
        <f t="shared" si="6"/>
        <v>25000</v>
      </c>
      <c r="E43" s="129">
        <f t="shared" si="7"/>
        <v>25000</v>
      </c>
    </row>
    <row r="44" spans="1:6" s="89" customFormat="1" ht="18" customHeight="1" x14ac:dyDescent="0.2">
      <c r="A44" s="105">
        <v>3</v>
      </c>
      <c r="B44" s="114" t="str">
        <f>'Salary Record'!C220</f>
        <v>Hammad Ahmed</v>
      </c>
      <c r="C44" s="39">
        <f>'Salary Record'!K219</f>
        <v>35000</v>
      </c>
      <c r="D44" s="32">
        <f t="shared" si="6"/>
        <v>17500</v>
      </c>
      <c r="E44" s="129">
        <f t="shared" si="7"/>
        <v>17500</v>
      </c>
    </row>
    <row r="45" spans="1:6" s="88" customFormat="1" ht="18" customHeight="1" x14ac:dyDescent="0.2">
      <c r="A45" s="105">
        <v>4</v>
      </c>
      <c r="B45" s="114" t="str">
        <f>'Salary Record'!C310</f>
        <v>Asif Hussain</v>
      </c>
      <c r="C45" s="39">
        <f>'Salary Record'!K309</f>
        <v>35000</v>
      </c>
      <c r="D45" s="32">
        <f t="shared" si="6"/>
        <v>17500</v>
      </c>
      <c r="E45" s="129">
        <f t="shared" si="7"/>
        <v>17500</v>
      </c>
    </row>
    <row r="46" spans="1:6" s="36" customFormat="1" ht="20.25" customHeight="1" x14ac:dyDescent="0.2">
      <c r="A46" s="107"/>
      <c r="B46" s="108"/>
      <c r="C46" s="104"/>
    </row>
    <row r="47" spans="1:6" ht="18.75" customHeight="1" x14ac:dyDescent="0.2">
      <c r="A47" s="132" t="s">
        <v>112</v>
      </c>
      <c r="B47" s="132"/>
      <c r="C47" s="132"/>
      <c r="D47" s="132"/>
    </row>
    <row r="48" spans="1:6" ht="18.75" customHeight="1" x14ac:dyDescent="0.2">
      <c r="A48" s="121"/>
      <c r="B48" s="122" t="s">
        <v>117</v>
      </c>
      <c r="C48" s="123" t="s">
        <v>1</v>
      </c>
      <c r="D48" s="123" t="s">
        <v>118</v>
      </c>
    </row>
    <row r="49" spans="1:8" s="89" customFormat="1" ht="21" customHeight="1" x14ac:dyDescent="0.2">
      <c r="A49" s="106">
        <v>1</v>
      </c>
      <c r="B49" s="117" t="s">
        <v>8</v>
      </c>
      <c r="C49" s="115">
        <f>'Salary Record'!K84</f>
        <v>70000</v>
      </c>
      <c r="D49" s="124">
        <f>C49/2</f>
        <v>35000</v>
      </c>
      <c r="E49" s="129">
        <f t="shared" ref="E49" si="8">D49</f>
        <v>35000</v>
      </c>
    </row>
    <row r="50" spans="1:8" s="89" customFormat="1" ht="21" customHeight="1" x14ac:dyDescent="0.2">
      <c r="A50" s="106">
        <v>2</v>
      </c>
      <c r="B50" s="117" t="str">
        <f>'Salary Record'!C115</f>
        <v>Amir (JPMC)</v>
      </c>
      <c r="C50" s="32">
        <f>'Salary Record'!K114</f>
        <v>43000</v>
      </c>
      <c r="D50" s="32">
        <f t="shared" ref="D50:D52" si="9">C50/2</f>
        <v>21500</v>
      </c>
      <c r="E50" s="129">
        <f>D50</f>
        <v>21500</v>
      </c>
    </row>
    <row r="51" spans="1:8" s="89" customFormat="1" ht="21" customHeight="1" x14ac:dyDescent="0.2">
      <c r="A51" s="106">
        <v>3</v>
      </c>
      <c r="B51" s="117" t="str">
        <f>'Salary Record'!C416</f>
        <v>A. Lateef Chacha</v>
      </c>
      <c r="C51" s="32">
        <f>'Salary Record'!K415</f>
        <v>27000</v>
      </c>
      <c r="D51" s="32">
        <f t="shared" si="9"/>
        <v>13500</v>
      </c>
      <c r="E51" s="129">
        <f t="shared" ref="E51" si="10">D51</f>
        <v>13500</v>
      </c>
    </row>
    <row r="52" spans="1:8" s="88" customFormat="1" ht="15.75" x14ac:dyDescent="0.2">
      <c r="A52" s="106">
        <v>4</v>
      </c>
      <c r="B52" s="117" t="str">
        <f>'Salary Record'!C431</f>
        <v>Lateef</v>
      </c>
      <c r="C52" s="113">
        <f>'Salary Record'!K430</f>
        <v>30000</v>
      </c>
      <c r="D52" s="32">
        <f t="shared" si="9"/>
        <v>15000</v>
      </c>
      <c r="E52" s="175">
        <f>D52</f>
        <v>15000</v>
      </c>
    </row>
    <row r="53" spans="1:8" s="89" customFormat="1" ht="21" customHeight="1" x14ac:dyDescent="0.2">
      <c r="A53" s="106">
        <v>5</v>
      </c>
      <c r="B53" s="117" t="s">
        <v>14</v>
      </c>
      <c r="C53" s="39">
        <f>'Salary Record'!K189</f>
        <v>35000</v>
      </c>
      <c r="D53" s="124">
        <f t="shared" ref="D53:D54" si="11">C53/2</f>
        <v>17500</v>
      </c>
      <c r="E53" s="129">
        <f t="shared" ref="E53:E55" si="12">D53</f>
        <v>17500</v>
      </c>
    </row>
    <row r="54" spans="1:8" s="89" customFormat="1" ht="21" customHeight="1" x14ac:dyDescent="0.2">
      <c r="A54" s="106">
        <v>6</v>
      </c>
      <c r="B54" s="114" t="s">
        <v>6</v>
      </c>
      <c r="C54" s="37">
        <f>'Salary Record'!K144</f>
        <v>35000</v>
      </c>
      <c r="D54" s="124">
        <f t="shared" si="11"/>
        <v>17500</v>
      </c>
      <c r="E54" s="129">
        <f t="shared" si="12"/>
        <v>17500</v>
      </c>
    </row>
    <row r="55" spans="1:8" s="89" customFormat="1" ht="21" customHeight="1" x14ac:dyDescent="0.2">
      <c r="A55" s="118">
        <v>7</v>
      </c>
      <c r="B55" s="119" t="s">
        <v>115</v>
      </c>
      <c r="C55" s="37">
        <v>28000</v>
      </c>
      <c r="D55" s="127">
        <v>10000</v>
      </c>
      <c r="E55" s="129">
        <f t="shared" si="12"/>
        <v>10000</v>
      </c>
    </row>
    <row r="56" spans="1:8" x14ac:dyDescent="0.2">
      <c r="C56" s="111"/>
    </row>
    <row r="57" spans="1:8" ht="18.75" customHeight="1" x14ac:dyDescent="0.2">
      <c r="A57" s="121"/>
      <c r="B57" s="122" t="s">
        <v>117</v>
      </c>
      <c r="C57" s="123" t="s">
        <v>1</v>
      </c>
      <c r="D57" s="123" t="s">
        <v>118</v>
      </c>
    </row>
    <row r="58" spans="1:8" s="88" customFormat="1" ht="18" customHeight="1" x14ac:dyDescent="0.2">
      <c r="A58" s="105">
        <v>1</v>
      </c>
      <c r="B58" s="114" t="str">
        <f>'Salary Record'!C690</f>
        <v xml:space="preserve">Engr. Israr </v>
      </c>
      <c r="C58" s="101">
        <f>'Salary Record'!K689</f>
        <v>170000</v>
      </c>
      <c r="D58" s="127">
        <v>50000</v>
      </c>
      <c r="E58" s="129"/>
    </row>
    <row r="59" spans="1:8" s="89" customFormat="1" ht="18" customHeight="1" x14ac:dyDescent="0.2">
      <c r="A59" s="105">
        <v>2</v>
      </c>
      <c r="B59" s="114" t="str">
        <f>'Salary Record'!C265</f>
        <v>M. Arif</v>
      </c>
      <c r="C59" s="39">
        <f>'Salary Record'!K264</f>
        <v>35000</v>
      </c>
      <c r="D59" s="127">
        <v>10000</v>
      </c>
      <c r="E59" s="129">
        <f t="shared" ref="E58:E67" si="13">D59</f>
        <v>10000</v>
      </c>
    </row>
    <row r="60" spans="1:8" s="89" customFormat="1" ht="18" customHeight="1" x14ac:dyDescent="0.2">
      <c r="A60" s="105">
        <v>3</v>
      </c>
      <c r="B60" s="114" t="str">
        <f>'Salary Record'!C642</f>
        <v>Mohib uz Zaman</v>
      </c>
      <c r="C60" s="39">
        <f>'Salary Record'!K641</f>
        <v>45000</v>
      </c>
      <c r="D60" s="127">
        <v>10000</v>
      </c>
      <c r="E60" s="129">
        <f t="shared" si="13"/>
        <v>10000</v>
      </c>
    </row>
    <row r="61" spans="1:8" s="88" customFormat="1" ht="18" customHeight="1" x14ac:dyDescent="0.2">
      <c r="A61" s="105">
        <v>4</v>
      </c>
      <c r="B61" s="114" t="str">
        <f>'Salary Record'!C235</f>
        <v>Affan Ali</v>
      </c>
      <c r="C61" s="39">
        <f>'Salary Record'!K234</f>
        <v>32000</v>
      </c>
      <c r="D61" s="127">
        <v>10000</v>
      </c>
      <c r="E61" s="129">
        <f t="shared" si="13"/>
        <v>10000</v>
      </c>
      <c r="H61" s="175">
        <f>D58+D70+D71+D72</f>
        <v>95000</v>
      </c>
    </row>
    <row r="62" spans="1:8" s="88" customFormat="1" ht="18" customHeight="1" x14ac:dyDescent="0.2">
      <c r="A62" s="105">
        <v>5</v>
      </c>
      <c r="B62" s="114" t="str">
        <f>'Salary Record'!C250</f>
        <v>Ibtehaj</v>
      </c>
      <c r="C62" s="39">
        <f>'Salary Record'!K249</f>
        <v>45000</v>
      </c>
      <c r="D62" s="127">
        <v>10000</v>
      </c>
      <c r="E62" s="129">
        <f t="shared" si="13"/>
        <v>10000</v>
      </c>
    </row>
    <row r="63" spans="1:8" s="88" customFormat="1" ht="18" customHeight="1" x14ac:dyDescent="0.2">
      <c r="A63" s="105">
        <v>6</v>
      </c>
      <c r="B63" s="114" t="str">
        <f>'Salary Record'!C736</f>
        <v>M. Osama</v>
      </c>
      <c r="C63" s="101">
        <f>'Salary Record'!K735</f>
        <v>65000</v>
      </c>
      <c r="D63" s="127">
        <v>10000</v>
      </c>
      <c r="E63" s="129">
        <f t="shared" si="13"/>
        <v>10000</v>
      </c>
    </row>
    <row r="64" spans="1:8" s="88" customFormat="1" ht="18" customHeight="1" x14ac:dyDescent="0.2">
      <c r="A64" s="105">
        <v>7</v>
      </c>
      <c r="B64" s="114" t="str">
        <f>'Salary Record'!C596</f>
        <v>Waqas</v>
      </c>
      <c r="C64" s="87">
        <f>'Salary Record'!K595</f>
        <v>40000</v>
      </c>
      <c r="D64" s="127">
        <v>10000</v>
      </c>
      <c r="E64" s="129">
        <f t="shared" si="13"/>
        <v>10000</v>
      </c>
    </row>
    <row r="65" spans="1:5" s="88" customFormat="1" ht="18" customHeight="1" x14ac:dyDescent="0.2">
      <c r="A65" s="105">
        <v>8</v>
      </c>
      <c r="B65" s="114" t="str">
        <f>'Salary Record'!C767</f>
        <v>Kamran</v>
      </c>
      <c r="C65" s="87">
        <f>'Salary Record'!K766</f>
        <v>32000</v>
      </c>
      <c r="D65" s="127">
        <v>10000</v>
      </c>
      <c r="E65" s="129">
        <f t="shared" si="13"/>
        <v>10000</v>
      </c>
    </row>
    <row r="66" spans="1:5" s="89" customFormat="1" ht="18" customHeight="1" x14ac:dyDescent="0.2">
      <c r="A66" s="105">
        <v>9</v>
      </c>
      <c r="B66" s="114" t="str">
        <f>'Salary Record'!C612</f>
        <v>Umair Ali</v>
      </c>
      <c r="C66" s="39">
        <f>'Salary Record'!K611</f>
        <v>32000</v>
      </c>
      <c r="D66" s="127">
        <v>10000</v>
      </c>
      <c r="E66" s="129">
        <f t="shared" si="13"/>
        <v>10000</v>
      </c>
    </row>
    <row r="67" spans="1:5" s="89" customFormat="1" ht="18" customHeight="1" x14ac:dyDescent="0.2">
      <c r="A67" s="105">
        <v>10</v>
      </c>
      <c r="B67" s="114" t="s">
        <v>120</v>
      </c>
      <c r="C67" s="39">
        <v>32000</v>
      </c>
      <c r="D67" s="127">
        <v>10000</v>
      </c>
      <c r="E67" s="129">
        <f t="shared" si="13"/>
        <v>10000</v>
      </c>
    </row>
    <row r="68" spans="1:5" s="89" customFormat="1" ht="21" customHeight="1" x14ac:dyDescent="0.2">
      <c r="A68" s="105">
        <v>11</v>
      </c>
      <c r="B68" s="117" t="str">
        <f>'Salary Record'!C566</f>
        <v>Shahzaib ullah</v>
      </c>
      <c r="C68" s="32">
        <f>'Salary Record'!K565</f>
        <v>45000</v>
      </c>
      <c r="D68" s="127">
        <f>C68/2</f>
        <v>22500</v>
      </c>
      <c r="E68" s="129">
        <f t="shared" ref="E68:E69" si="14">D68</f>
        <v>22500</v>
      </c>
    </row>
    <row r="69" spans="1:5" s="89" customFormat="1" ht="21" customHeight="1" x14ac:dyDescent="0.2">
      <c r="A69" s="105">
        <v>12</v>
      </c>
      <c r="B69" s="117" t="str">
        <f>'Salary Record'!C720</f>
        <v>Noman Ali Sheikh Ansari</v>
      </c>
      <c r="C69" s="39">
        <f>'Salary Record'!K723</f>
        <v>70000</v>
      </c>
      <c r="D69" s="127">
        <v>35000</v>
      </c>
      <c r="E69" s="129">
        <f t="shared" si="14"/>
        <v>35000</v>
      </c>
    </row>
    <row r="70" spans="1:5" s="89" customFormat="1" ht="21" customHeight="1" x14ac:dyDescent="0.2">
      <c r="A70" s="105">
        <v>13</v>
      </c>
      <c r="B70" s="114" t="str">
        <f>'Salary Record'!C705</f>
        <v>M. Raza</v>
      </c>
      <c r="C70" s="32">
        <f>'Salary Record'!K704</f>
        <v>60000</v>
      </c>
      <c r="D70" s="127">
        <v>15000</v>
      </c>
    </row>
    <row r="71" spans="1:5" s="89" customFormat="1" ht="21" customHeight="1" x14ac:dyDescent="0.2">
      <c r="A71" s="105">
        <v>14</v>
      </c>
      <c r="B71" s="114" t="str">
        <f>'Salary Record'!C782</f>
        <v>M. Usman</v>
      </c>
      <c r="C71" s="32">
        <f>'Salary Record'!K781</f>
        <v>60000</v>
      </c>
      <c r="D71" s="127">
        <v>15000</v>
      </c>
    </row>
    <row r="72" spans="1:5" s="88" customFormat="1" ht="18" customHeight="1" x14ac:dyDescent="0.2">
      <c r="A72" s="105">
        <v>15</v>
      </c>
      <c r="B72" s="114" t="str">
        <f>'Salary Record'!C799</f>
        <v>Ahsan</v>
      </c>
      <c r="C72" s="87">
        <f>'Salary Record'!K798</f>
        <v>60000</v>
      </c>
      <c r="D72" s="127">
        <v>15000</v>
      </c>
    </row>
    <row r="73" spans="1:5" s="89" customFormat="1" ht="21" customHeight="1" x14ac:dyDescent="0.2">
      <c r="A73" s="105">
        <v>16</v>
      </c>
      <c r="B73" s="114" t="str">
        <f>'Salary Record'!C627</f>
        <v>Nadeem Painter</v>
      </c>
      <c r="C73" s="39">
        <v>32000</v>
      </c>
      <c r="D73" s="127">
        <f>C73/2</f>
        <v>16000</v>
      </c>
      <c r="E73" s="129">
        <f t="shared" ref="E73:E77" si="15">D73</f>
        <v>16000</v>
      </c>
    </row>
    <row r="74" spans="1:5" s="89" customFormat="1" ht="21" customHeight="1" x14ac:dyDescent="0.2">
      <c r="A74" s="105">
        <v>17</v>
      </c>
      <c r="B74" s="114" t="str">
        <f>'Salary Record'!C658</f>
        <v>Khushnood</v>
      </c>
      <c r="C74" s="39">
        <v>50000</v>
      </c>
      <c r="D74" s="127">
        <f>C74*25%</f>
        <v>12500</v>
      </c>
      <c r="E74" s="129">
        <f t="shared" si="15"/>
        <v>12500</v>
      </c>
    </row>
    <row r="75" spans="1:5" s="89" customFormat="1" ht="21" customHeight="1" x14ac:dyDescent="0.2">
      <c r="A75" s="105">
        <v>18</v>
      </c>
      <c r="B75" s="116" t="str">
        <f>'Salary Record'!C370</f>
        <v>Talha</v>
      </c>
      <c r="C75" s="110">
        <f>'Salary Record'!K369</f>
        <v>25000</v>
      </c>
      <c r="D75" s="127">
        <f>C75*25%</f>
        <v>6250</v>
      </c>
      <c r="E75" s="129">
        <f t="shared" si="15"/>
        <v>6250</v>
      </c>
    </row>
    <row r="76" spans="1:5" s="89" customFormat="1" ht="21" customHeight="1" x14ac:dyDescent="0.2">
      <c r="A76" s="105">
        <v>19</v>
      </c>
      <c r="B76" s="116" t="s">
        <v>119</v>
      </c>
      <c r="C76" s="110">
        <v>30000</v>
      </c>
      <c r="D76" s="127">
        <v>2000</v>
      </c>
      <c r="E76" s="129">
        <f t="shared" si="15"/>
        <v>2000</v>
      </c>
    </row>
    <row r="77" spans="1:5" s="89" customFormat="1" ht="21" customHeight="1" x14ac:dyDescent="0.2">
      <c r="A77" s="105">
        <v>20</v>
      </c>
      <c r="B77" s="116" t="str">
        <f>'Salary Record'!C400</f>
        <v>Zeeshan</v>
      </c>
      <c r="C77" s="110">
        <f>'Salary Record'!K399</f>
        <v>25000</v>
      </c>
      <c r="D77" s="127">
        <f>C77*25%</f>
        <v>6250</v>
      </c>
      <c r="E77" s="129">
        <f t="shared" si="15"/>
        <v>6250</v>
      </c>
    </row>
    <row r="78" spans="1:5" ht="18" x14ac:dyDescent="0.25">
      <c r="A78" s="130" t="s">
        <v>116</v>
      </c>
      <c r="B78" s="130"/>
      <c r="C78" s="120">
        <f>SUM(C3:C77)</f>
        <v>2297500</v>
      </c>
      <c r="D78" s="120">
        <f>SUM(D3:D77)</f>
        <v>969250</v>
      </c>
      <c r="E78" s="120">
        <f>SUM(E3:E77)</f>
        <v>874250</v>
      </c>
    </row>
    <row r="79" spans="1:5" x14ac:dyDescent="0.2">
      <c r="C79" s="111"/>
    </row>
  </sheetData>
  <mergeCells count="8">
    <mergeCell ref="A78:B78"/>
    <mergeCell ref="A1:D1"/>
    <mergeCell ref="A10:D10"/>
    <mergeCell ref="A17:D17"/>
    <mergeCell ref="A24:D24"/>
    <mergeCell ref="A33:D33"/>
    <mergeCell ref="A40:D40"/>
    <mergeCell ref="A47:D47"/>
  </mergeCells>
  <phoneticPr fontId="3" type="noConversion"/>
  <printOptions horizontalCentered="1"/>
  <pageMargins left="0" right="0" top="0" bottom="0" header="0.16" footer="0.19"/>
  <pageSetup paperSize="9" scale="86" orientation="portrait" r:id="rId1"/>
  <headerFooter alignWithMargins="0"/>
  <rowBreaks count="1" manualBreakCount="1">
    <brk id="46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682" zoomScale="110" zoomScaleNormal="90" zoomScaleSheetLayoutView="110" workbookViewId="0">
      <selection activeCell="J694" sqref="J694"/>
    </sheetView>
  </sheetViews>
  <sheetFormatPr defaultColWidth="9.140625" defaultRowHeight="18.75" x14ac:dyDescent="0.3"/>
  <cols>
    <col min="1" max="1" width="1" style="43" customWidth="1"/>
    <col min="2" max="2" width="15.7109375" style="43" customWidth="1"/>
    <col min="3" max="3" width="8.42578125" style="43" customWidth="1"/>
    <col min="4" max="4" width="0.42578125" style="43" customWidth="1"/>
    <col min="5" max="5" width="1.7109375" style="43" customWidth="1"/>
    <col min="6" max="6" width="18.5703125" style="43" customWidth="1"/>
    <col min="7" max="7" width="12" style="43" customWidth="1"/>
    <col min="8" max="8" width="2.140625" style="43" customWidth="1"/>
    <col min="9" max="9" width="7.140625" style="43" customWidth="1"/>
    <col min="10" max="10" width="14.85546875" style="43" customWidth="1"/>
    <col min="11" max="11" width="14.140625" style="43" customWidth="1"/>
    <col min="12" max="12" width="1.28515625" style="43" customWidth="1"/>
    <col min="13" max="13" width="1" style="3" customWidth="1"/>
    <col min="14" max="14" width="1.7109375" style="3" customWidth="1"/>
    <col min="15" max="15" width="9.7109375" style="3" customWidth="1"/>
    <col min="16" max="16" width="9" style="3" customWidth="1"/>
    <col min="17" max="17" width="8.42578125" style="3" customWidth="1"/>
    <col min="18" max="18" width="16.42578125" style="3" customWidth="1"/>
    <col min="19" max="19" width="1.28515625" style="3" customWidth="1"/>
    <col min="20" max="20" width="9.42578125" style="3" customWidth="1"/>
    <col min="21" max="21" width="14.5703125" style="3" customWidth="1"/>
    <col min="22" max="22" width="12.7109375" style="3" customWidth="1"/>
    <col min="23" max="23" width="12.85546875" style="3" customWidth="1"/>
    <col min="24" max="24" width="13.28515625" style="3" customWidth="1"/>
    <col min="25" max="25" width="14.42578125" style="3" customWidth="1"/>
    <col min="26" max="26" width="1.5703125" style="3" customWidth="1"/>
    <col min="27" max="27" width="8.42578125" style="3" customWidth="1"/>
    <col min="28" max="29" width="12.7109375" style="3" bestFit="1" customWidth="1"/>
    <col min="30" max="31" width="9.140625" style="3"/>
    <col min="32" max="32" width="12.7109375" style="3" customWidth="1"/>
    <col min="33" max="16384" width="9.140625" style="3"/>
  </cols>
  <sheetData>
    <row r="1" spans="1:27" x14ac:dyDescent="0.3">
      <c r="C1" s="174" t="s">
        <v>41</v>
      </c>
      <c r="D1" s="174"/>
      <c r="E1" s="174"/>
      <c r="F1" s="174"/>
      <c r="G1" s="174"/>
      <c r="H1" s="174"/>
      <c r="I1" s="174"/>
      <c r="J1" s="44" t="s">
        <v>106</v>
      </c>
      <c r="K1" s="45">
        <v>2024</v>
      </c>
      <c r="L1" s="45"/>
      <c r="R1" s="24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30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46" t="s">
        <v>35</v>
      </c>
      <c r="K2" s="43">
        <v>29</v>
      </c>
      <c r="R2" s="30"/>
      <c r="U2" s="30"/>
    </row>
    <row r="4" spans="1:27" s="26" customFormat="1" ht="21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N4" s="7"/>
      <c r="O4" s="7"/>
      <c r="P4" s="7"/>
      <c r="Q4" s="7"/>
      <c r="R4" s="34"/>
      <c r="S4" s="7"/>
      <c r="T4" s="7"/>
      <c r="U4" s="34"/>
      <c r="V4" s="7"/>
      <c r="W4" s="7"/>
      <c r="X4" s="7"/>
      <c r="Y4" s="7"/>
      <c r="Z4" s="7"/>
    </row>
    <row r="5" spans="1:27" s="26" customFormat="1" ht="21" customHeight="1" x14ac:dyDescent="0.2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7" s="5" customFormat="1" ht="21" customHeight="1" thickBo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 s="5" customFormat="1" ht="27.75" customHeight="1" thickBot="1" x14ac:dyDescent="0.25">
      <c r="A7" s="138" t="s">
        <v>15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40"/>
      <c r="M7" s="4"/>
      <c r="N7" s="8"/>
      <c r="O7" s="133" t="s">
        <v>17</v>
      </c>
      <c r="P7" s="134"/>
      <c r="Q7" s="134"/>
      <c r="R7" s="135"/>
      <c r="S7" s="9"/>
      <c r="T7" s="133" t="s">
        <v>18</v>
      </c>
      <c r="U7" s="134"/>
      <c r="V7" s="134"/>
      <c r="W7" s="134"/>
      <c r="X7" s="134"/>
      <c r="Y7" s="135"/>
      <c r="Z7" s="10"/>
      <c r="AA7" s="4"/>
    </row>
    <row r="8" spans="1:27" s="5" customFormat="1" ht="27.75" customHeight="1" x14ac:dyDescent="0.2">
      <c r="A8" s="47"/>
      <c r="B8" s="45"/>
      <c r="C8" s="147" t="s">
        <v>94</v>
      </c>
      <c r="D8" s="147"/>
      <c r="E8" s="147"/>
      <c r="F8" s="147"/>
      <c r="G8" s="48" t="str">
        <f>$J$1</f>
        <v>February</v>
      </c>
      <c r="H8" s="146">
        <f>$K$1</f>
        <v>2024</v>
      </c>
      <c r="I8" s="146"/>
      <c r="J8" s="45"/>
      <c r="K8" s="49"/>
      <c r="L8" s="50"/>
      <c r="M8" s="6"/>
      <c r="N8" s="11"/>
      <c r="O8" s="12" t="s">
        <v>28</v>
      </c>
      <c r="P8" s="12" t="s">
        <v>5</v>
      </c>
      <c r="Q8" s="12" t="s">
        <v>4</v>
      </c>
      <c r="R8" s="12" t="s">
        <v>29</v>
      </c>
      <c r="S8" s="13"/>
      <c r="T8" s="12" t="s">
        <v>28</v>
      </c>
      <c r="U8" s="12" t="s">
        <v>30</v>
      </c>
      <c r="V8" s="12" t="s">
        <v>10</v>
      </c>
      <c r="W8" s="12" t="s">
        <v>9</v>
      </c>
      <c r="X8" s="12" t="s">
        <v>11</v>
      </c>
      <c r="Y8" s="12" t="s">
        <v>34</v>
      </c>
      <c r="Z8" s="14"/>
      <c r="AA8" s="6"/>
    </row>
    <row r="9" spans="1:27" s="5" customFormat="1" ht="27.75" customHeight="1" x14ac:dyDescent="0.2">
      <c r="A9" s="47"/>
      <c r="B9" s="45"/>
      <c r="C9" s="45"/>
      <c r="D9" s="51"/>
      <c r="E9" s="51"/>
      <c r="F9" s="51"/>
      <c r="G9" s="51"/>
      <c r="H9" s="51"/>
      <c r="I9" s="45"/>
      <c r="J9" s="52" t="s">
        <v>1</v>
      </c>
      <c r="K9" s="53">
        <f>55000+5000+5000+10000</f>
        <v>75000</v>
      </c>
      <c r="L9" s="54"/>
      <c r="N9" s="15"/>
      <c r="O9" s="16" t="s">
        <v>20</v>
      </c>
      <c r="P9" s="16">
        <v>24</v>
      </c>
      <c r="Q9" s="16">
        <v>7</v>
      </c>
      <c r="R9" s="16">
        <f>15-Q9</f>
        <v>8</v>
      </c>
      <c r="S9" s="17"/>
      <c r="T9" s="16" t="s">
        <v>20</v>
      </c>
      <c r="U9" s="18"/>
      <c r="V9" s="18"/>
      <c r="W9" s="18">
        <f>V9+U9</f>
        <v>0</v>
      </c>
      <c r="X9" s="18"/>
      <c r="Y9" s="18">
        <f>W9-X9</f>
        <v>0</v>
      </c>
      <c r="Z9" s="14"/>
    </row>
    <row r="10" spans="1:27" s="5" customFormat="1" ht="27.75" customHeight="1" x14ac:dyDescent="0.2">
      <c r="A10" s="47"/>
      <c r="B10" s="45" t="s">
        <v>0</v>
      </c>
      <c r="C10" s="44" t="s">
        <v>47</v>
      </c>
      <c r="D10" s="45"/>
      <c r="E10" s="45"/>
      <c r="F10" s="45"/>
      <c r="G10" s="45"/>
      <c r="H10" s="55"/>
      <c r="I10" s="51"/>
      <c r="J10" s="45"/>
      <c r="K10" s="45"/>
      <c r="L10" s="56"/>
      <c r="M10" s="4"/>
      <c r="N10" s="19"/>
      <c r="O10" s="16" t="s">
        <v>46</v>
      </c>
      <c r="P10" s="16"/>
      <c r="Q10" s="16"/>
      <c r="R10" s="16" t="str">
        <f t="shared" ref="R10:R20" si="0">IF(Q10="","",R9-Q10)</f>
        <v/>
      </c>
      <c r="S10" s="7"/>
      <c r="T10" s="16" t="s">
        <v>46</v>
      </c>
      <c r="U10" s="29">
        <f>IF($J$1="February",Y9,"")</f>
        <v>0</v>
      </c>
      <c r="V10" s="18"/>
      <c r="W10" s="29">
        <f>IF(U10="","",U10+V10)</f>
        <v>0</v>
      </c>
      <c r="X10" s="18"/>
      <c r="Y10" s="29">
        <f>IF(W10="","",W10-X10)</f>
        <v>0</v>
      </c>
      <c r="Z10" s="20"/>
      <c r="AA10" s="4"/>
    </row>
    <row r="11" spans="1:27" s="5" customFormat="1" ht="27.75" customHeight="1" x14ac:dyDescent="0.2">
      <c r="A11" s="47"/>
      <c r="B11" s="57" t="s">
        <v>16</v>
      </c>
      <c r="C11" s="58"/>
      <c r="D11" s="45"/>
      <c r="E11" s="45"/>
      <c r="F11" s="141" t="s">
        <v>18</v>
      </c>
      <c r="G11" s="143"/>
      <c r="H11" s="45"/>
      <c r="I11" s="141" t="s">
        <v>19</v>
      </c>
      <c r="J11" s="142"/>
      <c r="K11" s="143"/>
      <c r="L11" s="59"/>
      <c r="N11" s="15"/>
      <c r="O11" s="16" t="s">
        <v>21</v>
      </c>
      <c r="P11" s="16"/>
      <c r="Q11" s="16"/>
      <c r="R11" s="16" t="str">
        <f t="shared" si="0"/>
        <v/>
      </c>
      <c r="S11" s="7"/>
      <c r="T11" s="16" t="s">
        <v>21</v>
      </c>
      <c r="U11" s="29" t="str">
        <f>IF($J$1="March",Y10,"")</f>
        <v/>
      </c>
      <c r="V11" s="18"/>
      <c r="W11" s="29" t="str">
        <f t="shared" ref="W11:W20" si="1">IF(U11="","",U11+V11)</f>
        <v/>
      </c>
      <c r="X11" s="18"/>
      <c r="Y11" s="29" t="str">
        <f t="shared" ref="Y11:Y20" si="2">IF(W11="","",W11-X11)</f>
        <v/>
      </c>
      <c r="Z11" s="20"/>
    </row>
    <row r="12" spans="1:27" s="5" customFormat="1" ht="27.75" customHeight="1" x14ac:dyDescent="0.2">
      <c r="A12" s="47"/>
      <c r="B12" s="45"/>
      <c r="C12" s="45"/>
      <c r="D12" s="45"/>
      <c r="E12" s="45"/>
      <c r="F12" s="45"/>
      <c r="G12" s="45"/>
      <c r="H12" s="60"/>
      <c r="I12" s="45"/>
      <c r="J12" s="45"/>
      <c r="K12" s="45"/>
      <c r="L12" s="61"/>
      <c r="N12" s="15"/>
      <c r="O12" s="16" t="s">
        <v>22</v>
      </c>
      <c r="P12" s="16"/>
      <c r="Q12" s="16"/>
      <c r="R12" s="16" t="str">
        <f t="shared" si="0"/>
        <v/>
      </c>
      <c r="S12" s="7"/>
      <c r="T12" s="16" t="s">
        <v>22</v>
      </c>
      <c r="U12" s="29" t="str">
        <f>IF($J$1="April",Y11,"")</f>
        <v/>
      </c>
      <c r="V12" s="18"/>
      <c r="W12" s="29" t="str">
        <f t="shared" si="1"/>
        <v/>
      </c>
      <c r="X12" s="18"/>
      <c r="Y12" s="29" t="str">
        <f t="shared" si="2"/>
        <v/>
      </c>
      <c r="Z12" s="20"/>
    </row>
    <row r="13" spans="1:27" s="5" customFormat="1" ht="27.75" customHeight="1" x14ac:dyDescent="0.2">
      <c r="A13" s="47"/>
      <c r="B13" s="144" t="s">
        <v>17</v>
      </c>
      <c r="C13" s="145"/>
      <c r="D13" s="45"/>
      <c r="E13" s="45"/>
      <c r="F13" s="62" t="s">
        <v>39</v>
      </c>
      <c r="G13" s="63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60"/>
      <c r="I13" s="64">
        <f>K2</f>
        <v>29</v>
      </c>
      <c r="J13" s="65" t="s">
        <v>36</v>
      </c>
      <c r="K13" s="66">
        <f>K9/$K$2*I13</f>
        <v>75000</v>
      </c>
      <c r="L13" s="67"/>
      <c r="N13" s="15"/>
      <c r="O13" s="16" t="s">
        <v>23</v>
      </c>
      <c r="P13" s="16"/>
      <c r="Q13" s="16"/>
      <c r="R13" s="16" t="str">
        <f t="shared" si="0"/>
        <v/>
      </c>
      <c r="S13" s="7"/>
      <c r="T13" s="16" t="s">
        <v>23</v>
      </c>
      <c r="U13" s="29" t="str">
        <f>IF($J$1="May",Y12,"")</f>
        <v/>
      </c>
      <c r="V13" s="18"/>
      <c r="W13" s="29" t="str">
        <f t="shared" si="1"/>
        <v/>
      </c>
      <c r="X13" s="18"/>
      <c r="Y13" s="29" t="str">
        <f t="shared" si="2"/>
        <v/>
      </c>
      <c r="Z13" s="20"/>
    </row>
    <row r="14" spans="1:27" s="5" customFormat="1" ht="27.75" customHeight="1" x14ac:dyDescent="0.2">
      <c r="A14" s="47"/>
      <c r="B14" s="68"/>
      <c r="C14" s="68"/>
      <c r="D14" s="45"/>
      <c r="E14" s="45"/>
      <c r="F14" s="62" t="s">
        <v>10</v>
      </c>
      <c r="G14" s="6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60"/>
      <c r="I14" s="64"/>
      <c r="J14" s="65" t="s">
        <v>37</v>
      </c>
      <c r="K14" s="69">
        <f>K9/$K$2/8*I14</f>
        <v>0</v>
      </c>
      <c r="L14" s="70"/>
      <c r="N14" s="15"/>
      <c r="O14" s="16" t="s">
        <v>24</v>
      </c>
      <c r="P14" s="16"/>
      <c r="Q14" s="16"/>
      <c r="R14" s="16" t="str">
        <f t="shared" si="0"/>
        <v/>
      </c>
      <c r="S14" s="7"/>
      <c r="T14" s="16" t="s">
        <v>24</v>
      </c>
      <c r="U14" s="29" t="str">
        <f>IF($J$1="June",Y13,"")</f>
        <v/>
      </c>
      <c r="V14" s="18"/>
      <c r="W14" s="29" t="str">
        <f t="shared" si="1"/>
        <v/>
      </c>
      <c r="X14" s="18"/>
      <c r="Y14" s="29" t="str">
        <f t="shared" si="2"/>
        <v/>
      </c>
      <c r="Z14" s="20"/>
    </row>
    <row r="15" spans="1:27" s="5" customFormat="1" ht="27.75" customHeight="1" x14ac:dyDescent="0.2">
      <c r="A15" s="47"/>
      <c r="B15" s="62" t="s">
        <v>5</v>
      </c>
      <c r="C15" s="68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45"/>
      <c r="E15" s="45"/>
      <c r="F15" s="62" t="s">
        <v>40</v>
      </c>
      <c r="G15" s="63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60"/>
      <c r="I15" s="136" t="s">
        <v>44</v>
      </c>
      <c r="J15" s="137"/>
      <c r="K15" s="69">
        <f>K13+K14</f>
        <v>75000</v>
      </c>
      <c r="L15" s="70"/>
      <c r="N15" s="15"/>
      <c r="O15" s="16" t="s">
        <v>25</v>
      </c>
      <c r="P15" s="16"/>
      <c r="Q15" s="16"/>
      <c r="R15" s="16" t="str">
        <f t="shared" si="0"/>
        <v/>
      </c>
      <c r="S15" s="7"/>
      <c r="T15" s="16" t="s">
        <v>25</v>
      </c>
      <c r="U15" s="29" t="str">
        <f>IF($J$1="July",Y14,"")</f>
        <v/>
      </c>
      <c r="V15" s="18"/>
      <c r="W15" s="29" t="str">
        <f t="shared" si="1"/>
        <v/>
      </c>
      <c r="X15" s="18"/>
      <c r="Y15" s="29" t="str">
        <f t="shared" si="2"/>
        <v/>
      </c>
      <c r="Z15" s="20"/>
    </row>
    <row r="16" spans="1:27" s="5" customFormat="1" ht="27.75" customHeight="1" x14ac:dyDescent="0.2">
      <c r="A16" s="47"/>
      <c r="B16" s="62" t="s">
        <v>4</v>
      </c>
      <c r="C16" s="68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45"/>
      <c r="E16" s="45"/>
      <c r="F16" s="62" t="s">
        <v>11</v>
      </c>
      <c r="G16" s="6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60"/>
      <c r="I16" s="136" t="s">
        <v>45</v>
      </c>
      <c r="J16" s="137"/>
      <c r="K16" s="63">
        <f>G16</f>
        <v>0</v>
      </c>
      <c r="L16" s="71"/>
      <c r="N16" s="15"/>
      <c r="O16" s="16" t="s">
        <v>26</v>
      </c>
      <c r="P16" s="16"/>
      <c r="Q16" s="16"/>
      <c r="R16" s="16" t="str">
        <f t="shared" si="0"/>
        <v/>
      </c>
      <c r="S16" s="7"/>
      <c r="T16" s="16" t="s">
        <v>26</v>
      </c>
      <c r="U16" s="29" t="str">
        <f>IF($J$1="August",Y15,"")</f>
        <v/>
      </c>
      <c r="V16" s="18"/>
      <c r="W16" s="29" t="str">
        <f t="shared" si="1"/>
        <v/>
      </c>
      <c r="X16" s="18"/>
      <c r="Y16" s="29" t="str">
        <f t="shared" si="2"/>
        <v/>
      </c>
      <c r="Z16" s="20"/>
    </row>
    <row r="17" spans="1:27" s="5" customFormat="1" ht="27.75" customHeight="1" x14ac:dyDescent="0.2">
      <c r="A17" s="47"/>
      <c r="B17" s="62" t="s">
        <v>43</v>
      </c>
      <c r="C17" s="68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45"/>
      <c r="E17" s="45"/>
      <c r="F17" s="62" t="s">
        <v>86</v>
      </c>
      <c r="G17" s="63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45"/>
      <c r="I17" s="141" t="s">
        <v>38</v>
      </c>
      <c r="J17" s="143"/>
      <c r="K17" s="41">
        <f>K15-K16</f>
        <v>75000</v>
      </c>
      <c r="L17" s="72"/>
      <c r="N17" s="15"/>
      <c r="O17" s="16" t="s">
        <v>31</v>
      </c>
      <c r="P17" s="16"/>
      <c r="Q17" s="16"/>
      <c r="R17" s="16" t="str">
        <f t="shared" si="0"/>
        <v/>
      </c>
      <c r="S17" s="7"/>
      <c r="T17" s="16" t="s">
        <v>31</v>
      </c>
      <c r="U17" s="29" t="str">
        <f>IF($J$1="September",Y16,"")</f>
        <v/>
      </c>
      <c r="V17" s="18"/>
      <c r="W17" s="29" t="str">
        <f t="shared" si="1"/>
        <v/>
      </c>
      <c r="X17" s="18"/>
      <c r="Y17" s="29" t="str">
        <f t="shared" si="2"/>
        <v/>
      </c>
      <c r="Z17" s="20"/>
    </row>
    <row r="18" spans="1:27" s="5" customFormat="1" ht="27.75" customHeight="1" x14ac:dyDescent="0.2">
      <c r="A18" s="47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59"/>
      <c r="N18" s="15"/>
      <c r="O18" s="16" t="s">
        <v>27</v>
      </c>
      <c r="P18" s="16"/>
      <c r="Q18" s="16"/>
      <c r="R18" s="16">
        <v>0</v>
      </c>
      <c r="S18" s="7"/>
      <c r="T18" s="16" t="s">
        <v>27</v>
      </c>
      <c r="U18" s="29" t="str">
        <f>IF($J$1="October",Y17,"")</f>
        <v/>
      </c>
      <c r="V18" s="18"/>
      <c r="W18" s="29" t="str">
        <f t="shared" si="1"/>
        <v/>
      </c>
      <c r="X18" s="18"/>
      <c r="Y18" s="29" t="str">
        <f t="shared" si="2"/>
        <v/>
      </c>
      <c r="Z18" s="20"/>
    </row>
    <row r="19" spans="1:27" s="5" customFormat="1" ht="27.75" customHeight="1" x14ac:dyDescent="0.3">
      <c r="A19" s="47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59"/>
      <c r="N19" s="15"/>
      <c r="O19" s="16" t="s">
        <v>32</v>
      </c>
      <c r="P19" s="16"/>
      <c r="Q19" s="16"/>
      <c r="R19" s="16">
        <v>0</v>
      </c>
      <c r="S19" s="7"/>
      <c r="T19" s="16" t="s">
        <v>32</v>
      </c>
      <c r="U19" s="29" t="str">
        <f>IF($J$1="November",Y18,"")</f>
        <v/>
      </c>
      <c r="V19" s="18"/>
      <c r="W19" s="29" t="str">
        <f t="shared" si="1"/>
        <v/>
      </c>
      <c r="X19" s="18"/>
      <c r="Y19" s="29" t="str">
        <f t="shared" si="2"/>
        <v/>
      </c>
      <c r="Z19" s="20"/>
    </row>
    <row r="20" spans="1:27" s="5" customFormat="1" ht="27.75" customHeight="1" thickBot="1" x14ac:dyDescent="0.3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5"/>
      <c r="N20" s="15"/>
      <c r="O20" s="16" t="s">
        <v>33</v>
      </c>
      <c r="P20" s="16"/>
      <c r="Q20" s="16"/>
      <c r="R20" s="16" t="str">
        <f t="shared" si="0"/>
        <v/>
      </c>
      <c r="S20" s="7"/>
      <c r="T20" s="16" t="s">
        <v>33</v>
      </c>
      <c r="U20" s="29" t="str">
        <f>IF($J$1="December",Y19,"")</f>
        <v/>
      </c>
      <c r="V20" s="18"/>
      <c r="W20" s="29" t="str">
        <f t="shared" si="1"/>
        <v/>
      </c>
      <c r="X20" s="18"/>
      <c r="Y20" s="29" t="str">
        <f t="shared" si="2"/>
        <v/>
      </c>
      <c r="Z20" s="20"/>
    </row>
    <row r="21" spans="1:27" s="27" customFormat="1" ht="27.75" customHeight="1" thickBot="1" x14ac:dyDescent="0.2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7" s="5" customFormat="1" ht="27.75" customHeight="1" thickBot="1" x14ac:dyDescent="0.25">
      <c r="A22" s="138" t="s">
        <v>15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40"/>
      <c r="M22" s="4"/>
      <c r="N22" s="19"/>
      <c r="O22" s="149" t="s">
        <v>17</v>
      </c>
      <c r="P22" s="150"/>
      <c r="Q22" s="150"/>
      <c r="R22" s="151"/>
      <c r="S22" s="7"/>
      <c r="T22" s="149" t="s">
        <v>18</v>
      </c>
      <c r="U22" s="150"/>
      <c r="V22" s="150"/>
      <c r="W22" s="150"/>
      <c r="X22" s="150"/>
      <c r="Y22" s="151"/>
      <c r="Z22" s="25"/>
      <c r="AA22" s="4"/>
    </row>
    <row r="23" spans="1:27" s="5" customFormat="1" ht="27.75" customHeight="1" x14ac:dyDescent="0.2">
      <c r="A23" s="47"/>
      <c r="B23" s="45"/>
      <c r="C23" s="147" t="s">
        <v>94</v>
      </c>
      <c r="D23" s="147"/>
      <c r="E23" s="147"/>
      <c r="F23" s="147"/>
      <c r="G23" s="48" t="str">
        <f>$J$1</f>
        <v>February</v>
      </c>
      <c r="H23" s="146">
        <f>$K$1</f>
        <v>2024</v>
      </c>
      <c r="I23" s="146"/>
      <c r="J23" s="45"/>
      <c r="K23" s="49"/>
      <c r="L23" s="50"/>
      <c r="M23" s="6"/>
      <c r="N23" s="11"/>
      <c r="O23" s="12" t="s">
        <v>28</v>
      </c>
      <c r="P23" s="12" t="s">
        <v>5</v>
      </c>
      <c r="Q23" s="12" t="s">
        <v>4</v>
      </c>
      <c r="R23" s="12" t="s">
        <v>29</v>
      </c>
      <c r="S23" s="13"/>
      <c r="T23" s="12" t="s">
        <v>28</v>
      </c>
      <c r="U23" s="12" t="s">
        <v>30</v>
      </c>
      <c r="V23" s="12" t="s">
        <v>10</v>
      </c>
      <c r="W23" s="12" t="s">
        <v>9</v>
      </c>
      <c r="X23" s="12" t="s">
        <v>11</v>
      </c>
      <c r="Y23" s="12" t="s">
        <v>34</v>
      </c>
      <c r="Z23" s="14"/>
      <c r="AA23" s="6"/>
    </row>
    <row r="24" spans="1:27" s="5" customFormat="1" ht="27.75" customHeight="1" x14ac:dyDescent="0.2">
      <c r="A24" s="47"/>
      <c r="B24" s="45"/>
      <c r="C24" s="45"/>
      <c r="D24" s="51"/>
      <c r="E24" s="51"/>
      <c r="F24" s="51"/>
      <c r="G24" s="51"/>
      <c r="H24" s="51"/>
      <c r="I24" s="45"/>
      <c r="J24" s="52" t="s">
        <v>1</v>
      </c>
      <c r="K24" s="53">
        <v>6000</v>
      </c>
      <c r="L24" s="54"/>
      <c r="N24" s="15"/>
      <c r="O24" s="16" t="s">
        <v>20</v>
      </c>
      <c r="P24" s="16"/>
      <c r="Q24" s="16"/>
      <c r="R24" s="16"/>
      <c r="S24" s="17"/>
      <c r="T24" s="16" t="s">
        <v>20</v>
      </c>
      <c r="U24" s="18"/>
      <c r="V24" s="18"/>
      <c r="W24" s="18">
        <f>V24+U24</f>
        <v>0</v>
      </c>
      <c r="X24" s="18"/>
      <c r="Y24" s="18">
        <f>W24-X24</f>
        <v>0</v>
      </c>
      <c r="Z24" s="14"/>
    </row>
    <row r="25" spans="1:27" s="5" customFormat="1" ht="27.75" customHeight="1" x14ac:dyDescent="0.2">
      <c r="A25" s="47"/>
      <c r="B25" s="45" t="s">
        <v>0</v>
      </c>
      <c r="C25" s="44" t="s">
        <v>63</v>
      </c>
      <c r="D25" s="45"/>
      <c r="E25" s="45"/>
      <c r="F25" s="45"/>
      <c r="G25" s="45"/>
      <c r="H25" s="55"/>
      <c r="I25" s="51"/>
      <c r="J25" s="45"/>
      <c r="K25" s="45"/>
      <c r="L25" s="56"/>
      <c r="M25" s="4"/>
      <c r="N25" s="19"/>
      <c r="O25" s="16" t="s">
        <v>46</v>
      </c>
      <c r="P25" s="16"/>
      <c r="Q25" s="16"/>
      <c r="R25" s="16"/>
      <c r="S25" s="7"/>
      <c r="T25" s="16" t="s">
        <v>46</v>
      </c>
      <c r="U25" s="29">
        <f>Y24</f>
        <v>0</v>
      </c>
      <c r="V25" s="18">
        <v>1000</v>
      </c>
      <c r="W25" s="29">
        <f>IF(U25="","",U25+V25)</f>
        <v>1000</v>
      </c>
      <c r="X25" s="18">
        <v>1000</v>
      </c>
      <c r="Y25" s="29">
        <f>IF(W25="","",W25-X25)</f>
        <v>0</v>
      </c>
      <c r="Z25" s="20"/>
      <c r="AA25" s="4"/>
    </row>
    <row r="26" spans="1:27" s="5" customFormat="1" ht="27.75" customHeight="1" x14ac:dyDescent="0.2">
      <c r="A26" s="47"/>
      <c r="B26" s="57" t="s">
        <v>16</v>
      </c>
      <c r="C26" s="58"/>
      <c r="D26" s="45"/>
      <c r="E26" s="45"/>
      <c r="F26" s="141" t="s">
        <v>18</v>
      </c>
      <c r="G26" s="143"/>
      <c r="H26" s="45"/>
      <c r="I26" s="141" t="s">
        <v>19</v>
      </c>
      <c r="J26" s="142"/>
      <c r="K26" s="143"/>
      <c r="L26" s="59"/>
      <c r="N26" s="15"/>
      <c r="O26" s="16" t="s">
        <v>21</v>
      </c>
      <c r="P26" s="16"/>
      <c r="Q26" s="16"/>
      <c r="R26" s="16" t="str">
        <f t="shared" ref="R26:R35" si="3">IF(Q26="","",R25-Q26)</f>
        <v/>
      </c>
      <c r="S26" s="7"/>
      <c r="T26" s="16" t="s">
        <v>21</v>
      </c>
      <c r="U26" s="29"/>
      <c r="V26" s="18"/>
      <c r="W26" s="29" t="str">
        <f t="shared" ref="W26:W35" si="4">IF(U26="","",U26+V26)</f>
        <v/>
      </c>
      <c r="X26" s="18"/>
      <c r="Y26" s="29" t="str">
        <f t="shared" ref="Y26:Y35" si="5">IF(W26="","",W26-X26)</f>
        <v/>
      </c>
      <c r="Z26" s="20"/>
    </row>
    <row r="27" spans="1:27" s="5" customFormat="1" ht="27.75" customHeight="1" x14ac:dyDescent="0.2">
      <c r="A27" s="47"/>
      <c r="B27" s="45"/>
      <c r="C27" s="45"/>
      <c r="D27" s="45"/>
      <c r="E27" s="45"/>
      <c r="F27" s="45"/>
      <c r="G27" s="45"/>
      <c r="H27" s="60"/>
      <c r="I27" s="45"/>
      <c r="J27" s="45"/>
      <c r="K27" s="45"/>
      <c r="L27" s="61"/>
      <c r="N27" s="15"/>
      <c r="O27" s="16" t="s">
        <v>22</v>
      </c>
      <c r="P27" s="16"/>
      <c r="Q27" s="16"/>
      <c r="R27" s="16" t="str">
        <f t="shared" si="3"/>
        <v/>
      </c>
      <c r="S27" s="7"/>
      <c r="T27" s="16" t="s">
        <v>22</v>
      </c>
      <c r="U27" s="29"/>
      <c r="V27" s="18"/>
      <c r="W27" s="29">
        <f>V27+U27</f>
        <v>0</v>
      </c>
      <c r="X27" s="18"/>
      <c r="Y27" s="29">
        <f t="shared" si="5"/>
        <v>0</v>
      </c>
      <c r="Z27" s="20"/>
    </row>
    <row r="28" spans="1:27" s="5" customFormat="1" ht="27.75" customHeight="1" x14ac:dyDescent="0.2">
      <c r="A28" s="47"/>
      <c r="B28" s="144" t="s">
        <v>17</v>
      </c>
      <c r="C28" s="145"/>
      <c r="D28" s="45"/>
      <c r="E28" s="45"/>
      <c r="F28" s="62" t="s">
        <v>39</v>
      </c>
      <c r="G28" s="6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60"/>
      <c r="I28" s="64"/>
      <c r="J28" s="65" t="s">
        <v>36</v>
      </c>
      <c r="K28" s="66">
        <v>6000</v>
      </c>
      <c r="L28" s="67"/>
      <c r="N28" s="15"/>
      <c r="O28" s="16" t="s">
        <v>23</v>
      </c>
      <c r="P28" s="16"/>
      <c r="Q28" s="16"/>
      <c r="R28" s="16" t="str">
        <f t="shared" si="3"/>
        <v/>
      </c>
      <c r="S28" s="7"/>
      <c r="T28" s="16" t="s">
        <v>23</v>
      </c>
      <c r="U28" s="29">
        <f>Y27</f>
        <v>0</v>
      </c>
      <c r="V28" s="18"/>
      <c r="W28" s="29">
        <f t="shared" si="4"/>
        <v>0</v>
      </c>
      <c r="X28" s="18"/>
      <c r="Y28" s="29">
        <f t="shared" si="5"/>
        <v>0</v>
      </c>
      <c r="Z28" s="20"/>
    </row>
    <row r="29" spans="1:27" s="5" customFormat="1" ht="27.75" customHeight="1" x14ac:dyDescent="0.2">
      <c r="A29" s="47"/>
      <c r="B29" s="68"/>
      <c r="C29" s="68"/>
      <c r="D29" s="45"/>
      <c r="E29" s="45"/>
      <c r="F29" s="62" t="s">
        <v>10</v>
      </c>
      <c r="G29" s="6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60"/>
      <c r="I29" s="64"/>
      <c r="J29" s="65" t="s">
        <v>37</v>
      </c>
      <c r="K29" s="69">
        <f>K24/$K$2/8*I29</f>
        <v>0</v>
      </c>
      <c r="L29" s="70"/>
      <c r="N29" s="15"/>
      <c r="O29" s="16" t="s">
        <v>24</v>
      </c>
      <c r="P29" s="16"/>
      <c r="Q29" s="16"/>
      <c r="R29" s="16" t="str">
        <f t="shared" si="3"/>
        <v/>
      </c>
      <c r="S29" s="7"/>
      <c r="T29" s="16" t="s">
        <v>24</v>
      </c>
      <c r="U29" s="29">
        <f>Y28</f>
        <v>0</v>
      </c>
      <c r="V29" s="18"/>
      <c r="W29" s="29">
        <f t="shared" si="4"/>
        <v>0</v>
      </c>
      <c r="X29" s="18">
        <v>5000</v>
      </c>
      <c r="Y29" s="29">
        <f t="shared" si="5"/>
        <v>-5000</v>
      </c>
      <c r="Z29" s="20"/>
    </row>
    <row r="30" spans="1:27" s="5" customFormat="1" ht="27.75" customHeight="1" x14ac:dyDescent="0.2">
      <c r="A30" s="47"/>
      <c r="B30" s="62" t="s">
        <v>5</v>
      </c>
      <c r="C30" s="6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2" t="s">
        <v>40</v>
      </c>
      <c r="G30" s="63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60"/>
      <c r="I30" s="136" t="s">
        <v>44</v>
      </c>
      <c r="J30" s="137"/>
      <c r="K30" s="69">
        <f>K28+K29</f>
        <v>6000</v>
      </c>
      <c r="L30" s="70"/>
      <c r="N30" s="15"/>
      <c r="O30" s="16" t="s">
        <v>25</v>
      </c>
      <c r="P30" s="16"/>
      <c r="Q30" s="16"/>
      <c r="R30" s="16" t="str">
        <f t="shared" si="3"/>
        <v/>
      </c>
      <c r="S30" s="7"/>
      <c r="T30" s="16" t="s">
        <v>25</v>
      </c>
      <c r="U30" s="29"/>
      <c r="V30" s="18"/>
      <c r="W30" s="29" t="str">
        <f t="shared" si="4"/>
        <v/>
      </c>
      <c r="X30" s="18"/>
      <c r="Y30" s="29" t="str">
        <f t="shared" si="5"/>
        <v/>
      </c>
      <c r="Z30" s="20"/>
    </row>
    <row r="31" spans="1:27" s="5" customFormat="1" ht="27.75" customHeight="1" x14ac:dyDescent="0.2">
      <c r="A31" s="47"/>
      <c r="B31" s="62" t="s">
        <v>4</v>
      </c>
      <c r="C31" s="6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2" t="s">
        <v>11</v>
      </c>
      <c r="G31" s="6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60"/>
      <c r="I31" s="136" t="s">
        <v>45</v>
      </c>
      <c r="J31" s="137"/>
      <c r="K31" s="63">
        <v>1000</v>
      </c>
      <c r="L31" s="71"/>
      <c r="N31" s="15"/>
      <c r="O31" s="16" t="s">
        <v>26</v>
      </c>
      <c r="P31" s="16"/>
      <c r="Q31" s="16"/>
      <c r="R31" s="16" t="str">
        <f t="shared" si="3"/>
        <v/>
      </c>
      <c r="S31" s="7"/>
      <c r="T31" s="16" t="s">
        <v>26</v>
      </c>
      <c r="U31" s="29"/>
      <c r="V31" s="18"/>
      <c r="W31" s="29" t="str">
        <f t="shared" si="4"/>
        <v/>
      </c>
      <c r="X31" s="18"/>
      <c r="Y31" s="29" t="str">
        <f t="shared" si="5"/>
        <v/>
      </c>
      <c r="Z31" s="20"/>
    </row>
    <row r="32" spans="1:27" s="5" customFormat="1" ht="27.75" customHeight="1" x14ac:dyDescent="0.2">
      <c r="A32" s="47"/>
      <c r="B32" s="62" t="s">
        <v>43</v>
      </c>
      <c r="C32" s="68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45"/>
      <c r="E32" s="45"/>
      <c r="F32" s="62" t="s">
        <v>86</v>
      </c>
      <c r="G32" s="63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45"/>
      <c r="I32" s="141" t="s">
        <v>38</v>
      </c>
      <c r="J32" s="143"/>
      <c r="K32" s="41">
        <f>K30-K31</f>
        <v>5000</v>
      </c>
      <c r="L32" s="72"/>
      <c r="N32" s="15"/>
      <c r="O32" s="16" t="s">
        <v>31</v>
      </c>
      <c r="P32" s="16"/>
      <c r="Q32" s="16"/>
      <c r="R32" s="16">
        <v>0</v>
      </c>
      <c r="S32" s="7"/>
      <c r="T32" s="16" t="s">
        <v>31</v>
      </c>
      <c r="U32" s="29" t="str">
        <f>IF($J$1="September",Y31,"")</f>
        <v/>
      </c>
      <c r="V32" s="18"/>
      <c r="W32" s="29" t="str">
        <f t="shared" si="4"/>
        <v/>
      </c>
      <c r="X32" s="18"/>
      <c r="Y32" s="29" t="str">
        <f t="shared" si="5"/>
        <v/>
      </c>
      <c r="Z32" s="20"/>
    </row>
    <row r="33" spans="1:27" s="5" customFormat="1" ht="27.75" customHeight="1" x14ac:dyDescent="0.2">
      <c r="A33" s="47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9"/>
      <c r="N33" s="15"/>
      <c r="O33" s="16" t="s">
        <v>27</v>
      </c>
      <c r="P33" s="16"/>
      <c r="Q33" s="16"/>
      <c r="R33" s="16">
        <v>0</v>
      </c>
      <c r="S33" s="7"/>
      <c r="T33" s="16" t="s">
        <v>27</v>
      </c>
      <c r="U33" s="29" t="str">
        <f>IF($J$1="October",Y32,"")</f>
        <v/>
      </c>
      <c r="V33" s="18"/>
      <c r="W33" s="29" t="str">
        <f t="shared" si="4"/>
        <v/>
      </c>
      <c r="X33" s="18"/>
      <c r="Y33" s="29" t="str">
        <f t="shared" si="5"/>
        <v/>
      </c>
      <c r="Z33" s="20"/>
    </row>
    <row r="34" spans="1:27" s="5" customFormat="1" ht="27.75" customHeight="1" x14ac:dyDescent="0.3">
      <c r="A34" s="47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59"/>
      <c r="N34" s="15"/>
      <c r="O34" s="16" t="s">
        <v>32</v>
      </c>
      <c r="P34" s="16"/>
      <c r="Q34" s="16"/>
      <c r="R34" s="16" t="str">
        <f t="shared" si="3"/>
        <v/>
      </c>
      <c r="S34" s="7"/>
      <c r="T34" s="16" t="s">
        <v>32</v>
      </c>
      <c r="U34" s="29"/>
      <c r="V34" s="18"/>
      <c r="W34" s="29" t="str">
        <f t="shared" si="4"/>
        <v/>
      </c>
      <c r="X34" s="18"/>
      <c r="Y34" s="29" t="str">
        <f t="shared" si="5"/>
        <v/>
      </c>
      <c r="Z34" s="20"/>
    </row>
    <row r="35" spans="1:27" s="5" customFormat="1" ht="27.75" customHeight="1" thickBot="1" x14ac:dyDescent="0.3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5"/>
      <c r="N35" s="15"/>
      <c r="O35" s="16" t="s">
        <v>33</v>
      </c>
      <c r="P35" s="16"/>
      <c r="Q35" s="16"/>
      <c r="R35" s="16" t="str">
        <f t="shared" si="3"/>
        <v/>
      </c>
      <c r="S35" s="7"/>
      <c r="T35" s="16" t="s">
        <v>33</v>
      </c>
      <c r="U35" s="29"/>
      <c r="V35" s="18"/>
      <c r="W35" s="29" t="str">
        <f t="shared" si="4"/>
        <v/>
      </c>
      <c r="X35" s="18"/>
      <c r="Y35" s="29" t="str">
        <f t="shared" si="5"/>
        <v/>
      </c>
      <c r="Z35" s="20"/>
    </row>
    <row r="36" spans="1:27" s="27" customFormat="1" ht="27.75" customHeight="1" thickBot="1" x14ac:dyDescent="0.2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7" s="5" customFormat="1" ht="27.75" customHeight="1" thickBot="1" x14ac:dyDescent="0.25">
      <c r="A37" s="138" t="s">
        <v>15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40"/>
      <c r="M37" s="4"/>
      <c r="N37" s="8"/>
      <c r="O37" s="133" t="s">
        <v>17</v>
      </c>
      <c r="P37" s="134"/>
      <c r="Q37" s="134"/>
      <c r="R37" s="135"/>
      <c r="S37" s="9"/>
      <c r="T37" s="133" t="s">
        <v>18</v>
      </c>
      <c r="U37" s="134"/>
      <c r="V37" s="134"/>
      <c r="W37" s="134"/>
      <c r="X37" s="134"/>
      <c r="Y37" s="135"/>
      <c r="Z37" s="10"/>
      <c r="AA37" s="4"/>
    </row>
    <row r="38" spans="1:27" s="5" customFormat="1" ht="27.75" customHeight="1" x14ac:dyDescent="0.2">
      <c r="A38" s="47"/>
      <c r="B38" s="45"/>
      <c r="C38" s="147" t="s">
        <v>94</v>
      </c>
      <c r="D38" s="147"/>
      <c r="E38" s="147"/>
      <c r="F38" s="147"/>
      <c r="G38" s="48" t="str">
        <f>$J$1</f>
        <v>February</v>
      </c>
      <c r="H38" s="146">
        <f>$K$1</f>
        <v>2024</v>
      </c>
      <c r="I38" s="146"/>
      <c r="J38" s="45"/>
      <c r="K38" s="49"/>
      <c r="L38" s="50"/>
      <c r="M38" s="6"/>
      <c r="N38" s="11"/>
      <c r="O38" s="12" t="s">
        <v>28</v>
      </c>
      <c r="P38" s="12" t="s">
        <v>5</v>
      </c>
      <c r="Q38" s="12" t="s">
        <v>4</v>
      </c>
      <c r="R38" s="12" t="s">
        <v>29</v>
      </c>
      <c r="S38" s="13"/>
      <c r="T38" s="12" t="s">
        <v>28</v>
      </c>
      <c r="U38" s="12" t="s">
        <v>30</v>
      </c>
      <c r="V38" s="12" t="s">
        <v>10</v>
      </c>
      <c r="W38" s="12" t="s">
        <v>9</v>
      </c>
      <c r="X38" s="12" t="s">
        <v>11</v>
      </c>
      <c r="Y38" s="12" t="s">
        <v>34</v>
      </c>
      <c r="Z38" s="14"/>
      <c r="AA38" s="6"/>
    </row>
    <row r="39" spans="1:27" s="5" customFormat="1" ht="27.75" customHeight="1" x14ac:dyDescent="0.2">
      <c r="A39" s="47"/>
      <c r="B39" s="45"/>
      <c r="C39" s="45"/>
      <c r="D39" s="51"/>
      <c r="E39" s="51"/>
      <c r="F39" s="51"/>
      <c r="G39" s="51"/>
      <c r="H39" s="51"/>
      <c r="I39" s="45"/>
      <c r="J39" s="52" t="s">
        <v>1</v>
      </c>
      <c r="K39" s="53">
        <v>23000</v>
      </c>
      <c r="L39" s="54"/>
      <c r="N39" s="15"/>
      <c r="O39" s="16" t="s">
        <v>20</v>
      </c>
      <c r="P39" s="16"/>
      <c r="Q39" s="16"/>
      <c r="R39" s="16"/>
      <c r="S39" s="17"/>
      <c r="T39" s="16" t="s">
        <v>20</v>
      </c>
      <c r="U39" s="18"/>
      <c r="V39" s="18">
        <v>15000</v>
      </c>
      <c r="W39" s="18">
        <f>V39+U39</f>
        <v>15000</v>
      </c>
      <c r="X39" s="18">
        <v>7000</v>
      </c>
      <c r="Y39" s="18">
        <f>W39-X39</f>
        <v>8000</v>
      </c>
      <c r="Z39" s="14"/>
    </row>
    <row r="40" spans="1:27" s="5" customFormat="1" ht="27.75" customHeight="1" x14ac:dyDescent="0.2">
      <c r="A40" s="47"/>
      <c r="B40" s="45" t="s">
        <v>0</v>
      </c>
      <c r="C40" s="44" t="s">
        <v>71</v>
      </c>
      <c r="D40" s="45"/>
      <c r="E40" s="45"/>
      <c r="F40" s="45"/>
      <c r="G40" s="45"/>
      <c r="H40" s="55"/>
      <c r="I40" s="51"/>
      <c r="J40" s="45"/>
      <c r="K40" s="45"/>
      <c r="L40" s="56"/>
      <c r="M40" s="4"/>
      <c r="N40" s="19"/>
      <c r="O40" s="16" t="s">
        <v>46</v>
      </c>
      <c r="P40" s="16"/>
      <c r="Q40" s="16"/>
      <c r="R40" s="16"/>
      <c r="S40" s="7"/>
      <c r="T40" s="16" t="s">
        <v>46</v>
      </c>
      <c r="U40" s="29">
        <f>Y39</f>
        <v>8000</v>
      </c>
      <c r="V40" s="18"/>
      <c r="W40" s="18">
        <f>V40+U40</f>
        <v>8000</v>
      </c>
      <c r="X40" s="18">
        <v>1000</v>
      </c>
      <c r="Y40" s="29">
        <f>IF(W40="","",W40-X40)</f>
        <v>7000</v>
      </c>
      <c r="Z40" s="20"/>
      <c r="AA40" s="4"/>
    </row>
    <row r="41" spans="1:27" s="5" customFormat="1" ht="27.75" customHeight="1" x14ac:dyDescent="0.2">
      <c r="A41" s="47"/>
      <c r="B41" s="57" t="s">
        <v>16</v>
      </c>
      <c r="C41" s="58"/>
      <c r="D41" s="45"/>
      <c r="E41" s="45"/>
      <c r="F41" s="141" t="s">
        <v>18</v>
      </c>
      <c r="G41" s="143"/>
      <c r="H41" s="45"/>
      <c r="I41" s="141" t="s">
        <v>19</v>
      </c>
      <c r="J41" s="142"/>
      <c r="K41" s="143"/>
      <c r="L41" s="59"/>
      <c r="N41" s="15"/>
      <c r="O41" s="16" t="s">
        <v>21</v>
      </c>
      <c r="P41" s="16"/>
      <c r="Q41" s="16"/>
      <c r="R41" s="16" t="str">
        <f t="shared" ref="R41:R50" si="6">IF(Q41="","",R40-Q41)</f>
        <v/>
      </c>
      <c r="S41" s="7"/>
      <c r="T41" s="16" t="s">
        <v>21</v>
      </c>
      <c r="U41" s="29"/>
      <c r="V41" s="18"/>
      <c r="W41" s="18">
        <f>V41+U41</f>
        <v>0</v>
      </c>
      <c r="X41" s="18"/>
      <c r="Y41" s="29">
        <f t="shared" ref="Y41:Y50" si="7">IF(W41="","",W41-X41)</f>
        <v>0</v>
      </c>
      <c r="Z41" s="20"/>
    </row>
    <row r="42" spans="1:27" s="5" customFormat="1" ht="27.75" customHeight="1" x14ac:dyDescent="0.2">
      <c r="A42" s="47"/>
      <c r="B42" s="45"/>
      <c r="C42" s="45"/>
      <c r="D42" s="45"/>
      <c r="E42" s="45"/>
      <c r="F42" s="45"/>
      <c r="G42" s="45"/>
      <c r="H42" s="60"/>
      <c r="I42" s="45"/>
      <c r="J42" s="45"/>
      <c r="K42" s="45"/>
      <c r="L42" s="61"/>
      <c r="N42" s="15"/>
      <c r="O42" s="16" t="s">
        <v>22</v>
      </c>
      <c r="P42" s="16"/>
      <c r="Q42" s="16"/>
      <c r="R42" s="16" t="str">
        <f t="shared" si="6"/>
        <v/>
      </c>
      <c r="S42" s="7"/>
      <c r="T42" s="16" t="s">
        <v>22</v>
      </c>
      <c r="U42" s="29">
        <f t="shared" ref="U42:U45" si="8">Y41</f>
        <v>0</v>
      </c>
      <c r="V42" s="18"/>
      <c r="W42" s="29">
        <f t="shared" ref="W42:W50" si="9">IF(U42="","",U42+V42)</f>
        <v>0</v>
      </c>
      <c r="X42" s="18"/>
      <c r="Y42" s="29">
        <f t="shared" si="7"/>
        <v>0</v>
      </c>
      <c r="Z42" s="20"/>
    </row>
    <row r="43" spans="1:27" s="5" customFormat="1" ht="27.75" customHeight="1" x14ac:dyDescent="0.2">
      <c r="A43" s="47"/>
      <c r="B43" s="144" t="s">
        <v>17</v>
      </c>
      <c r="C43" s="145"/>
      <c r="D43" s="45"/>
      <c r="E43" s="45"/>
      <c r="F43" s="62" t="s">
        <v>39</v>
      </c>
      <c r="G43" s="6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60"/>
      <c r="I43" s="64">
        <f>IF(C47&gt;=C46,$K$2,C45-C46+C47)</f>
        <v>29</v>
      </c>
      <c r="J43" s="65" t="s">
        <v>36</v>
      </c>
      <c r="K43" s="66">
        <f>K39/$K$2*I43</f>
        <v>23000</v>
      </c>
      <c r="L43" s="67"/>
      <c r="N43" s="15"/>
      <c r="O43" s="16" t="s">
        <v>23</v>
      </c>
      <c r="P43" s="16"/>
      <c r="Q43" s="16"/>
      <c r="R43" s="16" t="str">
        <f t="shared" si="6"/>
        <v/>
      </c>
      <c r="S43" s="7"/>
      <c r="T43" s="16" t="s">
        <v>23</v>
      </c>
      <c r="U43" s="29">
        <f t="shared" si="8"/>
        <v>0</v>
      </c>
      <c r="V43" s="18"/>
      <c r="W43" s="29">
        <f t="shared" si="9"/>
        <v>0</v>
      </c>
      <c r="X43" s="18"/>
      <c r="Y43" s="29">
        <f t="shared" si="7"/>
        <v>0</v>
      </c>
      <c r="Z43" s="20"/>
    </row>
    <row r="44" spans="1:27" s="5" customFormat="1" ht="27.75" customHeight="1" x14ac:dyDescent="0.2">
      <c r="A44" s="47"/>
      <c r="B44" s="68"/>
      <c r="C44" s="68"/>
      <c r="D44" s="45"/>
      <c r="E44" s="45"/>
      <c r="F44" s="62" t="s">
        <v>10</v>
      </c>
      <c r="G44" s="6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60"/>
      <c r="I44" s="64"/>
      <c r="J44" s="65" t="s">
        <v>37</v>
      </c>
      <c r="K44" s="69">
        <f>K39/$K$2/8*I44</f>
        <v>0</v>
      </c>
      <c r="L44" s="70"/>
      <c r="N44" s="15"/>
      <c r="O44" s="16" t="s">
        <v>24</v>
      </c>
      <c r="P44" s="16"/>
      <c r="Q44" s="16"/>
      <c r="R44" s="16">
        <v>0</v>
      </c>
      <c r="S44" s="7"/>
      <c r="T44" s="16" t="s">
        <v>24</v>
      </c>
      <c r="U44" s="29">
        <f t="shared" si="8"/>
        <v>0</v>
      </c>
      <c r="V44" s="18"/>
      <c r="W44" s="29">
        <f t="shared" si="9"/>
        <v>0</v>
      </c>
      <c r="X44" s="18"/>
      <c r="Y44" s="29">
        <f t="shared" si="7"/>
        <v>0</v>
      </c>
      <c r="Z44" s="20"/>
    </row>
    <row r="45" spans="1:27" s="5" customFormat="1" ht="27.75" customHeight="1" x14ac:dyDescent="0.2">
      <c r="A45" s="47"/>
      <c r="B45" s="62" t="s">
        <v>5</v>
      </c>
      <c r="C45" s="68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45"/>
      <c r="E45" s="45"/>
      <c r="F45" s="62" t="s">
        <v>40</v>
      </c>
      <c r="G45" s="63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60"/>
      <c r="I45" s="136" t="s">
        <v>44</v>
      </c>
      <c r="J45" s="137"/>
      <c r="K45" s="69">
        <f>K43+K44</f>
        <v>23000</v>
      </c>
      <c r="L45" s="70"/>
      <c r="N45" s="15"/>
      <c r="O45" s="16" t="s">
        <v>25</v>
      </c>
      <c r="P45" s="16"/>
      <c r="Q45" s="16"/>
      <c r="R45" s="16" t="str">
        <f t="shared" si="6"/>
        <v/>
      </c>
      <c r="S45" s="7"/>
      <c r="T45" s="16" t="s">
        <v>25</v>
      </c>
      <c r="U45" s="29">
        <f t="shared" si="8"/>
        <v>0</v>
      </c>
      <c r="V45" s="18"/>
      <c r="W45" s="29">
        <f t="shared" si="9"/>
        <v>0</v>
      </c>
      <c r="X45" s="18"/>
      <c r="Y45" s="29">
        <f t="shared" si="7"/>
        <v>0</v>
      </c>
      <c r="Z45" s="20"/>
    </row>
    <row r="46" spans="1:27" s="5" customFormat="1" ht="27.75" customHeight="1" x14ac:dyDescent="0.2">
      <c r="A46" s="47"/>
      <c r="B46" s="62" t="s">
        <v>4</v>
      </c>
      <c r="C46" s="68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45"/>
      <c r="E46" s="45"/>
      <c r="F46" s="62" t="s">
        <v>11</v>
      </c>
      <c r="G46" s="6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60"/>
      <c r="I46" s="136" t="s">
        <v>45</v>
      </c>
      <c r="J46" s="137"/>
      <c r="K46" s="63">
        <f>G46</f>
        <v>1000</v>
      </c>
      <c r="L46" s="71"/>
      <c r="N46" s="15"/>
      <c r="O46" s="16" t="s">
        <v>26</v>
      </c>
      <c r="P46" s="16"/>
      <c r="Q46" s="16"/>
      <c r="R46" s="16" t="str">
        <f t="shared" si="6"/>
        <v/>
      </c>
      <c r="S46" s="7"/>
      <c r="T46" s="16" t="s">
        <v>26</v>
      </c>
      <c r="U46" s="29"/>
      <c r="V46" s="18"/>
      <c r="W46" s="29" t="str">
        <f t="shared" si="9"/>
        <v/>
      </c>
      <c r="X46" s="18"/>
      <c r="Y46" s="29" t="str">
        <f t="shared" si="7"/>
        <v/>
      </c>
      <c r="Z46" s="20"/>
    </row>
    <row r="47" spans="1:27" s="5" customFormat="1" ht="27.75" customHeight="1" x14ac:dyDescent="0.2">
      <c r="A47" s="47"/>
      <c r="B47" s="77" t="s">
        <v>43</v>
      </c>
      <c r="C47" s="68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45"/>
      <c r="E47" s="45"/>
      <c r="F47" s="77" t="s">
        <v>86</v>
      </c>
      <c r="G47" s="63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45"/>
      <c r="I47" s="141" t="s">
        <v>38</v>
      </c>
      <c r="J47" s="143"/>
      <c r="K47" s="41">
        <f>K45-K46</f>
        <v>22000</v>
      </c>
      <c r="L47" s="72"/>
      <c r="N47" s="15"/>
      <c r="O47" s="16" t="s">
        <v>31</v>
      </c>
      <c r="P47" s="16"/>
      <c r="Q47" s="16"/>
      <c r="R47" s="16">
        <v>0</v>
      </c>
      <c r="S47" s="7"/>
      <c r="T47" s="16" t="s">
        <v>31</v>
      </c>
      <c r="U47" s="29"/>
      <c r="V47" s="18"/>
      <c r="W47" s="29" t="str">
        <f t="shared" si="9"/>
        <v/>
      </c>
      <c r="X47" s="18"/>
      <c r="Y47" s="29" t="str">
        <f t="shared" si="7"/>
        <v/>
      </c>
      <c r="Z47" s="20"/>
    </row>
    <row r="48" spans="1:27" s="5" customFormat="1" ht="27.75" customHeight="1" x14ac:dyDescent="0.2">
      <c r="A48" s="47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59"/>
      <c r="N48" s="15"/>
      <c r="O48" s="16" t="s">
        <v>27</v>
      </c>
      <c r="P48" s="16"/>
      <c r="Q48" s="16"/>
      <c r="R48" s="16">
        <v>0</v>
      </c>
      <c r="S48" s="7"/>
      <c r="T48" s="16" t="s">
        <v>27</v>
      </c>
      <c r="U48" s="29"/>
      <c r="V48" s="18"/>
      <c r="W48" s="29" t="str">
        <f t="shared" si="9"/>
        <v/>
      </c>
      <c r="X48" s="18"/>
      <c r="Y48" s="29" t="str">
        <f t="shared" si="7"/>
        <v/>
      </c>
      <c r="Z48" s="20"/>
    </row>
    <row r="49" spans="1:27" s="5" customFormat="1" ht="27.75" customHeight="1" x14ac:dyDescent="0.3">
      <c r="A49" s="4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59"/>
      <c r="N49" s="15"/>
      <c r="O49" s="16" t="s">
        <v>32</v>
      </c>
      <c r="P49" s="16"/>
      <c r="Q49" s="16"/>
      <c r="R49" s="16" t="str">
        <f t="shared" si="6"/>
        <v/>
      </c>
      <c r="S49" s="7"/>
      <c r="T49" s="16" t="s">
        <v>32</v>
      </c>
      <c r="U49" s="29"/>
      <c r="V49" s="18"/>
      <c r="W49" s="29" t="str">
        <f t="shared" si="9"/>
        <v/>
      </c>
      <c r="X49" s="18"/>
      <c r="Y49" s="29" t="str">
        <f t="shared" si="7"/>
        <v/>
      </c>
      <c r="Z49" s="20"/>
    </row>
    <row r="50" spans="1:27" s="5" customFormat="1" ht="27.75" customHeight="1" thickBot="1" x14ac:dyDescent="0.35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5"/>
      <c r="N50" s="15"/>
      <c r="O50" s="16" t="s">
        <v>33</v>
      </c>
      <c r="P50" s="16"/>
      <c r="Q50" s="16"/>
      <c r="R50" s="16" t="str">
        <f t="shared" si="6"/>
        <v/>
      </c>
      <c r="S50" s="7"/>
      <c r="T50" s="16" t="s">
        <v>33</v>
      </c>
      <c r="U50" s="29"/>
      <c r="V50" s="18"/>
      <c r="W50" s="29" t="str">
        <f t="shared" si="9"/>
        <v/>
      </c>
      <c r="X50" s="18"/>
      <c r="Y50" s="29" t="str">
        <f t="shared" si="7"/>
        <v/>
      </c>
      <c r="Z50" s="20"/>
    </row>
    <row r="51" spans="1:27" s="27" customFormat="1" ht="18" customHeight="1" thickBot="1" x14ac:dyDescent="0.2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7" s="5" customFormat="1" ht="18" customHeight="1" thickBot="1" x14ac:dyDescent="0.25">
      <c r="A52" s="138" t="s">
        <v>15</v>
      </c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40"/>
      <c r="M52" s="4"/>
      <c r="N52" s="8"/>
      <c r="O52" s="133" t="s">
        <v>17</v>
      </c>
      <c r="P52" s="134"/>
      <c r="Q52" s="134"/>
      <c r="R52" s="135"/>
      <c r="S52" s="9"/>
      <c r="T52" s="133" t="s">
        <v>18</v>
      </c>
      <c r="U52" s="134"/>
      <c r="V52" s="134"/>
      <c r="W52" s="134"/>
      <c r="X52" s="134"/>
      <c r="Y52" s="135"/>
      <c r="Z52" s="10"/>
      <c r="AA52" s="4"/>
    </row>
    <row r="53" spans="1:27" s="5" customFormat="1" ht="18" customHeight="1" x14ac:dyDescent="0.2">
      <c r="A53" s="47"/>
      <c r="B53" s="45"/>
      <c r="C53" s="147" t="s">
        <v>94</v>
      </c>
      <c r="D53" s="147"/>
      <c r="E53" s="147"/>
      <c r="F53" s="147"/>
      <c r="G53" s="48" t="str">
        <f>$J$1</f>
        <v>February</v>
      </c>
      <c r="H53" s="146">
        <f>$K$1</f>
        <v>2024</v>
      </c>
      <c r="I53" s="146"/>
      <c r="J53" s="45"/>
      <c r="K53" s="49"/>
      <c r="L53" s="50"/>
      <c r="M53" s="6"/>
      <c r="N53" s="11"/>
      <c r="O53" s="12" t="s">
        <v>28</v>
      </c>
      <c r="P53" s="12" t="s">
        <v>5</v>
      </c>
      <c r="Q53" s="12" t="s">
        <v>4</v>
      </c>
      <c r="R53" s="12" t="s">
        <v>29</v>
      </c>
      <c r="S53" s="13"/>
      <c r="T53" s="12" t="s">
        <v>28</v>
      </c>
      <c r="U53" s="12" t="s">
        <v>30</v>
      </c>
      <c r="V53" s="12" t="s">
        <v>10</v>
      </c>
      <c r="W53" s="12" t="s">
        <v>9</v>
      </c>
      <c r="X53" s="12" t="s">
        <v>11</v>
      </c>
      <c r="Y53" s="12" t="s">
        <v>34</v>
      </c>
      <c r="Z53" s="14"/>
      <c r="AA53" s="6"/>
    </row>
    <row r="54" spans="1:27" s="5" customFormat="1" ht="18" customHeight="1" x14ac:dyDescent="0.2">
      <c r="A54" s="47"/>
      <c r="B54" s="45"/>
      <c r="C54" s="45"/>
      <c r="D54" s="51"/>
      <c r="E54" s="51"/>
      <c r="F54" s="51"/>
      <c r="G54" s="51"/>
      <c r="H54" s="51"/>
      <c r="I54" s="45"/>
      <c r="J54" s="52" t="s">
        <v>1</v>
      </c>
      <c r="K54" s="53">
        <f>40000+5000+2000</f>
        <v>47000</v>
      </c>
      <c r="L54" s="54"/>
      <c r="N54" s="15"/>
      <c r="O54" s="16" t="s">
        <v>20</v>
      </c>
      <c r="P54" s="16">
        <v>28</v>
      </c>
      <c r="Q54" s="16">
        <v>3</v>
      </c>
      <c r="R54" s="16">
        <f>15-Q54</f>
        <v>12</v>
      </c>
      <c r="S54" s="17"/>
      <c r="T54" s="16" t="s">
        <v>20</v>
      </c>
      <c r="U54" s="18"/>
      <c r="V54" s="18"/>
      <c r="W54" s="18">
        <f>V54+U54</f>
        <v>0</v>
      </c>
      <c r="X54" s="18"/>
      <c r="Y54" s="18">
        <f>W54-X54</f>
        <v>0</v>
      </c>
      <c r="Z54" s="14"/>
    </row>
    <row r="55" spans="1:27" s="5" customFormat="1" ht="18" customHeight="1" x14ac:dyDescent="0.2">
      <c r="A55" s="47"/>
      <c r="B55" s="45" t="s">
        <v>0</v>
      </c>
      <c r="C55" s="44" t="s">
        <v>53</v>
      </c>
      <c r="D55" s="45"/>
      <c r="E55" s="45"/>
      <c r="F55" s="45"/>
      <c r="G55" s="45"/>
      <c r="H55" s="55"/>
      <c r="I55" s="51"/>
      <c r="J55" s="45"/>
      <c r="K55" s="45"/>
      <c r="L55" s="56"/>
      <c r="M55" s="4"/>
      <c r="N55" s="19"/>
      <c r="O55" s="16" t="s">
        <v>46</v>
      </c>
      <c r="P55" s="16">
        <v>29</v>
      </c>
      <c r="Q55" s="16">
        <v>0</v>
      </c>
      <c r="R55" s="16">
        <f t="shared" ref="R55:R65" si="10">IF(Q55="","",R54-Q55)</f>
        <v>12</v>
      </c>
      <c r="S55" s="7"/>
      <c r="T55" s="16" t="s">
        <v>46</v>
      </c>
      <c r="U55" s="29">
        <f t="shared" ref="U55:U60" si="11">Y54</f>
        <v>0</v>
      </c>
      <c r="V55" s="18"/>
      <c r="W55" s="29">
        <f>IF(U55="","",U55+V55)</f>
        <v>0</v>
      </c>
      <c r="X55" s="18"/>
      <c r="Y55" s="29">
        <f>IF(W55="","",W55-X55)</f>
        <v>0</v>
      </c>
      <c r="Z55" s="20"/>
      <c r="AA55" s="4"/>
    </row>
    <row r="56" spans="1:27" s="5" customFormat="1" ht="18" customHeight="1" x14ac:dyDescent="0.2">
      <c r="A56" s="47"/>
      <c r="B56" s="57" t="s">
        <v>16</v>
      </c>
      <c r="C56" s="58"/>
      <c r="D56" s="45"/>
      <c r="E56" s="45"/>
      <c r="F56" s="141" t="s">
        <v>18</v>
      </c>
      <c r="G56" s="143"/>
      <c r="H56" s="45"/>
      <c r="I56" s="141" t="s">
        <v>19</v>
      </c>
      <c r="J56" s="142"/>
      <c r="K56" s="143"/>
      <c r="L56" s="59"/>
      <c r="N56" s="15"/>
      <c r="O56" s="16" t="s">
        <v>21</v>
      </c>
      <c r="P56" s="16"/>
      <c r="Q56" s="16"/>
      <c r="R56" s="16" t="str">
        <f t="shared" si="10"/>
        <v/>
      </c>
      <c r="S56" s="7"/>
      <c r="T56" s="16" t="s">
        <v>21</v>
      </c>
      <c r="U56" s="29">
        <f t="shared" si="11"/>
        <v>0</v>
      </c>
      <c r="V56" s="18"/>
      <c r="W56" s="29">
        <f t="shared" ref="W56:W65" si="12">IF(U56="","",U56+V56)</f>
        <v>0</v>
      </c>
      <c r="X56" s="18"/>
      <c r="Y56" s="29">
        <f t="shared" ref="Y56:Y65" si="13">IF(W56="","",W56-X56)</f>
        <v>0</v>
      </c>
      <c r="Z56" s="20"/>
    </row>
    <row r="57" spans="1:27" s="5" customFormat="1" ht="18" customHeight="1" x14ac:dyDescent="0.2">
      <c r="A57" s="47"/>
      <c r="B57" s="45"/>
      <c r="C57" s="45"/>
      <c r="D57" s="45"/>
      <c r="E57" s="45"/>
      <c r="F57" s="45"/>
      <c r="G57" s="45"/>
      <c r="H57" s="60"/>
      <c r="I57" s="45"/>
      <c r="J57" s="45"/>
      <c r="K57" s="45"/>
      <c r="L57" s="61"/>
      <c r="N57" s="15"/>
      <c r="O57" s="16" t="s">
        <v>22</v>
      </c>
      <c r="P57" s="16"/>
      <c r="Q57" s="16"/>
      <c r="R57" s="16" t="str">
        <f t="shared" si="10"/>
        <v/>
      </c>
      <c r="S57" s="7"/>
      <c r="T57" s="16" t="s">
        <v>22</v>
      </c>
      <c r="U57" s="29">
        <f t="shared" si="11"/>
        <v>0</v>
      </c>
      <c r="V57" s="18"/>
      <c r="W57" s="29">
        <f t="shared" si="12"/>
        <v>0</v>
      </c>
      <c r="X57" s="18"/>
      <c r="Y57" s="29">
        <f t="shared" si="13"/>
        <v>0</v>
      </c>
      <c r="Z57" s="20"/>
    </row>
    <row r="58" spans="1:27" s="5" customFormat="1" ht="18" customHeight="1" x14ac:dyDescent="0.2">
      <c r="A58" s="47"/>
      <c r="B58" s="144" t="s">
        <v>17</v>
      </c>
      <c r="C58" s="145"/>
      <c r="D58" s="45"/>
      <c r="E58" s="45"/>
      <c r="F58" s="62" t="s">
        <v>39</v>
      </c>
      <c r="G58" s="6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60"/>
      <c r="I58" s="64">
        <f>IF(C62&gt;0,$K$2,C60)</f>
        <v>29</v>
      </c>
      <c r="J58" s="65" t="s">
        <v>36</v>
      </c>
      <c r="K58" s="66">
        <f>K54/$K$2*I58</f>
        <v>47000</v>
      </c>
      <c r="L58" s="67"/>
      <c r="N58" s="15"/>
      <c r="O58" s="16" t="s">
        <v>23</v>
      </c>
      <c r="P58" s="16"/>
      <c r="Q58" s="16"/>
      <c r="R58" s="16" t="str">
        <f t="shared" si="10"/>
        <v/>
      </c>
      <c r="S58" s="7"/>
      <c r="T58" s="16" t="s">
        <v>23</v>
      </c>
      <c r="U58" s="29">
        <f t="shared" si="11"/>
        <v>0</v>
      </c>
      <c r="V58" s="18"/>
      <c r="W58" s="29">
        <f t="shared" si="12"/>
        <v>0</v>
      </c>
      <c r="X58" s="18"/>
      <c r="Y58" s="29">
        <f t="shared" si="13"/>
        <v>0</v>
      </c>
      <c r="Z58" s="20"/>
    </row>
    <row r="59" spans="1:27" s="5" customFormat="1" ht="18" customHeight="1" x14ac:dyDescent="0.2">
      <c r="A59" s="47"/>
      <c r="B59" s="68"/>
      <c r="C59" s="68"/>
      <c r="D59" s="45"/>
      <c r="E59" s="45"/>
      <c r="F59" s="62" t="s">
        <v>10</v>
      </c>
      <c r="G59" s="6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60"/>
      <c r="I59" s="64"/>
      <c r="J59" s="65" t="s">
        <v>37</v>
      </c>
      <c r="K59" s="69">
        <f>K54/$K$2/8*I59</f>
        <v>0</v>
      </c>
      <c r="L59" s="70"/>
      <c r="N59" s="15"/>
      <c r="O59" s="16" t="s">
        <v>24</v>
      </c>
      <c r="P59" s="16"/>
      <c r="Q59" s="16"/>
      <c r="R59" s="16" t="str">
        <f t="shared" si="10"/>
        <v/>
      </c>
      <c r="S59" s="7"/>
      <c r="T59" s="16" t="s">
        <v>24</v>
      </c>
      <c r="U59" s="29">
        <f t="shared" si="11"/>
        <v>0</v>
      </c>
      <c r="V59" s="18"/>
      <c r="W59" s="29">
        <f t="shared" si="12"/>
        <v>0</v>
      </c>
      <c r="X59" s="18"/>
      <c r="Y59" s="29">
        <f t="shared" si="13"/>
        <v>0</v>
      </c>
      <c r="Z59" s="20"/>
    </row>
    <row r="60" spans="1:27" s="5" customFormat="1" ht="18" customHeight="1" x14ac:dyDescent="0.2">
      <c r="A60" s="47"/>
      <c r="B60" s="62" t="s">
        <v>5</v>
      </c>
      <c r="C60" s="68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45"/>
      <c r="E60" s="45"/>
      <c r="F60" s="62" t="s">
        <v>40</v>
      </c>
      <c r="G60" s="63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60"/>
      <c r="I60" s="136" t="s">
        <v>44</v>
      </c>
      <c r="J60" s="137"/>
      <c r="K60" s="69">
        <f>K58+K59</f>
        <v>47000</v>
      </c>
      <c r="L60" s="70"/>
      <c r="N60" s="15"/>
      <c r="O60" s="16" t="s">
        <v>25</v>
      </c>
      <c r="P60" s="16"/>
      <c r="Q60" s="16"/>
      <c r="R60" s="16" t="str">
        <f t="shared" si="10"/>
        <v/>
      </c>
      <c r="S60" s="7"/>
      <c r="T60" s="16" t="s">
        <v>25</v>
      </c>
      <c r="U60" s="29">
        <f t="shared" si="11"/>
        <v>0</v>
      </c>
      <c r="V60" s="18"/>
      <c r="W60" s="29">
        <f t="shared" si="12"/>
        <v>0</v>
      </c>
      <c r="X60" s="18"/>
      <c r="Y60" s="29">
        <f t="shared" si="13"/>
        <v>0</v>
      </c>
      <c r="Z60" s="20"/>
    </row>
    <row r="61" spans="1:27" s="5" customFormat="1" ht="18" customHeight="1" x14ac:dyDescent="0.2">
      <c r="A61" s="47"/>
      <c r="B61" s="62" t="s">
        <v>4</v>
      </c>
      <c r="C61" s="68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45"/>
      <c r="E61" s="45"/>
      <c r="F61" s="62" t="s">
        <v>11</v>
      </c>
      <c r="G61" s="6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60"/>
      <c r="I61" s="136" t="s">
        <v>45</v>
      </c>
      <c r="J61" s="137"/>
      <c r="K61" s="63">
        <f>G61</f>
        <v>0</v>
      </c>
      <c r="L61" s="71"/>
      <c r="N61" s="15"/>
      <c r="O61" s="16" t="s">
        <v>26</v>
      </c>
      <c r="P61" s="16"/>
      <c r="Q61" s="16"/>
      <c r="R61" s="16" t="str">
        <f t="shared" si="10"/>
        <v/>
      </c>
      <c r="S61" s="7"/>
      <c r="T61" s="16" t="s">
        <v>26</v>
      </c>
      <c r="U61" s="29">
        <f>Y60</f>
        <v>0</v>
      </c>
      <c r="V61" s="18"/>
      <c r="W61" s="29">
        <f t="shared" si="12"/>
        <v>0</v>
      </c>
      <c r="X61" s="18"/>
      <c r="Y61" s="29">
        <f t="shared" si="13"/>
        <v>0</v>
      </c>
      <c r="Z61" s="20"/>
    </row>
    <row r="62" spans="1:27" s="5" customFormat="1" ht="18" customHeight="1" x14ac:dyDescent="0.2">
      <c r="A62" s="47"/>
      <c r="B62" s="77" t="s">
        <v>43</v>
      </c>
      <c r="C62" s="68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45"/>
      <c r="E62" s="45"/>
      <c r="F62" s="77" t="s">
        <v>86</v>
      </c>
      <c r="G62" s="63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45"/>
      <c r="I62" s="141" t="s">
        <v>38</v>
      </c>
      <c r="J62" s="143"/>
      <c r="K62" s="41">
        <f>K60-K61</f>
        <v>47000</v>
      </c>
      <c r="L62" s="72"/>
      <c r="N62" s="15"/>
      <c r="O62" s="16" t="s">
        <v>31</v>
      </c>
      <c r="P62" s="16"/>
      <c r="Q62" s="16"/>
      <c r="R62" s="16" t="str">
        <f t="shared" si="10"/>
        <v/>
      </c>
      <c r="S62" s="7"/>
      <c r="T62" s="16" t="s">
        <v>31</v>
      </c>
      <c r="U62" s="29">
        <v>0</v>
      </c>
      <c r="V62" s="18"/>
      <c r="W62" s="29">
        <f t="shared" si="12"/>
        <v>0</v>
      </c>
      <c r="X62" s="18"/>
      <c r="Y62" s="29">
        <f t="shared" si="13"/>
        <v>0</v>
      </c>
      <c r="Z62" s="20"/>
    </row>
    <row r="63" spans="1:27" s="5" customFormat="1" ht="18" customHeight="1" x14ac:dyDescent="0.2">
      <c r="A63" s="47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59"/>
      <c r="N63" s="15"/>
      <c r="O63" s="16" t="s">
        <v>27</v>
      </c>
      <c r="P63" s="16"/>
      <c r="Q63" s="16"/>
      <c r="R63" s="16" t="str">
        <f t="shared" si="10"/>
        <v/>
      </c>
      <c r="S63" s="7"/>
      <c r="T63" s="16" t="s">
        <v>27</v>
      </c>
      <c r="U63" s="29">
        <f>Y62</f>
        <v>0</v>
      </c>
      <c r="V63" s="18"/>
      <c r="W63" s="29">
        <f t="shared" si="12"/>
        <v>0</v>
      </c>
      <c r="X63" s="18"/>
      <c r="Y63" s="29">
        <f t="shared" si="13"/>
        <v>0</v>
      </c>
      <c r="Z63" s="20"/>
    </row>
    <row r="64" spans="1:27" s="5" customFormat="1" ht="18" customHeight="1" x14ac:dyDescent="0.3">
      <c r="A64" s="47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59"/>
      <c r="N64" s="15"/>
      <c r="O64" s="16" t="s">
        <v>32</v>
      </c>
      <c r="P64" s="16"/>
      <c r="Q64" s="16"/>
      <c r="R64" s="16"/>
      <c r="S64" s="7"/>
      <c r="T64" s="16" t="s">
        <v>32</v>
      </c>
      <c r="U64" s="29">
        <f>Y63</f>
        <v>0</v>
      </c>
      <c r="V64" s="18"/>
      <c r="W64" s="29">
        <f t="shared" si="12"/>
        <v>0</v>
      </c>
      <c r="X64" s="18"/>
      <c r="Y64" s="29">
        <f t="shared" si="13"/>
        <v>0</v>
      </c>
      <c r="Z64" s="20"/>
    </row>
    <row r="65" spans="1:26" s="5" customFormat="1" ht="18" customHeight="1" thickBot="1" x14ac:dyDescent="0.35">
      <c r="A65" s="73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5"/>
      <c r="N65" s="15"/>
      <c r="O65" s="16" t="s">
        <v>33</v>
      </c>
      <c r="P65" s="16"/>
      <c r="Q65" s="16"/>
      <c r="R65" s="16" t="str">
        <f t="shared" si="10"/>
        <v/>
      </c>
      <c r="S65" s="7"/>
      <c r="T65" s="16" t="s">
        <v>33</v>
      </c>
      <c r="U65" s="29">
        <f>Y64</f>
        <v>0</v>
      </c>
      <c r="V65" s="18"/>
      <c r="W65" s="29">
        <f t="shared" si="12"/>
        <v>0</v>
      </c>
      <c r="X65" s="18"/>
      <c r="Y65" s="29">
        <f t="shared" si="13"/>
        <v>0</v>
      </c>
      <c r="Z65" s="20"/>
    </row>
    <row r="66" spans="1:26" s="27" customFormat="1" ht="18" customHeight="1" thickBot="1" x14ac:dyDescent="0.25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s="5" customFormat="1" ht="18" customHeight="1" thickBot="1" x14ac:dyDescent="0.25">
      <c r="A67" s="138" t="s">
        <v>15</v>
      </c>
      <c r="B67" s="139"/>
      <c r="C67" s="139"/>
      <c r="D67" s="139"/>
      <c r="E67" s="139"/>
      <c r="F67" s="139"/>
      <c r="G67" s="139"/>
      <c r="H67" s="139"/>
      <c r="I67" s="139"/>
      <c r="J67" s="139"/>
      <c r="K67" s="139"/>
      <c r="L67" s="140"/>
      <c r="M67" s="4"/>
      <c r="N67" s="8"/>
      <c r="O67" s="133" t="s">
        <v>17</v>
      </c>
      <c r="P67" s="134"/>
      <c r="Q67" s="134"/>
      <c r="R67" s="135"/>
      <c r="S67" s="9"/>
      <c r="T67" s="133" t="s">
        <v>18</v>
      </c>
      <c r="U67" s="134"/>
      <c r="V67" s="134"/>
      <c r="W67" s="134"/>
      <c r="X67" s="134"/>
      <c r="Y67" s="135"/>
      <c r="Z67" s="10"/>
    </row>
    <row r="68" spans="1:26" s="5" customFormat="1" ht="18" customHeight="1" x14ac:dyDescent="0.2">
      <c r="A68" s="47"/>
      <c r="B68" s="45"/>
      <c r="C68" s="147" t="s">
        <v>94</v>
      </c>
      <c r="D68" s="147"/>
      <c r="E68" s="147"/>
      <c r="F68" s="147"/>
      <c r="G68" s="48" t="str">
        <f>$J$1</f>
        <v>February</v>
      </c>
      <c r="H68" s="146">
        <f>$K$1</f>
        <v>2024</v>
      </c>
      <c r="I68" s="146"/>
      <c r="J68" s="45"/>
      <c r="K68" s="49"/>
      <c r="L68" s="50"/>
      <c r="M68" s="6"/>
      <c r="N68" s="11"/>
      <c r="O68" s="12" t="s">
        <v>28</v>
      </c>
      <c r="P68" s="12" t="s">
        <v>5</v>
      </c>
      <c r="Q68" s="12" t="s">
        <v>4</v>
      </c>
      <c r="R68" s="12" t="s">
        <v>29</v>
      </c>
      <c r="S68" s="13"/>
      <c r="T68" s="12" t="s">
        <v>28</v>
      </c>
      <c r="U68" s="12" t="s">
        <v>30</v>
      </c>
      <c r="V68" s="12" t="s">
        <v>10</v>
      </c>
      <c r="W68" s="12" t="s">
        <v>9</v>
      </c>
      <c r="X68" s="12" t="s">
        <v>11</v>
      </c>
      <c r="Y68" s="12" t="s">
        <v>34</v>
      </c>
      <c r="Z68" s="14"/>
    </row>
    <row r="69" spans="1:26" s="5" customFormat="1" ht="18" customHeight="1" x14ac:dyDescent="0.2">
      <c r="A69" s="47"/>
      <c r="B69" s="45"/>
      <c r="C69" s="45"/>
      <c r="D69" s="51"/>
      <c r="E69" s="51"/>
      <c r="F69" s="51"/>
      <c r="G69" s="51"/>
      <c r="H69" s="51"/>
      <c r="I69" s="45"/>
      <c r="J69" s="52" t="s">
        <v>1</v>
      </c>
      <c r="K69" s="53">
        <f>50000+15000+15000</f>
        <v>80000</v>
      </c>
      <c r="L69" s="54"/>
      <c r="N69" s="15"/>
      <c r="O69" s="16" t="s">
        <v>20</v>
      </c>
      <c r="P69" s="16">
        <v>31</v>
      </c>
      <c r="Q69" s="16">
        <v>0</v>
      </c>
      <c r="R69" s="16">
        <v>0</v>
      </c>
      <c r="S69" s="17"/>
      <c r="T69" s="16" t="s">
        <v>20</v>
      </c>
      <c r="U69" s="18">
        <v>40000</v>
      </c>
      <c r="V69" s="18">
        <v>4000</v>
      </c>
      <c r="W69" s="18">
        <f>V69+U69</f>
        <v>44000</v>
      </c>
      <c r="X69" s="18">
        <v>4000</v>
      </c>
      <c r="Y69" s="18">
        <f>W69-X69</f>
        <v>40000</v>
      </c>
      <c r="Z69" s="14"/>
    </row>
    <row r="70" spans="1:26" s="5" customFormat="1" ht="18" customHeight="1" x14ac:dyDescent="0.2">
      <c r="A70" s="47"/>
      <c r="B70" s="45" t="s">
        <v>0</v>
      </c>
      <c r="C70" s="44" t="s">
        <v>77</v>
      </c>
      <c r="D70" s="45"/>
      <c r="E70" s="45"/>
      <c r="F70" s="45"/>
      <c r="G70" s="45"/>
      <c r="H70" s="55"/>
      <c r="I70" s="51"/>
      <c r="J70" s="45"/>
      <c r="K70" s="45"/>
      <c r="L70" s="56"/>
      <c r="M70" s="4"/>
      <c r="N70" s="19"/>
      <c r="O70" s="16" t="s">
        <v>46</v>
      </c>
      <c r="P70" s="16">
        <v>29</v>
      </c>
      <c r="Q70" s="16">
        <v>0</v>
      </c>
      <c r="R70" s="16">
        <v>0</v>
      </c>
      <c r="S70" s="7"/>
      <c r="T70" s="16" t="s">
        <v>46</v>
      </c>
      <c r="U70" s="29">
        <f>Y69</f>
        <v>40000</v>
      </c>
      <c r="V70" s="18"/>
      <c r="W70" s="29">
        <f>IF(U70="","",U70+V70)</f>
        <v>40000</v>
      </c>
      <c r="X70" s="18">
        <v>3000</v>
      </c>
      <c r="Y70" s="29">
        <f>IF(W70="","",W70-X70)</f>
        <v>37000</v>
      </c>
      <c r="Z70" s="20"/>
    </row>
    <row r="71" spans="1:26" s="5" customFormat="1" ht="18" customHeight="1" x14ac:dyDescent="0.2">
      <c r="A71" s="47"/>
      <c r="B71" s="57"/>
      <c r="C71" s="58"/>
      <c r="D71" s="45"/>
      <c r="E71" s="45"/>
      <c r="F71" s="141" t="s">
        <v>18</v>
      </c>
      <c r="G71" s="143"/>
      <c r="H71" s="45"/>
      <c r="I71" s="141" t="s">
        <v>19</v>
      </c>
      <c r="J71" s="142"/>
      <c r="K71" s="143"/>
      <c r="L71" s="59"/>
      <c r="N71" s="15"/>
      <c r="O71" s="16" t="s">
        <v>21</v>
      </c>
      <c r="P71" s="99"/>
      <c r="Q71" s="99"/>
      <c r="R71" s="16">
        <v>0</v>
      </c>
      <c r="S71" s="7"/>
      <c r="T71" s="16" t="s">
        <v>21</v>
      </c>
      <c r="U71" s="29"/>
      <c r="V71" s="18"/>
      <c r="W71" s="29" t="str">
        <f t="shared" ref="W71:W80" si="14">IF(U71="","",U71+V71)</f>
        <v/>
      </c>
      <c r="X71" s="18"/>
      <c r="Y71" s="29" t="str">
        <f t="shared" ref="Y71:Y80" si="15">IF(W71="","",W71-X71)</f>
        <v/>
      </c>
      <c r="Z71" s="20"/>
    </row>
    <row r="72" spans="1:26" s="5" customFormat="1" ht="18" customHeight="1" x14ac:dyDescent="0.2">
      <c r="A72" s="47"/>
      <c r="B72" s="45"/>
      <c r="C72" s="45"/>
      <c r="D72" s="45"/>
      <c r="E72" s="45"/>
      <c r="F72" s="45"/>
      <c r="G72" s="45"/>
      <c r="H72" s="60"/>
      <c r="I72" s="45"/>
      <c r="J72" s="45"/>
      <c r="K72" s="45"/>
      <c r="L72" s="61"/>
      <c r="N72" s="15"/>
      <c r="O72" s="16" t="s">
        <v>22</v>
      </c>
      <c r="P72" s="16"/>
      <c r="Q72" s="16"/>
      <c r="R72" s="16">
        <v>0</v>
      </c>
      <c r="S72" s="7"/>
      <c r="T72" s="16" t="s">
        <v>22</v>
      </c>
      <c r="U72" s="29" t="str">
        <f>IF($J$1="March","",Y71)</f>
        <v/>
      </c>
      <c r="V72" s="18"/>
      <c r="W72" s="29" t="str">
        <f t="shared" si="14"/>
        <v/>
      </c>
      <c r="X72" s="18"/>
      <c r="Y72" s="29" t="str">
        <f t="shared" si="15"/>
        <v/>
      </c>
      <c r="Z72" s="20"/>
    </row>
    <row r="73" spans="1:26" s="5" customFormat="1" ht="18" customHeight="1" x14ac:dyDescent="0.2">
      <c r="A73" s="47"/>
      <c r="B73" s="144" t="s">
        <v>17</v>
      </c>
      <c r="C73" s="145"/>
      <c r="D73" s="45"/>
      <c r="E73" s="45"/>
      <c r="F73" s="62" t="s">
        <v>39</v>
      </c>
      <c r="G73" s="6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60"/>
      <c r="I73" s="64">
        <f>IF(C77&gt;0,$K$2,C75)</f>
        <v>29</v>
      </c>
      <c r="J73" s="65" t="s">
        <v>36</v>
      </c>
      <c r="K73" s="66">
        <f>K69/$K$2*I73</f>
        <v>80000</v>
      </c>
      <c r="L73" s="67"/>
      <c r="N73" s="15"/>
      <c r="O73" s="16" t="s">
        <v>23</v>
      </c>
      <c r="P73" s="16"/>
      <c r="Q73" s="16"/>
      <c r="R73" s="16">
        <v>0</v>
      </c>
      <c r="S73" s="7"/>
      <c r="T73" s="16" t="s">
        <v>23</v>
      </c>
      <c r="U73" s="29" t="str">
        <f>IF($J$1="April","",Y72)</f>
        <v/>
      </c>
      <c r="V73" s="18"/>
      <c r="W73" s="29" t="str">
        <f t="shared" si="14"/>
        <v/>
      </c>
      <c r="X73" s="18"/>
      <c r="Y73" s="29" t="str">
        <f t="shared" si="15"/>
        <v/>
      </c>
      <c r="Z73" s="20"/>
    </row>
    <row r="74" spans="1:26" s="5" customFormat="1" ht="18" customHeight="1" x14ac:dyDescent="0.2">
      <c r="A74" s="47"/>
      <c r="B74" s="68"/>
      <c r="C74" s="68"/>
      <c r="D74" s="45"/>
      <c r="E74" s="45"/>
      <c r="F74" s="62" t="s">
        <v>10</v>
      </c>
      <c r="G74" s="6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60"/>
      <c r="I74" s="64"/>
      <c r="J74" s="65" t="s">
        <v>37</v>
      </c>
      <c r="K74" s="69">
        <f>K69/$K$2/8*I74</f>
        <v>0</v>
      </c>
      <c r="L74" s="70"/>
      <c r="N74" s="15"/>
      <c r="O74" s="16" t="s">
        <v>24</v>
      </c>
      <c r="P74" s="16"/>
      <c r="Q74" s="16"/>
      <c r="R74" s="16">
        <v>0</v>
      </c>
      <c r="S74" s="7"/>
      <c r="T74" s="16" t="s">
        <v>24</v>
      </c>
      <c r="U74" s="29"/>
      <c r="V74" s="18"/>
      <c r="W74" s="29">
        <f>V74+U74</f>
        <v>0</v>
      </c>
      <c r="X74" s="18"/>
      <c r="Y74" s="29">
        <f t="shared" si="15"/>
        <v>0</v>
      </c>
      <c r="Z74" s="20"/>
    </row>
    <row r="75" spans="1:26" s="5" customFormat="1" ht="18" customHeight="1" x14ac:dyDescent="0.2">
      <c r="A75" s="47"/>
      <c r="B75" s="62" t="s">
        <v>5</v>
      </c>
      <c r="C75" s="68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45"/>
      <c r="E75" s="45"/>
      <c r="F75" s="62" t="s">
        <v>40</v>
      </c>
      <c r="G75" s="6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60"/>
      <c r="I75" s="136" t="s">
        <v>44</v>
      </c>
      <c r="J75" s="137"/>
      <c r="K75" s="69">
        <f>K73+K74</f>
        <v>80000</v>
      </c>
      <c r="L75" s="70"/>
      <c r="N75" s="15"/>
      <c r="O75" s="16" t="s">
        <v>25</v>
      </c>
      <c r="P75" s="16"/>
      <c r="Q75" s="16"/>
      <c r="R75" s="16">
        <v>0</v>
      </c>
      <c r="S75" s="7"/>
      <c r="T75" s="16" t="s">
        <v>25</v>
      </c>
      <c r="U75" s="29">
        <f>IF($J$1="June","",Y74)</f>
        <v>0</v>
      </c>
      <c r="V75" s="18"/>
      <c r="W75" s="29">
        <f t="shared" si="14"/>
        <v>0</v>
      </c>
      <c r="X75" s="18"/>
      <c r="Y75" s="29">
        <f t="shared" si="15"/>
        <v>0</v>
      </c>
      <c r="Z75" s="20"/>
    </row>
    <row r="76" spans="1:26" s="5" customFormat="1" ht="18" customHeight="1" x14ac:dyDescent="0.2">
      <c r="A76" s="47"/>
      <c r="B76" s="62" t="s">
        <v>4</v>
      </c>
      <c r="C76" s="68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45"/>
      <c r="E76" s="45"/>
      <c r="F76" s="62" t="s">
        <v>11</v>
      </c>
      <c r="G76" s="6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60"/>
      <c r="I76" s="136" t="s">
        <v>45</v>
      </c>
      <c r="J76" s="137"/>
      <c r="K76" s="63">
        <f>G76</f>
        <v>3000</v>
      </c>
      <c r="L76" s="71"/>
      <c r="N76" s="15"/>
      <c r="O76" s="16" t="s">
        <v>26</v>
      </c>
      <c r="P76" s="16"/>
      <c r="Q76" s="16"/>
      <c r="R76" s="16">
        <v>0</v>
      </c>
      <c r="S76" s="7"/>
      <c r="T76" s="16" t="s">
        <v>26</v>
      </c>
      <c r="U76" s="29">
        <f>IF($J$1="July","",Y75)</f>
        <v>0</v>
      </c>
      <c r="V76" s="18"/>
      <c r="W76" s="29">
        <f t="shared" si="14"/>
        <v>0</v>
      </c>
      <c r="X76" s="18"/>
      <c r="Y76" s="29">
        <f t="shared" si="15"/>
        <v>0</v>
      </c>
      <c r="Z76" s="20"/>
    </row>
    <row r="77" spans="1:26" s="5" customFormat="1" ht="18" customHeight="1" x14ac:dyDescent="0.2">
      <c r="A77" s="47"/>
      <c r="B77" s="77" t="s">
        <v>43</v>
      </c>
      <c r="C77" s="68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45"/>
      <c r="E77" s="45"/>
      <c r="F77" s="77" t="s">
        <v>86</v>
      </c>
      <c r="G77" s="6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45"/>
      <c r="I77" s="141" t="s">
        <v>38</v>
      </c>
      <c r="J77" s="143"/>
      <c r="K77" s="41">
        <f>K75-K76</f>
        <v>77000</v>
      </c>
      <c r="L77" s="72"/>
      <c r="N77" s="15"/>
      <c r="O77" s="16" t="s">
        <v>31</v>
      </c>
      <c r="P77" s="16"/>
      <c r="Q77" s="16"/>
      <c r="R77" s="16">
        <v>0</v>
      </c>
      <c r="S77" s="7"/>
      <c r="T77" s="16" t="s">
        <v>31</v>
      </c>
      <c r="U77" s="29">
        <f>Y76</f>
        <v>0</v>
      </c>
      <c r="V77" s="18"/>
      <c r="W77" s="29">
        <f t="shared" si="14"/>
        <v>0</v>
      </c>
      <c r="X77" s="18"/>
      <c r="Y77" s="29">
        <f t="shared" si="15"/>
        <v>0</v>
      </c>
      <c r="Z77" s="20"/>
    </row>
    <row r="78" spans="1:26" s="5" customFormat="1" ht="18" customHeight="1" x14ac:dyDescent="0.2">
      <c r="A78" s="47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59"/>
      <c r="N78" s="15"/>
      <c r="O78" s="16" t="s">
        <v>27</v>
      </c>
      <c r="P78" s="16"/>
      <c r="Q78" s="16"/>
      <c r="R78" s="16">
        <v>0</v>
      </c>
      <c r="S78" s="7"/>
      <c r="T78" s="16" t="s">
        <v>27</v>
      </c>
      <c r="U78" s="29">
        <f>Y77</f>
        <v>0</v>
      </c>
      <c r="V78" s="18"/>
      <c r="W78" s="29">
        <f t="shared" si="14"/>
        <v>0</v>
      </c>
      <c r="X78" s="18"/>
      <c r="Y78" s="29">
        <f t="shared" si="15"/>
        <v>0</v>
      </c>
      <c r="Z78" s="20"/>
    </row>
    <row r="79" spans="1:26" s="5" customFormat="1" ht="18" customHeight="1" x14ac:dyDescent="0.3">
      <c r="A79" s="47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59"/>
      <c r="N79" s="15"/>
      <c r="O79" s="16" t="s">
        <v>32</v>
      </c>
      <c r="P79" s="16"/>
      <c r="Q79" s="16"/>
      <c r="R79" s="16">
        <v>0</v>
      </c>
      <c r="S79" s="7"/>
      <c r="T79" s="16" t="s">
        <v>32</v>
      </c>
      <c r="U79" s="29">
        <f>Y78</f>
        <v>0</v>
      </c>
      <c r="V79" s="18"/>
      <c r="W79" s="29">
        <f t="shared" si="14"/>
        <v>0</v>
      </c>
      <c r="X79" s="18"/>
      <c r="Y79" s="29">
        <f t="shared" si="15"/>
        <v>0</v>
      </c>
      <c r="Z79" s="20"/>
    </row>
    <row r="80" spans="1:26" s="5" customFormat="1" ht="18" customHeight="1" thickBot="1" x14ac:dyDescent="0.35">
      <c r="A80" s="73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5"/>
      <c r="N80" s="15"/>
      <c r="O80" s="16" t="s">
        <v>33</v>
      </c>
      <c r="P80" s="16"/>
      <c r="Q80" s="16"/>
      <c r="R80" s="16">
        <v>0</v>
      </c>
      <c r="S80" s="7"/>
      <c r="T80" s="16" t="s">
        <v>33</v>
      </c>
      <c r="U80" s="29">
        <f>Y79</f>
        <v>0</v>
      </c>
      <c r="V80" s="18"/>
      <c r="W80" s="29">
        <f t="shared" si="14"/>
        <v>0</v>
      </c>
      <c r="X80" s="18"/>
      <c r="Y80" s="29">
        <f t="shared" si="15"/>
        <v>0</v>
      </c>
      <c r="Z80" s="20"/>
    </row>
    <row r="81" spans="1:27" s="27" customFormat="1" ht="18" customHeight="1" thickBot="1" x14ac:dyDescent="0.25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7" s="5" customFormat="1" ht="18" customHeight="1" thickBot="1" x14ac:dyDescent="0.25">
      <c r="A82" s="138" t="s">
        <v>15</v>
      </c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40"/>
      <c r="M82" s="4"/>
      <c r="N82" s="8"/>
      <c r="O82" s="133" t="s">
        <v>17</v>
      </c>
      <c r="P82" s="134"/>
      <c r="Q82" s="134"/>
      <c r="R82" s="135"/>
      <c r="S82" s="9"/>
      <c r="T82" s="133" t="s">
        <v>18</v>
      </c>
      <c r="U82" s="134"/>
      <c r="V82" s="134"/>
      <c r="W82" s="134"/>
      <c r="X82" s="134"/>
      <c r="Y82" s="135"/>
      <c r="Z82" s="10"/>
      <c r="AA82" s="4"/>
    </row>
    <row r="83" spans="1:27" s="5" customFormat="1" ht="18" customHeight="1" x14ac:dyDescent="0.2">
      <c r="A83" s="47"/>
      <c r="B83" s="45"/>
      <c r="C83" s="147" t="s">
        <v>94</v>
      </c>
      <c r="D83" s="147"/>
      <c r="E83" s="147"/>
      <c r="F83" s="147"/>
      <c r="G83" s="48" t="str">
        <f>$J$1</f>
        <v>February</v>
      </c>
      <c r="H83" s="146">
        <f>$K$1</f>
        <v>2024</v>
      </c>
      <c r="I83" s="146"/>
      <c r="J83" s="45"/>
      <c r="K83" s="49"/>
      <c r="L83" s="50"/>
      <c r="M83" s="6"/>
      <c r="N83" s="11"/>
      <c r="O83" s="12" t="s">
        <v>28</v>
      </c>
      <c r="P83" s="12" t="s">
        <v>5</v>
      </c>
      <c r="Q83" s="12" t="s">
        <v>4</v>
      </c>
      <c r="R83" s="12" t="s">
        <v>29</v>
      </c>
      <c r="S83" s="13"/>
      <c r="T83" s="12" t="s">
        <v>28</v>
      </c>
      <c r="U83" s="12" t="s">
        <v>30</v>
      </c>
      <c r="V83" s="12" t="s">
        <v>10</v>
      </c>
      <c r="W83" s="12" t="s">
        <v>9</v>
      </c>
      <c r="X83" s="12" t="s">
        <v>11</v>
      </c>
      <c r="Y83" s="12" t="s">
        <v>34</v>
      </c>
      <c r="Z83" s="14"/>
      <c r="AA83" s="6"/>
    </row>
    <row r="84" spans="1:27" s="5" customFormat="1" ht="18" customHeight="1" x14ac:dyDescent="0.2">
      <c r="A84" s="47"/>
      <c r="B84" s="45"/>
      <c r="C84" s="45"/>
      <c r="D84" s="51"/>
      <c r="E84" s="51"/>
      <c r="F84" s="51"/>
      <c r="G84" s="51"/>
      <c r="H84" s="51"/>
      <c r="I84" s="45"/>
      <c r="J84" s="52" t="s">
        <v>1</v>
      </c>
      <c r="K84" s="53">
        <f>45000+5000+20000</f>
        <v>70000</v>
      </c>
      <c r="L84" s="54"/>
      <c r="N84" s="15"/>
      <c r="O84" s="16" t="s">
        <v>20</v>
      </c>
      <c r="P84" s="16"/>
      <c r="Q84" s="16"/>
      <c r="R84" s="16">
        <f>15-Q84</f>
        <v>15</v>
      </c>
      <c r="S84" s="17"/>
      <c r="T84" s="16" t="s">
        <v>20</v>
      </c>
      <c r="U84" s="18"/>
      <c r="V84" s="18"/>
      <c r="W84" s="18">
        <f>V84+U84</f>
        <v>0</v>
      </c>
      <c r="X84" s="18"/>
      <c r="Y84" s="18">
        <f>W84-X84</f>
        <v>0</v>
      </c>
      <c r="Z84" s="14"/>
    </row>
    <row r="85" spans="1:27" s="5" customFormat="1" ht="18" customHeight="1" x14ac:dyDescent="0.2">
      <c r="A85" s="47"/>
      <c r="B85" s="45" t="s">
        <v>0</v>
      </c>
      <c r="C85" s="44" t="s">
        <v>49</v>
      </c>
      <c r="D85" s="45"/>
      <c r="E85" s="45"/>
      <c r="F85" s="45"/>
      <c r="G85" s="45"/>
      <c r="H85" s="55"/>
      <c r="I85" s="51"/>
      <c r="J85" s="45"/>
      <c r="K85" s="45"/>
      <c r="L85" s="56"/>
      <c r="M85" s="4"/>
      <c r="N85" s="19"/>
      <c r="O85" s="16" t="s">
        <v>46</v>
      </c>
      <c r="P85" s="16">
        <v>28</v>
      </c>
      <c r="Q85" s="16">
        <v>1</v>
      </c>
      <c r="R85" s="16">
        <f t="shared" ref="R85:R95" si="16">IF(Q85="","",R84-Q85)</f>
        <v>14</v>
      </c>
      <c r="S85" s="7"/>
      <c r="T85" s="16" t="s">
        <v>46</v>
      </c>
      <c r="U85" s="29">
        <f t="shared" ref="U85:U90" si="17">Y84</f>
        <v>0</v>
      </c>
      <c r="V85" s="18"/>
      <c r="W85" s="29">
        <f>IF(U85="","",U85+V85)</f>
        <v>0</v>
      </c>
      <c r="X85" s="18"/>
      <c r="Y85" s="29">
        <f>IF(W85="","",W85-X85)</f>
        <v>0</v>
      </c>
      <c r="Z85" s="20"/>
      <c r="AA85" s="4"/>
    </row>
    <row r="86" spans="1:27" s="5" customFormat="1" ht="18" customHeight="1" x14ac:dyDescent="0.2">
      <c r="A86" s="47"/>
      <c r="B86" s="57" t="s">
        <v>16</v>
      </c>
      <c r="C86" s="58"/>
      <c r="D86" s="45"/>
      <c r="E86" s="45"/>
      <c r="F86" s="141" t="s">
        <v>18</v>
      </c>
      <c r="G86" s="143"/>
      <c r="H86" s="45"/>
      <c r="I86" s="141" t="s">
        <v>19</v>
      </c>
      <c r="J86" s="142"/>
      <c r="K86" s="143"/>
      <c r="L86" s="59"/>
      <c r="N86" s="15"/>
      <c r="O86" s="16" t="s">
        <v>21</v>
      </c>
      <c r="P86" s="16"/>
      <c r="Q86" s="16"/>
      <c r="R86" s="16" t="str">
        <f t="shared" si="16"/>
        <v/>
      </c>
      <c r="S86" s="7"/>
      <c r="T86" s="16" t="s">
        <v>21</v>
      </c>
      <c r="U86" s="29">
        <f t="shared" si="17"/>
        <v>0</v>
      </c>
      <c r="V86" s="18"/>
      <c r="W86" s="29">
        <f t="shared" ref="W86:W95" si="18">IF(U86="","",U86+V86)</f>
        <v>0</v>
      </c>
      <c r="X86" s="18"/>
      <c r="Y86" s="29">
        <f t="shared" ref="Y86:Y95" si="19">IF(W86="","",W86-X86)</f>
        <v>0</v>
      </c>
      <c r="Z86" s="20"/>
    </row>
    <row r="87" spans="1:27" s="5" customFormat="1" ht="18" customHeight="1" x14ac:dyDescent="0.2">
      <c r="A87" s="47"/>
      <c r="B87" s="45"/>
      <c r="C87" s="45"/>
      <c r="D87" s="45"/>
      <c r="E87" s="45"/>
      <c r="F87" s="45"/>
      <c r="G87" s="45"/>
      <c r="H87" s="60"/>
      <c r="I87" s="45"/>
      <c r="J87" s="45"/>
      <c r="K87" s="45"/>
      <c r="L87" s="61"/>
      <c r="N87" s="15"/>
      <c r="O87" s="16" t="s">
        <v>22</v>
      </c>
      <c r="P87" s="16"/>
      <c r="Q87" s="16"/>
      <c r="R87" s="16" t="str">
        <f t="shared" si="16"/>
        <v/>
      </c>
      <c r="S87" s="7"/>
      <c r="T87" s="16" t="s">
        <v>22</v>
      </c>
      <c r="U87" s="29">
        <f t="shared" si="17"/>
        <v>0</v>
      </c>
      <c r="V87" s="18"/>
      <c r="W87" s="29">
        <f t="shared" si="18"/>
        <v>0</v>
      </c>
      <c r="X87" s="18"/>
      <c r="Y87" s="29">
        <f t="shared" si="19"/>
        <v>0</v>
      </c>
      <c r="Z87" s="20"/>
    </row>
    <row r="88" spans="1:27" s="5" customFormat="1" ht="18" customHeight="1" x14ac:dyDescent="0.2">
      <c r="A88" s="47"/>
      <c r="B88" s="144" t="s">
        <v>17</v>
      </c>
      <c r="C88" s="145"/>
      <c r="D88" s="45"/>
      <c r="E88" s="45"/>
      <c r="F88" s="62" t="s">
        <v>39</v>
      </c>
      <c r="G88" s="6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60"/>
      <c r="I88" s="64">
        <f>IF(C92&gt;0,$K$2,C90)</f>
        <v>29</v>
      </c>
      <c r="J88" s="65" t="s">
        <v>36</v>
      </c>
      <c r="K88" s="66">
        <f>K84/$K$2*I88</f>
        <v>70000</v>
      </c>
      <c r="L88" s="67"/>
      <c r="N88" s="15"/>
      <c r="O88" s="16" t="s">
        <v>23</v>
      </c>
      <c r="P88" s="16"/>
      <c r="Q88" s="16"/>
      <c r="R88" s="16" t="str">
        <f t="shared" si="16"/>
        <v/>
      </c>
      <c r="S88" s="7"/>
      <c r="T88" s="16" t="s">
        <v>23</v>
      </c>
      <c r="U88" s="29">
        <f t="shared" si="17"/>
        <v>0</v>
      </c>
      <c r="V88" s="18"/>
      <c r="W88" s="29">
        <f t="shared" si="18"/>
        <v>0</v>
      </c>
      <c r="X88" s="18"/>
      <c r="Y88" s="29">
        <f t="shared" si="19"/>
        <v>0</v>
      </c>
      <c r="Z88" s="20"/>
    </row>
    <row r="89" spans="1:27" s="5" customFormat="1" ht="18" customHeight="1" x14ac:dyDescent="0.2">
      <c r="A89" s="47"/>
      <c r="B89" s="68"/>
      <c r="C89" s="68"/>
      <c r="D89" s="45"/>
      <c r="E89" s="45"/>
      <c r="F89" s="62" t="s">
        <v>10</v>
      </c>
      <c r="G89" s="6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60"/>
      <c r="I89" s="64">
        <v>43</v>
      </c>
      <c r="J89" s="65" t="s">
        <v>37</v>
      </c>
      <c r="K89" s="69">
        <f>K84/$K$2/8*I89</f>
        <v>12974.137931034482</v>
      </c>
      <c r="L89" s="70"/>
      <c r="N89" s="15"/>
      <c r="O89" s="16" t="s">
        <v>24</v>
      </c>
      <c r="P89" s="16"/>
      <c r="Q89" s="16"/>
      <c r="R89" s="16" t="str">
        <f t="shared" si="16"/>
        <v/>
      </c>
      <c r="S89" s="7"/>
      <c r="T89" s="16" t="s">
        <v>24</v>
      </c>
      <c r="U89" s="29">
        <f t="shared" si="17"/>
        <v>0</v>
      </c>
      <c r="V89" s="18"/>
      <c r="W89" s="29">
        <f t="shared" si="18"/>
        <v>0</v>
      </c>
      <c r="X89" s="18"/>
      <c r="Y89" s="29">
        <f t="shared" si="19"/>
        <v>0</v>
      </c>
      <c r="Z89" s="20"/>
    </row>
    <row r="90" spans="1:27" s="5" customFormat="1" ht="18" customHeight="1" x14ac:dyDescent="0.2">
      <c r="A90" s="47"/>
      <c r="B90" s="62" t="s">
        <v>5</v>
      </c>
      <c r="C90" s="68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45"/>
      <c r="E90" s="45"/>
      <c r="F90" s="62" t="s">
        <v>40</v>
      </c>
      <c r="G90" s="6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60"/>
      <c r="I90" s="136" t="s">
        <v>44</v>
      </c>
      <c r="J90" s="137"/>
      <c r="K90" s="69">
        <f>K88+K89</f>
        <v>82974.137931034478</v>
      </c>
      <c r="L90" s="70"/>
      <c r="N90" s="15"/>
      <c r="O90" s="16" t="s">
        <v>25</v>
      </c>
      <c r="P90" s="16"/>
      <c r="Q90" s="16"/>
      <c r="R90" s="16" t="str">
        <f t="shared" si="16"/>
        <v/>
      </c>
      <c r="S90" s="7"/>
      <c r="T90" s="16" t="s">
        <v>25</v>
      </c>
      <c r="U90" s="29">
        <f t="shared" si="17"/>
        <v>0</v>
      </c>
      <c r="V90" s="18"/>
      <c r="W90" s="29">
        <f t="shared" si="18"/>
        <v>0</v>
      </c>
      <c r="X90" s="18"/>
      <c r="Y90" s="29">
        <f t="shared" si="19"/>
        <v>0</v>
      </c>
      <c r="Z90" s="20"/>
    </row>
    <row r="91" spans="1:27" s="5" customFormat="1" ht="18" customHeight="1" x14ac:dyDescent="0.2">
      <c r="A91" s="47"/>
      <c r="B91" s="62" t="s">
        <v>4</v>
      </c>
      <c r="C91" s="68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45"/>
      <c r="E91" s="45"/>
      <c r="F91" s="62" t="s">
        <v>11</v>
      </c>
      <c r="G91" s="6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60"/>
      <c r="I91" s="136" t="s">
        <v>45</v>
      </c>
      <c r="J91" s="137"/>
      <c r="K91" s="63">
        <f>G91</f>
        <v>0</v>
      </c>
      <c r="L91" s="71"/>
      <c r="N91" s="15"/>
      <c r="O91" s="16" t="s">
        <v>26</v>
      </c>
      <c r="P91" s="16"/>
      <c r="Q91" s="16"/>
      <c r="R91" s="16" t="str">
        <f t="shared" si="16"/>
        <v/>
      </c>
      <c r="S91" s="7"/>
      <c r="T91" s="16" t="s">
        <v>26</v>
      </c>
      <c r="U91" s="29">
        <f>Y90</f>
        <v>0</v>
      </c>
      <c r="V91" s="18"/>
      <c r="W91" s="29">
        <f t="shared" si="18"/>
        <v>0</v>
      </c>
      <c r="X91" s="18"/>
      <c r="Y91" s="29">
        <f t="shared" si="19"/>
        <v>0</v>
      </c>
      <c r="Z91" s="20"/>
    </row>
    <row r="92" spans="1:27" s="5" customFormat="1" ht="18" customHeight="1" x14ac:dyDescent="0.2">
      <c r="A92" s="47"/>
      <c r="B92" s="77" t="s">
        <v>43</v>
      </c>
      <c r="C92" s="68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45"/>
      <c r="E92" s="45"/>
      <c r="F92" s="77" t="s">
        <v>86</v>
      </c>
      <c r="G92" s="6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45"/>
      <c r="I92" s="141" t="s">
        <v>38</v>
      </c>
      <c r="J92" s="143"/>
      <c r="K92" s="41">
        <f>K90-K91</f>
        <v>82974.137931034478</v>
      </c>
      <c r="L92" s="72"/>
      <c r="N92" s="15"/>
      <c r="O92" s="16" t="s">
        <v>31</v>
      </c>
      <c r="P92" s="16"/>
      <c r="Q92" s="16"/>
      <c r="R92" s="16" t="str">
        <f t="shared" si="16"/>
        <v/>
      </c>
      <c r="S92" s="7"/>
      <c r="T92" s="16" t="s">
        <v>31</v>
      </c>
      <c r="U92" s="29">
        <f>Y91</f>
        <v>0</v>
      </c>
      <c r="V92" s="18"/>
      <c r="W92" s="29">
        <f t="shared" si="18"/>
        <v>0</v>
      </c>
      <c r="X92" s="18"/>
      <c r="Y92" s="29">
        <f t="shared" si="19"/>
        <v>0</v>
      </c>
      <c r="Z92" s="20"/>
    </row>
    <row r="93" spans="1:27" s="5" customFormat="1" ht="18" customHeight="1" x14ac:dyDescent="0.2">
      <c r="A93" s="47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59"/>
      <c r="N93" s="15"/>
      <c r="O93" s="16" t="s">
        <v>27</v>
      </c>
      <c r="P93" s="16"/>
      <c r="Q93" s="16"/>
      <c r="R93" s="16" t="str">
        <f t="shared" si="16"/>
        <v/>
      </c>
      <c r="S93" s="7"/>
      <c r="T93" s="16" t="s">
        <v>27</v>
      </c>
      <c r="U93" s="29">
        <f>Y92</f>
        <v>0</v>
      </c>
      <c r="V93" s="18"/>
      <c r="W93" s="29">
        <f t="shared" si="18"/>
        <v>0</v>
      </c>
      <c r="X93" s="18"/>
      <c r="Y93" s="29">
        <f t="shared" si="19"/>
        <v>0</v>
      </c>
      <c r="Z93" s="20"/>
    </row>
    <row r="94" spans="1:27" s="5" customFormat="1" ht="18" customHeight="1" x14ac:dyDescent="0.3">
      <c r="A94" s="47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59"/>
      <c r="N94" s="15"/>
      <c r="O94" s="16" t="s">
        <v>32</v>
      </c>
      <c r="P94" s="16"/>
      <c r="Q94" s="16"/>
      <c r="R94" s="16" t="str">
        <f t="shared" si="16"/>
        <v/>
      </c>
      <c r="S94" s="7"/>
      <c r="T94" s="16" t="s">
        <v>32</v>
      </c>
      <c r="U94" s="29">
        <f>Y93</f>
        <v>0</v>
      </c>
      <c r="V94" s="18"/>
      <c r="W94" s="29">
        <f t="shared" si="18"/>
        <v>0</v>
      </c>
      <c r="X94" s="18"/>
      <c r="Y94" s="29">
        <f t="shared" si="19"/>
        <v>0</v>
      </c>
      <c r="Z94" s="20"/>
    </row>
    <row r="95" spans="1:27" s="5" customFormat="1" ht="18" customHeight="1" thickBot="1" x14ac:dyDescent="0.35">
      <c r="A95" s="73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5"/>
      <c r="N95" s="15"/>
      <c r="O95" s="16" t="s">
        <v>33</v>
      </c>
      <c r="P95" s="16"/>
      <c r="Q95" s="16"/>
      <c r="R95" s="16" t="str">
        <f t="shared" si="16"/>
        <v/>
      </c>
      <c r="S95" s="7"/>
      <c r="T95" s="16" t="s">
        <v>33</v>
      </c>
      <c r="U95" s="29">
        <f>Y94</f>
        <v>0</v>
      </c>
      <c r="V95" s="18"/>
      <c r="W95" s="29">
        <f t="shared" si="18"/>
        <v>0</v>
      </c>
      <c r="X95" s="18"/>
      <c r="Y95" s="29">
        <f t="shared" si="19"/>
        <v>0</v>
      </c>
      <c r="Z95" s="20"/>
    </row>
    <row r="96" spans="1:27" s="27" customFormat="1" ht="18" customHeight="1" thickBot="1" x14ac:dyDescent="0.2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7" s="5" customFormat="1" ht="18" customHeight="1" thickBot="1" x14ac:dyDescent="0.25">
      <c r="A97" s="138" t="s">
        <v>15</v>
      </c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40"/>
      <c r="M97" s="4"/>
      <c r="N97" s="8"/>
      <c r="O97" s="133" t="s">
        <v>17</v>
      </c>
      <c r="P97" s="134"/>
      <c r="Q97" s="134"/>
      <c r="R97" s="135"/>
      <c r="S97" s="9"/>
      <c r="T97" s="133" t="s">
        <v>18</v>
      </c>
      <c r="U97" s="134"/>
      <c r="V97" s="134"/>
      <c r="W97" s="134"/>
      <c r="X97" s="134"/>
      <c r="Y97" s="135"/>
      <c r="Z97" s="10"/>
    </row>
    <row r="98" spans="1:27" s="5" customFormat="1" ht="18" customHeight="1" x14ac:dyDescent="0.2">
      <c r="A98" s="47"/>
      <c r="B98" s="45"/>
      <c r="C98" s="147" t="s">
        <v>94</v>
      </c>
      <c r="D98" s="147"/>
      <c r="E98" s="147"/>
      <c r="F98" s="147"/>
      <c r="G98" s="48" t="str">
        <f>$J$1</f>
        <v>February</v>
      </c>
      <c r="H98" s="146">
        <f>$K$1</f>
        <v>2024</v>
      </c>
      <c r="I98" s="146"/>
      <c r="J98" s="45"/>
      <c r="K98" s="49"/>
      <c r="L98" s="50"/>
      <c r="M98" s="6"/>
      <c r="N98" s="11"/>
      <c r="O98" s="12" t="s">
        <v>28</v>
      </c>
      <c r="P98" s="12" t="s">
        <v>5</v>
      </c>
      <c r="Q98" s="12" t="s">
        <v>4</v>
      </c>
      <c r="R98" s="12" t="s">
        <v>29</v>
      </c>
      <c r="S98" s="13"/>
      <c r="T98" s="12" t="s">
        <v>28</v>
      </c>
      <c r="U98" s="12" t="s">
        <v>30</v>
      </c>
      <c r="V98" s="12" t="s">
        <v>10</v>
      </c>
      <c r="W98" s="12" t="s">
        <v>9</v>
      </c>
      <c r="X98" s="12" t="s">
        <v>11</v>
      </c>
      <c r="Y98" s="12" t="s">
        <v>34</v>
      </c>
      <c r="Z98" s="14"/>
    </row>
    <row r="99" spans="1:27" s="5" customFormat="1" ht="18" customHeight="1" x14ac:dyDescent="0.2">
      <c r="A99" s="47"/>
      <c r="B99" s="45"/>
      <c r="C99" s="45"/>
      <c r="D99" s="51"/>
      <c r="E99" s="51"/>
      <c r="F99" s="51"/>
      <c r="G99" s="51"/>
      <c r="H99" s="51"/>
      <c r="I99" s="45"/>
      <c r="J99" s="52" t="s">
        <v>1</v>
      </c>
      <c r="K99" s="53">
        <f>38000+3000</f>
        <v>41000</v>
      </c>
      <c r="L99" s="54"/>
      <c r="N99" s="15"/>
      <c r="O99" s="16" t="s">
        <v>20</v>
      </c>
      <c r="P99" s="16">
        <v>29</v>
      </c>
      <c r="Q99" s="16">
        <v>2</v>
      </c>
      <c r="R99" s="16">
        <f>5-Q99</f>
        <v>3</v>
      </c>
      <c r="S99" s="17"/>
      <c r="T99" s="16" t="s">
        <v>20</v>
      </c>
      <c r="U99" s="18">
        <v>35000</v>
      </c>
      <c r="V99" s="18"/>
      <c r="W99" s="18">
        <f>V99+U99</f>
        <v>35000</v>
      </c>
      <c r="X99" s="18"/>
      <c r="Y99" s="18">
        <f>W99-X99</f>
        <v>35000</v>
      </c>
      <c r="Z99" s="14"/>
    </row>
    <row r="100" spans="1:27" s="5" customFormat="1" ht="18" customHeight="1" x14ac:dyDescent="0.2">
      <c r="A100" s="47"/>
      <c r="B100" s="45" t="s">
        <v>0</v>
      </c>
      <c r="C100" s="44" t="s">
        <v>75</v>
      </c>
      <c r="D100" s="45"/>
      <c r="E100" s="45"/>
      <c r="F100" s="45"/>
      <c r="G100" s="45"/>
      <c r="H100" s="55"/>
      <c r="I100" s="51"/>
      <c r="J100" s="45"/>
      <c r="K100" s="45"/>
      <c r="L100" s="56"/>
      <c r="M100" s="4"/>
      <c r="N100" s="19"/>
      <c r="O100" s="16" t="s">
        <v>46</v>
      </c>
      <c r="P100" s="16">
        <v>28</v>
      </c>
      <c r="Q100" s="16">
        <v>1</v>
      </c>
      <c r="R100" s="16">
        <f t="shared" ref="R100" si="20">IF(Q100="","",R99-Q100)</f>
        <v>2</v>
      </c>
      <c r="S100" s="7"/>
      <c r="T100" s="16" t="s">
        <v>46</v>
      </c>
      <c r="U100" s="29">
        <f>Y99</f>
        <v>35000</v>
      </c>
      <c r="V100" s="18"/>
      <c r="W100" s="29">
        <f>IF(U100="","",U100+V100)</f>
        <v>35000</v>
      </c>
      <c r="X100" s="18"/>
      <c r="Y100" s="29">
        <f>IF(W100="","",W100-X100)</f>
        <v>35000</v>
      </c>
      <c r="Z100" s="20"/>
    </row>
    <row r="101" spans="1:27" s="5" customFormat="1" ht="18" customHeight="1" x14ac:dyDescent="0.2">
      <c r="A101" s="47"/>
      <c r="B101" s="57" t="s">
        <v>16</v>
      </c>
      <c r="C101" s="58"/>
      <c r="D101" s="45"/>
      <c r="E101" s="45"/>
      <c r="F101" s="141" t="s">
        <v>18</v>
      </c>
      <c r="G101" s="143"/>
      <c r="H101" s="45"/>
      <c r="I101" s="141" t="s">
        <v>19</v>
      </c>
      <c r="J101" s="142"/>
      <c r="K101" s="143"/>
      <c r="L101" s="59"/>
      <c r="N101" s="15"/>
      <c r="O101" s="16" t="s">
        <v>21</v>
      </c>
      <c r="P101" s="16"/>
      <c r="Q101" s="16"/>
      <c r="R101" s="16">
        <v>0</v>
      </c>
      <c r="S101" s="7"/>
      <c r="T101" s="16" t="s">
        <v>21</v>
      </c>
      <c r="U101" s="29"/>
      <c r="V101" s="18"/>
      <c r="W101" s="29" t="str">
        <f t="shared" ref="W101:W110" si="21">IF(U101="","",U101+V101)</f>
        <v/>
      </c>
      <c r="X101" s="18"/>
      <c r="Y101" s="29" t="str">
        <f t="shared" ref="Y101:Y110" si="22">IF(W101="","",W101-X101)</f>
        <v/>
      </c>
      <c r="Z101" s="20"/>
    </row>
    <row r="102" spans="1:27" s="5" customFormat="1" ht="18" customHeight="1" x14ac:dyDescent="0.2">
      <c r="A102" s="47"/>
      <c r="B102" s="45"/>
      <c r="C102" s="45"/>
      <c r="D102" s="45"/>
      <c r="E102" s="45"/>
      <c r="F102" s="45"/>
      <c r="G102" s="45"/>
      <c r="H102" s="60"/>
      <c r="I102" s="45"/>
      <c r="J102" s="45"/>
      <c r="K102" s="45"/>
      <c r="L102" s="61"/>
      <c r="N102" s="15"/>
      <c r="O102" s="16" t="s">
        <v>22</v>
      </c>
      <c r="P102" s="16"/>
      <c r="Q102" s="16"/>
      <c r="R102" s="16">
        <v>0</v>
      </c>
      <c r="S102" s="7"/>
      <c r="T102" s="16" t="s">
        <v>22</v>
      </c>
      <c r="U102" s="29"/>
      <c r="V102" s="18"/>
      <c r="W102" s="29" t="str">
        <f t="shared" si="21"/>
        <v/>
      </c>
      <c r="X102" s="18"/>
      <c r="Y102" s="29" t="str">
        <f t="shared" si="22"/>
        <v/>
      </c>
      <c r="Z102" s="20"/>
    </row>
    <row r="103" spans="1:27" s="5" customFormat="1" ht="18" customHeight="1" x14ac:dyDescent="0.2">
      <c r="A103" s="47"/>
      <c r="B103" s="144" t="s">
        <v>17</v>
      </c>
      <c r="C103" s="145"/>
      <c r="D103" s="45"/>
      <c r="E103" s="45"/>
      <c r="F103" s="62" t="s">
        <v>39</v>
      </c>
      <c r="G103" s="6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60"/>
      <c r="I103" s="64">
        <f>IF(C107&gt;0,$K$2,C105)</f>
        <v>29</v>
      </c>
      <c r="J103" s="65" t="s">
        <v>36</v>
      </c>
      <c r="K103" s="66">
        <f>K99/$K$2*I103</f>
        <v>41000</v>
      </c>
      <c r="L103" s="67"/>
      <c r="N103" s="15"/>
      <c r="O103" s="16" t="s">
        <v>23</v>
      </c>
      <c r="P103" s="16"/>
      <c r="Q103" s="16"/>
      <c r="R103" s="16">
        <v>0</v>
      </c>
      <c r="S103" s="7"/>
      <c r="T103" s="16" t="s">
        <v>23</v>
      </c>
      <c r="U103" s="29"/>
      <c r="V103" s="18"/>
      <c r="W103" s="29" t="str">
        <f t="shared" si="21"/>
        <v/>
      </c>
      <c r="X103" s="18"/>
      <c r="Y103" s="29" t="str">
        <f t="shared" si="22"/>
        <v/>
      </c>
      <c r="Z103" s="20"/>
    </row>
    <row r="104" spans="1:27" s="5" customFormat="1" ht="18" customHeight="1" x14ac:dyDescent="0.2">
      <c r="A104" s="47"/>
      <c r="B104" s="68"/>
      <c r="C104" s="68"/>
      <c r="D104" s="45"/>
      <c r="E104" s="45"/>
      <c r="F104" s="62" t="s">
        <v>10</v>
      </c>
      <c r="G104" s="6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60"/>
      <c r="I104" s="64"/>
      <c r="J104" s="65" t="s">
        <v>37</v>
      </c>
      <c r="K104" s="69">
        <f>K99/$K$2/8*I104</f>
        <v>0</v>
      </c>
      <c r="L104" s="70"/>
      <c r="N104" s="15"/>
      <c r="O104" s="16" t="s">
        <v>24</v>
      </c>
      <c r="P104" s="99"/>
      <c r="Q104" s="99"/>
      <c r="R104" s="16">
        <v>14</v>
      </c>
      <c r="S104" s="7"/>
      <c r="T104" s="16" t="s">
        <v>24</v>
      </c>
      <c r="U104" s="29"/>
      <c r="V104" s="18"/>
      <c r="W104" s="29" t="str">
        <f t="shared" si="21"/>
        <v/>
      </c>
      <c r="X104" s="18"/>
      <c r="Y104" s="29" t="str">
        <f t="shared" si="22"/>
        <v/>
      </c>
      <c r="Z104" s="20"/>
    </row>
    <row r="105" spans="1:27" s="5" customFormat="1" ht="18" customHeight="1" x14ac:dyDescent="0.2">
      <c r="A105" s="47"/>
      <c r="B105" s="62" t="s">
        <v>5</v>
      </c>
      <c r="C105" s="68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45"/>
      <c r="E105" s="45"/>
      <c r="F105" s="62" t="s">
        <v>40</v>
      </c>
      <c r="G105" s="63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60"/>
      <c r="I105" s="136" t="s">
        <v>44</v>
      </c>
      <c r="J105" s="137"/>
      <c r="K105" s="69">
        <f>K103+K104</f>
        <v>41000</v>
      </c>
      <c r="L105" s="70"/>
      <c r="N105" s="15"/>
      <c r="O105" s="16" t="s">
        <v>25</v>
      </c>
      <c r="P105" s="16"/>
      <c r="Q105" s="16"/>
      <c r="R105" s="16">
        <f>R104-Q105+1</f>
        <v>15</v>
      </c>
      <c r="S105" s="7"/>
      <c r="T105" s="16" t="s">
        <v>25</v>
      </c>
      <c r="U105" s="29"/>
      <c r="V105" s="18"/>
      <c r="W105" s="29" t="str">
        <f t="shared" si="21"/>
        <v/>
      </c>
      <c r="X105" s="18"/>
      <c r="Y105" s="29" t="str">
        <f t="shared" si="22"/>
        <v/>
      </c>
      <c r="Z105" s="20"/>
    </row>
    <row r="106" spans="1:27" s="5" customFormat="1" ht="18" customHeight="1" x14ac:dyDescent="0.2">
      <c r="A106" s="47"/>
      <c r="B106" s="62" t="s">
        <v>4</v>
      </c>
      <c r="C106" s="68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45"/>
      <c r="E106" s="45"/>
      <c r="F106" s="62" t="s">
        <v>11</v>
      </c>
      <c r="G106" s="6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60"/>
      <c r="I106" s="136" t="s">
        <v>45</v>
      </c>
      <c r="J106" s="137"/>
      <c r="K106" s="63">
        <f>G106</f>
        <v>0</v>
      </c>
      <c r="L106" s="71"/>
      <c r="N106" s="15"/>
      <c r="O106" s="16" t="s">
        <v>26</v>
      </c>
      <c r="P106" s="16"/>
      <c r="Q106" s="16"/>
      <c r="R106" s="16">
        <f t="shared" ref="R106:R110" si="23">R105-Q106</f>
        <v>15</v>
      </c>
      <c r="S106" s="7"/>
      <c r="T106" s="16" t="s">
        <v>26</v>
      </c>
      <c r="U106" s="29"/>
      <c r="V106" s="18"/>
      <c r="W106" s="29" t="str">
        <f t="shared" si="21"/>
        <v/>
      </c>
      <c r="X106" s="18"/>
      <c r="Y106" s="29" t="str">
        <f t="shared" si="22"/>
        <v/>
      </c>
      <c r="Z106" s="20"/>
    </row>
    <row r="107" spans="1:27" s="5" customFormat="1" ht="18" customHeight="1" x14ac:dyDescent="0.2">
      <c r="A107" s="47"/>
      <c r="B107" s="77" t="s">
        <v>43</v>
      </c>
      <c r="C107" s="68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2</v>
      </c>
      <c r="D107" s="45"/>
      <c r="E107" s="45"/>
      <c r="F107" s="77" t="s">
        <v>86</v>
      </c>
      <c r="G107" s="63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45"/>
      <c r="I107" s="141" t="s">
        <v>38</v>
      </c>
      <c r="J107" s="143"/>
      <c r="K107" s="41">
        <f>K105-K106</f>
        <v>41000</v>
      </c>
      <c r="L107" s="72"/>
      <c r="N107" s="15"/>
      <c r="O107" s="16" t="s">
        <v>31</v>
      </c>
      <c r="P107" s="16"/>
      <c r="Q107" s="16"/>
      <c r="R107" s="16">
        <f t="shared" si="23"/>
        <v>15</v>
      </c>
      <c r="S107" s="7"/>
      <c r="T107" s="16" t="s">
        <v>31</v>
      </c>
      <c r="U107" s="29"/>
      <c r="V107" s="18"/>
      <c r="W107" s="29" t="str">
        <f t="shared" si="21"/>
        <v/>
      </c>
      <c r="X107" s="18"/>
      <c r="Y107" s="29" t="str">
        <f t="shared" si="22"/>
        <v/>
      </c>
      <c r="Z107" s="20"/>
    </row>
    <row r="108" spans="1:27" s="5" customFormat="1" ht="18" customHeight="1" x14ac:dyDescent="0.2">
      <c r="A108" s="4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59"/>
      <c r="N108" s="15"/>
      <c r="O108" s="16" t="s">
        <v>27</v>
      </c>
      <c r="P108" s="16"/>
      <c r="Q108" s="16"/>
      <c r="R108" s="16">
        <f t="shared" si="23"/>
        <v>15</v>
      </c>
      <c r="S108" s="7"/>
      <c r="T108" s="16" t="s">
        <v>27</v>
      </c>
      <c r="U108" s="29"/>
      <c r="V108" s="18"/>
      <c r="W108" s="29" t="str">
        <f t="shared" si="21"/>
        <v/>
      </c>
      <c r="X108" s="18"/>
      <c r="Y108" s="29" t="str">
        <f t="shared" si="22"/>
        <v/>
      </c>
      <c r="Z108" s="20"/>
    </row>
    <row r="109" spans="1:27" s="5" customFormat="1" ht="18" customHeight="1" x14ac:dyDescent="0.3">
      <c r="A109" s="47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59"/>
      <c r="N109" s="15"/>
      <c r="O109" s="16" t="s">
        <v>32</v>
      </c>
      <c r="P109" s="16"/>
      <c r="Q109" s="16"/>
      <c r="R109" s="16">
        <f t="shared" si="23"/>
        <v>15</v>
      </c>
      <c r="S109" s="7"/>
      <c r="T109" s="16" t="s">
        <v>32</v>
      </c>
      <c r="U109" s="29"/>
      <c r="V109" s="18"/>
      <c r="W109" s="29" t="str">
        <f t="shared" si="21"/>
        <v/>
      </c>
      <c r="X109" s="18"/>
      <c r="Y109" s="29" t="str">
        <f t="shared" si="22"/>
        <v/>
      </c>
      <c r="Z109" s="20"/>
    </row>
    <row r="110" spans="1:27" s="5" customFormat="1" ht="18" customHeight="1" thickBot="1" x14ac:dyDescent="0.35">
      <c r="A110" s="73"/>
      <c r="B110" s="74"/>
      <c r="C110" s="74"/>
      <c r="D110" s="74"/>
      <c r="E110" s="74"/>
      <c r="F110" s="74" t="s">
        <v>82</v>
      </c>
      <c r="G110" s="74"/>
      <c r="H110" s="74"/>
      <c r="I110" s="74"/>
      <c r="J110" s="74"/>
      <c r="K110" s="74"/>
      <c r="L110" s="75"/>
      <c r="N110" s="15"/>
      <c r="O110" s="16" t="s">
        <v>33</v>
      </c>
      <c r="P110" s="16"/>
      <c r="Q110" s="16"/>
      <c r="R110" s="16">
        <f t="shared" si="23"/>
        <v>15</v>
      </c>
      <c r="S110" s="7"/>
      <c r="T110" s="16" t="s">
        <v>33</v>
      </c>
      <c r="U110" s="29"/>
      <c r="V110" s="18"/>
      <c r="W110" s="29" t="str">
        <f t="shared" si="21"/>
        <v/>
      </c>
      <c r="X110" s="18"/>
      <c r="Y110" s="29" t="str">
        <f t="shared" si="22"/>
        <v/>
      </c>
      <c r="Z110" s="20"/>
    </row>
    <row r="111" spans="1:27" s="27" customFormat="1" ht="18" customHeight="1" thickBot="1" x14ac:dyDescent="0.2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7" s="5" customFormat="1" ht="18" customHeight="1" thickBot="1" x14ac:dyDescent="0.25">
      <c r="A112" s="138" t="s">
        <v>15</v>
      </c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40"/>
      <c r="M112" s="4"/>
      <c r="N112" s="8"/>
      <c r="O112" s="133" t="s">
        <v>17</v>
      </c>
      <c r="P112" s="134"/>
      <c r="Q112" s="134"/>
      <c r="R112" s="135"/>
      <c r="S112" s="9"/>
      <c r="T112" s="133" t="s">
        <v>18</v>
      </c>
      <c r="U112" s="134"/>
      <c r="V112" s="134"/>
      <c r="W112" s="134"/>
      <c r="X112" s="134"/>
      <c r="Y112" s="135"/>
      <c r="Z112" s="10"/>
      <c r="AA112" s="4"/>
    </row>
    <row r="113" spans="1:27" s="5" customFormat="1" ht="18" customHeight="1" x14ac:dyDescent="0.2">
      <c r="A113" s="47"/>
      <c r="B113" s="45"/>
      <c r="C113" s="147" t="s">
        <v>94</v>
      </c>
      <c r="D113" s="147"/>
      <c r="E113" s="147"/>
      <c r="F113" s="147"/>
      <c r="G113" s="48" t="str">
        <f>$J$1</f>
        <v>February</v>
      </c>
      <c r="H113" s="146">
        <f>$K$1</f>
        <v>2024</v>
      </c>
      <c r="I113" s="146"/>
      <c r="J113" s="45"/>
      <c r="K113" s="49"/>
      <c r="L113" s="50"/>
      <c r="M113" s="6"/>
      <c r="N113" s="11"/>
      <c r="O113" s="12" t="s">
        <v>28</v>
      </c>
      <c r="P113" s="12" t="s">
        <v>5</v>
      </c>
      <c r="Q113" s="12" t="s">
        <v>4</v>
      </c>
      <c r="R113" s="12" t="s">
        <v>29</v>
      </c>
      <c r="S113" s="13"/>
      <c r="T113" s="12" t="s">
        <v>28</v>
      </c>
      <c r="U113" s="12" t="s">
        <v>30</v>
      </c>
      <c r="V113" s="12" t="s">
        <v>10</v>
      </c>
      <c r="W113" s="12" t="s">
        <v>9</v>
      </c>
      <c r="X113" s="12" t="s">
        <v>11</v>
      </c>
      <c r="Y113" s="12" t="s">
        <v>34</v>
      </c>
      <c r="Z113" s="14"/>
      <c r="AA113" s="6"/>
    </row>
    <row r="114" spans="1:27" s="5" customFormat="1" ht="18" customHeight="1" x14ac:dyDescent="0.2">
      <c r="A114" s="47"/>
      <c r="B114" s="45"/>
      <c r="C114" s="45"/>
      <c r="D114" s="51"/>
      <c r="E114" s="51"/>
      <c r="F114" s="51"/>
      <c r="G114" s="51"/>
      <c r="H114" s="51"/>
      <c r="I114" s="45"/>
      <c r="J114" s="52" t="s">
        <v>1</v>
      </c>
      <c r="K114" s="53">
        <f>35000+3000+5000</f>
        <v>43000</v>
      </c>
      <c r="L114" s="54"/>
      <c r="N114" s="15"/>
      <c r="O114" s="16" t="s">
        <v>20</v>
      </c>
      <c r="P114" s="16">
        <v>31</v>
      </c>
      <c r="Q114" s="16">
        <v>0</v>
      </c>
      <c r="R114" s="16">
        <f>15-Q114</f>
        <v>15</v>
      </c>
      <c r="S114" s="17"/>
      <c r="T114" s="16" t="s">
        <v>20</v>
      </c>
      <c r="U114" s="18">
        <v>63500</v>
      </c>
      <c r="V114" s="18"/>
      <c r="W114" s="18">
        <f>V114+U114</f>
        <v>63500</v>
      </c>
      <c r="X114" s="18">
        <v>5000</v>
      </c>
      <c r="Y114" s="18">
        <f>W114-X114</f>
        <v>58500</v>
      </c>
      <c r="Z114" s="14"/>
    </row>
    <row r="115" spans="1:27" s="5" customFormat="1" ht="18" customHeight="1" x14ac:dyDescent="0.2">
      <c r="A115" s="47"/>
      <c r="B115" s="45" t="s">
        <v>0</v>
      </c>
      <c r="C115" s="44" t="s">
        <v>54</v>
      </c>
      <c r="D115" s="45"/>
      <c r="E115" s="45"/>
      <c r="F115" s="45"/>
      <c r="G115" s="45"/>
      <c r="H115" s="55"/>
      <c r="I115" s="51"/>
      <c r="J115" s="45"/>
      <c r="K115" s="45"/>
      <c r="L115" s="56"/>
      <c r="M115" s="4"/>
      <c r="N115" s="19"/>
      <c r="O115" s="16" t="s">
        <v>46</v>
      </c>
      <c r="P115" s="16">
        <v>29</v>
      </c>
      <c r="Q115" s="16">
        <v>0</v>
      </c>
      <c r="R115" s="16">
        <f t="shared" ref="R115:R125" si="24">IF(Q115="","",R114-Q115)</f>
        <v>15</v>
      </c>
      <c r="S115" s="7"/>
      <c r="T115" s="16" t="s">
        <v>46</v>
      </c>
      <c r="U115" s="29">
        <f>Y114</f>
        <v>58500</v>
      </c>
      <c r="V115" s="18"/>
      <c r="W115" s="29">
        <f>IF(U115="","",U115+V115)</f>
        <v>58500</v>
      </c>
      <c r="X115" s="18">
        <v>2500</v>
      </c>
      <c r="Y115" s="29">
        <f>IF(W115="","",W115-X115)</f>
        <v>56000</v>
      </c>
      <c r="Z115" s="20"/>
      <c r="AA115" s="4"/>
    </row>
    <row r="116" spans="1:27" s="5" customFormat="1" ht="18" customHeight="1" x14ac:dyDescent="0.2">
      <c r="A116" s="47"/>
      <c r="B116" s="57" t="s">
        <v>16</v>
      </c>
      <c r="C116" s="58" t="s">
        <v>55</v>
      </c>
      <c r="D116" s="45"/>
      <c r="E116" s="45"/>
      <c r="F116" s="141" t="s">
        <v>18</v>
      </c>
      <c r="G116" s="143"/>
      <c r="H116" s="45"/>
      <c r="I116" s="141" t="s">
        <v>19</v>
      </c>
      <c r="J116" s="142"/>
      <c r="K116" s="143"/>
      <c r="L116" s="59"/>
      <c r="N116" s="15"/>
      <c r="O116" s="16" t="s">
        <v>21</v>
      </c>
      <c r="P116" s="16"/>
      <c r="Q116" s="16"/>
      <c r="R116" s="16" t="str">
        <f t="shared" si="24"/>
        <v/>
      </c>
      <c r="S116" s="7"/>
      <c r="T116" s="16" t="s">
        <v>21</v>
      </c>
      <c r="U116" s="29"/>
      <c r="V116" s="18"/>
      <c r="W116" s="29" t="str">
        <f t="shared" ref="W116:W125" si="25">IF(U116="","",U116+V116)</f>
        <v/>
      </c>
      <c r="X116" s="18"/>
      <c r="Y116" s="29" t="str">
        <f t="shared" ref="Y116:Y125" si="26">IF(W116="","",W116-X116)</f>
        <v/>
      </c>
      <c r="Z116" s="20"/>
    </row>
    <row r="117" spans="1:27" s="5" customFormat="1" ht="18" customHeight="1" x14ac:dyDescent="0.2">
      <c r="A117" s="47"/>
      <c r="B117" s="45"/>
      <c r="C117" s="45"/>
      <c r="D117" s="45"/>
      <c r="E117" s="45"/>
      <c r="F117" s="45"/>
      <c r="G117" s="45"/>
      <c r="H117" s="60"/>
      <c r="I117" s="45"/>
      <c r="J117" s="45"/>
      <c r="K117" s="45"/>
      <c r="L117" s="61"/>
      <c r="N117" s="15"/>
      <c r="O117" s="16" t="s">
        <v>22</v>
      </c>
      <c r="P117" s="16"/>
      <c r="Q117" s="16"/>
      <c r="R117" s="16" t="str">
        <f t="shared" si="24"/>
        <v/>
      </c>
      <c r="S117" s="7"/>
      <c r="T117" s="16" t="s">
        <v>22</v>
      </c>
      <c r="U117" s="29"/>
      <c r="V117" s="18"/>
      <c r="W117" s="29" t="str">
        <f t="shared" si="25"/>
        <v/>
      </c>
      <c r="X117" s="18"/>
      <c r="Y117" s="29" t="str">
        <f t="shared" si="26"/>
        <v/>
      </c>
      <c r="Z117" s="20"/>
    </row>
    <row r="118" spans="1:27" s="5" customFormat="1" ht="18" customHeight="1" x14ac:dyDescent="0.2">
      <c r="A118" s="47"/>
      <c r="B118" s="144" t="s">
        <v>17</v>
      </c>
      <c r="C118" s="145"/>
      <c r="D118" s="45"/>
      <c r="E118" s="45"/>
      <c r="F118" s="62" t="s">
        <v>39</v>
      </c>
      <c r="G118" s="6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60"/>
      <c r="I118" s="64">
        <f>IF(C122&gt;0,$K$2,C120)</f>
        <v>29</v>
      </c>
      <c r="J118" s="65" t="s">
        <v>36</v>
      </c>
      <c r="K118" s="66">
        <f>K114/$K$2*I118</f>
        <v>43000</v>
      </c>
      <c r="L118" s="67"/>
      <c r="N118" s="15"/>
      <c r="O118" s="16" t="s">
        <v>23</v>
      </c>
      <c r="P118" s="16"/>
      <c r="Q118" s="16"/>
      <c r="R118" s="16" t="str">
        <f t="shared" si="24"/>
        <v/>
      </c>
      <c r="S118" s="7"/>
      <c r="T118" s="16" t="s">
        <v>23</v>
      </c>
      <c r="U118" s="29"/>
      <c r="V118" s="18"/>
      <c r="W118" s="29" t="str">
        <f t="shared" si="25"/>
        <v/>
      </c>
      <c r="X118" s="18"/>
      <c r="Y118" s="29" t="str">
        <f t="shared" si="26"/>
        <v/>
      </c>
      <c r="Z118" s="20"/>
    </row>
    <row r="119" spans="1:27" s="5" customFormat="1" ht="18" customHeight="1" x14ac:dyDescent="0.2">
      <c r="A119" s="47"/>
      <c r="B119" s="68"/>
      <c r="C119" s="68"/>
      <c r="D119" s="45"/>
      <c r="E119" s="45"/>
      <c r="F119" s="62" t="s">
        <v>10</v>
      </c>
      <c r="G119" s="6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60"/>
      <c r="I119" s="64">
        <v>31</v>
      </c>
      <c r="J119" s="65" t="s">
        <v>37</v>
      </c>
      <c r="K119" s="69">
        <f>K114/$K$2/8*I119</f>
        <v>5745.6896551724139</v>
      </c>
      <c r="L119" s="70"/>
      <c r="N119" s="15"/>
      <c r="O119" s="16" t="s">
        <v>24</v>
      </c>
      <c r="P119" s="16"/>
      <c r="Q119" s="16"/>
      <c r="R119" s="16" t="str">
        <f t="shared" si="24"/>
        <v/>
      </c>
      <c r="S119" s="7"/>
      <c r="T119" s="16" t="s">
        <v>24</v>
      </c>
      <c r="U119" s="29"/>
      <c r="V119" s="18"/>
      <c r="W119" s="29" t="str">
        <f t="shared" si="25"/>
        <v/>
      </c>
      <c r="X119" s="18"/>
      <c r="Y119" s="29" t="str">
        <f t="shared" si="26"/>
        <v/>
      </c>
      <c r="Z119" s="20"/>
    </row>
    <row r="120" spans="1:27" s="5" customFormat="1" ht="18" customHeight="1" x14ac:dyDescent="0.2">
      <c r="A120" s="47"/>
      <c r="B120" s="62" t="s">
        <v>5</v>
      </c>
      <c r="C120" s="68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45"/>
      <c r="E120" s="45"/>
      <c r="F120" s="62" t="s">
        <v>40</v>
      </c>
      <c r="G120" s="63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60"/>
      <c r="I120" s="136" t="s">
        <v>44</v>
      </c>
      <c r="J120" s="137"/>
      <c r="K120" s="69">
        <f>K118+K119</f>
        <v>48745.689655172413</v>
      </c>
      <c r="L120" s="70"/>
      <c r="N120" s="15"/>
      <c r="O120" s="16" t="s">
        <v>25</v>
      </c>
      <c r="P120" s="16"/>
      <c r="Q120" s="16"/>
      <c r="R120" s="16" t="str">
        <f t="shared" si="24"/>
        <v/>
      </c>
      <c r="S120" s="7"/>
      <c r="T120" s="16" t="s">
        <v>25</v>
      </c>
      <c r="U120" s="29"/>
      <c r="V120" s="18"/>
      <c r="W120" s="29" t="str">
        <f t="shared" si="25"/>
        <v/>
      </c>
      <c r="X120" s="18"/>
      <c r="Y120" s="29" t="str">
        <f t="shared" si="26"/>
        <v/>
      </c>
      <c r="Z120" s="20"/>
    </row>
    <row r="121" spans="1:27" s="5" customFormat="1" ht="18" customHeight="1" x14ac:dyDescent="0.2">
      <c r="A121" s="47"/>
      <c r="B121" s="62" t="s">
        <v>4</v>
      </c>
      <c r="C121" s="68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45"/>
      <c r="E121" s="45"/>
      <c r="F121" s="62" t="s">
        <v>11</v>
      </c>
      <c r="G121" s="6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60"/>
      <c r="I121" s="136" t="s">
        <v>45</v>
      </c>
      <c r="J121" s="137"/>
      <c r="K121" s="63">
        <f>G121</f>
        <v>2500</v>
      </c>
      <c r="L121" s="71"/>
      <c r="N121" s="15"/>
      <c r="O121" s="16" t="s">
        <v>26</v>
      </c>
      <c r="P121" s="16"/>
      <c r="Q121" s="16"/>
      <c r="R121" s="16" t="str">
        <f t="shared" si="24"/>
        <v/>
      </c>
      <c r="S121" s="7"/>
      <c r="T121" s="16" t="s">
        <v>26</v>
      </c>
      <c r="U121" s="29"/>
      <c r="V121" s="18"/>
      <c r="W121" s="29" t="str">
        <f t="shared" si="25"/>
        <v/>
      </c>
      <c r="X121" s="18"/>
      <c r="Y121" s="29" t="str">
        <f t="shared" si="26"/>
        <v/>
      </c>
      <c r="Z121" s="20"/>
    </row>
    <row r="122" spans="1:27" s="5" customFormat="1" ht="18" customHeight="1" x14ac:dyDescent="0.2">
      <c r="A122" s="47"/>
      <c r="B122" s="77" t="s">
        <v>43</v>
      </c>
      <c r="C122" s="68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45"/>
      <c r="E122" s="45"/>
      <c r="F122" s="77" t="s">
        <v>86</v>
      </c>
      <c r="G122" s="63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45"/>
      <c r="I122" s="141" t="s">
        <v>38</v>
      </c>
      <c r="J122" s="143"/>
      <c r="K122" s="41">
        <f>K120-K121</f>
        <v>46245.689655172413</v>
      </c>
      <c r="L122" s="72"/>
      <c r="N122" s="15"/>
      <c r="O122" s="16" t="s">
        <v>31</v>
      </c>
      <c r="P122" s="16"/>
      <c r="Q122" s="16"/>
      <c r="R122" s="16" t="str">
        <f t="shared" si="24"/>
        <v/>
      </c>
      <c r="S122" s="7"/>
      <c r="T122" s="16" t="s">
        <v>31</v>
      </c>
      <c r="U122" s="29"/>
      <c r="V122" s="18"/>
      <c r="W122" s="29" t="str">
        <f t="shared" si="25"/>
        <v/>
      </c>
      <c r="X122" s="18"/>
      <c r="Y122" s="29" t="str">
        <f t="shared" si="26"/>
        <v/>
      </c>
      <c r="Z122" s="20"/>
    </row>
    <row r="123" spans="1:27" s="5" customFormat="1" ht="18" customHeight="1" x14ac:dyDescent="0.2">
      <c r="A123" s="47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59"/>
      <c r="N123" s="15"/>
      <c r="O123" s="16" t="s">
        <v>27</v>
      </c>
      <c r="P123" s="16"/>
      <c r="Q123" s="16"/>
      <c r="R123" s="16" t="str">
        <f t="shared" si="24"/>
        <v/>
      </c>
      <c r="S123" s="7"/>
      <c r="T123" s="16" t="s">
        <v>27</v>
      </c>
      <c r="U123" s="29"/>
      <c r="V123" s="18"/>
      <c r="W123" s="29" t="str">
        <f t="shared" si="25"/>
        <v/>
      </c>
      <c r="X123" s="18"/>
      <c r="Y123" s="29" t="str">
        <f t="shared" si="26"/>
        <v/>
      </c>
      <c r="Z123" s="20"/>
    </row>
    <row r="124" spans="1:27" s="5" customFormat="1" ht="18" customHeight="1" x14ac:dyDescent="0.3">
      <c r="A124" s="47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59"/>
      <c r="N124" s="15"/>
      <c r="O124" s="16" t="s">
        <v>32</v>
      </c>
      <c r="P124" s="16"/>
      <c r="Q124" s="16"/>
      <c r="R124" s="16" t="str">
        <f t="shared" si="24"/>
        <v/>
      </c>
      <c r="S124" s="7"/>
      <c r="T124" s="16" t="s">
        <v>32</v>
      </c>
      <c r="U124" s="29"/>
      <c r="V124" s="18"/>
      <c r="W124" s="29" t="str">
        <f t="shared" si="25"/>
        <v/>
      </c>
      <c r="X124" s="18"/>
      <c r="Y124" s="29" t="str">
        <f t="shared" si="26"/>
        <v/>
      </c>
      <c r="Z124" s="20"/>
    </row>
    <row r="125" spans="1:27" s="5" customFormat="1" ht="18" customHeight="1" thickBot="1" x14ac:dyDescent="0.35">
      <c r="A125" s="73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5"/>
      <c r="N125" s="15"/>
      <c r="O125" s="16" t="s">
        <v>33</v>
      </c>
      <c r="P125" s="16"/>
      <c r="Q125" s="16"/>
      <c r="R125" s="16" t="str">
        <f t="shared" si="24"/>
        <v/>
      </c>
      <c r="S125" s="7"/>
      <c r="T125" s="16" t="s">
        <v>33</v>
      </c>
      <c r="U125" s="29"/>
      <c r="V125" s="18"/>
      <c r="W125" s="29" t="str">
        <f t="shared" si="25"/>
        <v/>
      </c>
      <c r="X125" s="18"/>
      <c r="Y125" s="29" t="str">
        <f t="shared" si="26"/>
        <v/>
      </c>
      <c r="Z125" s="20"/>
    </row>
    <row r="126" spans="1:27" s="27" customFormat="1" ht="18" customHeight="1" thickBot="1" x14ac:dyDescent="0.2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7" s="5" customFormat="1" ht="18" customHeight="1" thickBot="1" x14ac:dyDescent="0.25">
      <c r="A127" s="138" t="s">
        <v>15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40"/>
      <c r="M127" s="4"/>
      <c r="N127" s="8"/>
      <c r="O127" s="133" t="s">
        <v>17</v>
      </c>
      <c r="P127" s="134"/>
      <c r="Q127" s="134"/>
      <c r="R127" s="135"/>
      <c r="S127" s="9"/>
      <c r="T127" s="133" t="s">
        <v>18</v>
      </c>
      <c r="U127" s="134"/>
      <c r="V127" s="134"/>
      <c r="W127" s="134"/>
      <c r="X127" s="134"/>
      <c r="Y127" s="135"/>
      <c r="Z127" s="10"/>
      <c r="AA127" s="4"/>
    </row>
    <row r="128" spans="1:27" s="5" customFormat="1" ht="18" customHeight="1" x14ac:dyDescent="0.2">
      <c r="A128" s="47"/>
      <c r="B128" s="45"/>
      <c r="C128" s="147" t="s">
        <v>94</v>
      </c>
      <c r="D128" s="147"/>
      <c r="E128" s="147"/>
      <c r="F128" s="147"/>
      <c r="G128" s="48" t="str">
        <f>$J$1</f>
        <v>February</v>
      </c>
      <c r="H128" s="146">
        <f>$K$1</f>
        <v>2024</v>
      </c>
      <c r="I128" s="146"/>
      <c r="J128" s="45"/>
      <c r="K128" s="49"/>
      <c r="L128" s="50"/>
      <c r="M128" s="6"/>
      <c r="N128" s="11"/>
      <c r="O128" s="12" t="s">
        <v>28</v>
      </c>
      <c r="P128" s="12" t="s">
        <v>5</v>
      </c>
      <c r="Q128" s="12" t="s">
        <v>4</v>
      </c>
      <c r="R128" s="12" t="s">
        <v>29</v>
      </c>
      <c r="S128" s="13"/>
      <c r="T128" s="12" t="s">
        <v>28</v>
      </c>
      <c r="U128" s="12" t="s">
        <v>30</v>
      </c>
      <c r="V128" s="12" t="s">
        <v>10</v>
      </c>
      <c r="W128" s="12" t="s">
        <v>9</v>
      </c>
      <c r="X128" s="12" t="s">
        <v>11</v>
      </c>
      <c r="Y128" s="12" t="s">
        <v>34</v>
      </c>
      <c r="Z128" s="14"/>
      <c r="AA128" s="6"/>
    </row>
    <row r="129" spans="1:28" s="5" customFormat="1" ht="18" customHeight="1" x14ac:dyDescent="0.2">
      <c r="A129" s="47"/>
      <c r="B129" s="45"/>
      <c r="C129" s="45"/>
      <c r="D129" s="51"/>
      <c r="E129" s="51"/>
      <c r="F129" s="51"/>
      <c r="G129" s="51"/>
      <c r="H129" s="51"/>
      <c r="I129" s="45"/>
      <c r="J129" s="52" t="s">
        <v>1</v>
      </c>
      <c r="K129" s="53">
        <v>35000</v>
      </c>
      <c r="L129" s="54"/>
      <c r="N129" s="15"/>
      <c r="O129" s="16" t="s">
        <v>20</v>
      </c>
      <c r="P129" s="16">
        <v>30</v>
      </c>
      <c r="Q129" s="16">
        <v>1</v>
      </c>
      <c r="R129" s="16">
        <f>15-Q129</f>
        <v>14</v>
      </c>
      <c r="S129" s="17"/>
      <c r="T129" s="16" t="s">
        <v>20</v>
      </c>
      <c r="U129" s="18"/>
      <c r="V129" s="18"/>
      <c r="W129" s="18">
        <f>V129+U129</f>
        <v>0</v>
      </c>
      <c r="X129" s="18"/>
      <c r="Y129" s="18">
        <f>W129-X129</f>
        <v>0</v>
      </c>
      <c r="Z129" s="14"/>
    </row>
    <row r="130" spans="1:28" s="5" customFormat="1" ht="18" customHeight="1" x14ac:dyDescent="0.2">
      <c r="A130" s="47"/>
      <c r="B130" s="45" t="s">
        <v>0</v>
      </c>
      <c r="C130" s="44" t="s">
        <v>51</v>
      </c>
      <c r="D130" s="45"/>
      <c r="E130" s="45"/>
      <c r="F130" s="45"/>
      <c r="G130" s="51"/>
      <c r="H130" s="55"/>
      <c r="I130" s="51"/>
      <c r="J130" s="45"/>
      <c r="K130" s="45"/>
      <c r="L130" s="56"/>
      <c r="M130" s="4"/>
      <c r="N130" s="19"/>
      <c r="O130" s="16" t="s">
        <v>46</v>
      </c>
      <c r="P130" s="16">
        <v>26</v>
      </c>
      <c r="Q130" s="16">
        <v>3</v>
      </c>
      <c r="R130" s="16">
        <f t="shared" ref="R130:R140" si="27">IF(Q130="","",R129-Q130)</f>
        <v>11</v>
      </c>
      <c r="S130" s="7"/>
      <c r="T130" s="16" t="s">
        <v>46</v>
      </c>
      <c r="U130" s="29">
        <f t="shared" ref="U130:U135" si="28">Y129</f>
        <v>0</v>
      </c>
      <c r="V130" s="18"/>
      <c r="W130" s="29">
        <f>IF(U130="","",U130+V130)</f>
        <v>0</v>
      </c>
      <c r="X130" s="18"/>
      <c r="Y130" s="29">
        <f>IF(W130="","",W130-X130)</f>
        <v>0</v>
      </c>
      <c r="Z130" s="20"/>
      <c r="AA130" s="4"/>
    </row>
    <row r="131" spans="1:28" s="5" customFormat="1" ht="18" customHeight="1" x14ac:dyDescent="0.2">
      <c r="A131" s="47"/>
      <c r="B131" s="57" t="s">
        <v>16</v>
      </c>
      <c r="C131" s="58"/>
      <c r="D131" s="45"/>
      <c r="E131" s="45"/>
      <c r="F131" s="141" t="s">
        <v>18</v>
      </c>
      <c r="G131" s="143"/>
      <c r="H131" s="45"/>
      <c r="I131" s="141" t="s">
        <v>19</v>
      </c>
      <c r="J131" s="142"/>
      <c r="K131" s="143"/>
      <c r="L131" s="59"/>
      <c r="N131" s="15"/>
      <c r="O131" s="16" t="s">
        <v>21</v>
      </c>
      <c r="P131" s="16"/>
      <c r="Q131" s="16"/>
      <c r="R131" s="16" t="str">
        <f t="shared" si="27"/>
        <v/>
      </c>
      <c r="S131" s="7"/>
      <c r="T131" s="16" t="s">
        <v>21</v>
      </c>
      <c r="U131" s="29">
        <f t="shared" si="28"/>
        <v>0</v>
      </c>
      <c r="V131" s="18"/>
      <c r="W131" s="29">
        <f t="shared" ref="W131:W140" si="29">IF(U131="","",U131+V131)</f>
        <v>0</v>
      </c>
      <c r="X131" s="18"/>
      <c r="Y131" s="29">
        <f t="shared" ref="Y131:Y140" si="30">IF(W131="","",W131-X131)</f>
        <v>0</v>
      </c>
      <c r="Z131" s="20"/>
    </row>
    <row r="132" spans="1:28" s="5" customFormat="1" ht="18" customHeight="1" x14ac:dyDescent="0.2">
      <c r="A132" s="47"/>
      <c r="B132" s="45"/>
      <c r="C132" s="45"/>
      <c r="D132" s="45"/>
      <c r="E132" s="45"/>
      <c r="F132" s="45"/>
      <c r="G132" s="45"/>
      <c r="H132" s="60"/>
      <c r="I132" s="45"/>
      <c r="J132" s="45"/>
      <c r="K132" s="45"/>
      <c r="L132" s="61"/>
      <c r="N132" s="15"/>
      <c r="O132" s="16" t="s">
        <v>22</v>
      </c>
      <c r="P132" s="16"/>
      <c r="Q132" s="16"/>
      <c r="R132" s="16" t="str">
        <f t="shared" si="27"/>
        <v/>
      </c>
      <c r="S132" s="7"/>
      <c r="T132" s="16" t="s">
        <v>22</v>
      </c>
      <c r="U132" s="29">
        <f t="shared" si="28"/>
        <v>0</v>
      </c>
      <c r="V132" s="18"/>
      <c r="W132" s="29">
        <f t="shared" si="29"/>
        <v>0</v>
      </c>
      <c r="X132" s="18"/>
      <c r="Y132" s="29">
        <f t="shared" si="30"/>
        <v>0</v>
      </c>
      <c r="Z132" s="20"/>
      <c r="AB132" s="31">
        <f>K137+K122</f>
        <v>82301.724137931044</v>
      </c>
    </row>
    <row r="133" spans="1:28" s="5" customFormat="1" ht="18" customHeight="1" x14ac:dyDescent="0.2">
      <c r="A133" s="47"/>
      <c r="B133" s="144" t="s">
        <v>17</v>
      </c>
      <c r="C133" s="145"/>
      <c r="D133" s="45"/>
      <c r="E133" s="45"/>
      <c r="F133" s="62" t="s">
        <v>39</v>
      </c>
      <c r="G133" s="6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60"/>
      <c r="I133" s="64">
        <f>IF(C137&gt;0,$K$2,C135)</f>
        <v>29</v>
      </c>
      <c r="J133" s="65" t="s">
        <v>36</v>
      </c>
      <c r="K133" s="66">
        <f>K129/$K$2*I133</f>
        <v>35000</v>
      </c>
      <c r="L133" s="67"/>
      <c r="N133" s="15"/>
      <c r="O133" s="16" t="s">
        <v>23</v>
      </c>
      <c r="P133" s="16"/>
      <c r="Q133" s="16"/>
      <c r="R133" s="16" t="str">
        <f t="shared" si="27"/>
        <v/>
      </c>
      <c r="S133" s="7"/>
      <c r="T133" s="16" t="s">
        <v>23</v>
      </c>
      <c r="U133" s="29">
        <f t="shared" si="28"/>
        <v>0</v>
      </c>
      <c r="V133" s="18"/>
      <c r="W133" s="29">
        <f t="shared" si="29"/>
        <v>0</v>
      </c>
      <c r="X133" s="18"/>
      <c r="Y133" s="29">
        <f t="shared" si="30"/>
        <v>0</v>
      </c>
      <c r="Z133" s="20"/>
    </row>
    <row r="134" spans="1:28" s="5" customFormat="1" ht="18" customHeight="1" x14ac:dyDescent="0.2">
      <c r="A134" s="47"/>
      <c r="B134" s="68"/>
      <c r="C134" s="68"/>
      <c r="D134" s="45"/>
      <c r="E134" s="45"/>
      <c r="F134" s="62" t="s">
        <v>10</v>
      </c>
      <c r="G134" s="6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60"/>
      <c r="I134" s="64">
        <v>7</v>
      </c>
      <c r="J134" s="65" t="s">
        <v>37</v>
      </c>
      <c r="K134" s="69">
        <f>K129/$K$2/8*I134</f>
        <v>1056.0344827586207</v>
      </c>
      <c r="L134" s="70"/>
      <c r="N134" s="15"/>
      <c r="O134" s="16" t="s">
        <v>24</v>
      </c>
      <c r="P134" s="16"/>
      <c r="Q134" s="16"/>
      <c r="R134" s="16" t="str">
        <f t="shared" si="27"/>
        <v/>
      </c>
      <c r="S134" s="7"/>
      <c r="T134" s="16" t="s">
        <v>24</v>
      </c>
      <c r="U134" s="29">
        <f t="shared" si="28"/>
        <v>0</v>
      </c>
      <c r="V134" s="18"/>
      <c r="W134" s="29">
        <f t="shared" si="29"/>
        <v>0</v>
      </c>
      <c r="X134" s="18"/>
      <c r="Y134" s="29">
        <f t="shared" si="30"/>
        <v>0</v>
      </c>
      <c r="Z134" s="20"/>
    </row>
    <row r="135" spans="1:28" s="5" customFormat="1" ht="18" customHeight="1" x14ac:dyDescent="0.2">
      <c r="A135" s="47"/>
      <c r="B135" s="62" t="s">
        <v>5</v>
      </c>
      <c r="C135" s="68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45"/>
      <c r="E135" s="45"/>
      <c r="F135" s="62" t="s">
        <v>40</v>
      </c>
      <c r="G135" s="6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60"/>
      <c r="I135" s="136" t="s">
        <v>44</v>
      </c>
      <c r="J135" s="137"/>
      <c r="K135" s="69">
        <f>K133+K134</f>
        <v>36056.034482758623</v>
      </c>
      <c r="L135" s="70"/>
      <c r="N135" s="15"/>
      <c r="O135" s="16" t="s">
        <v>25</v>
      </c>
      <c r="P135" s="16"/>
      <c r="Q135" s="16"/>
      <c r="R135" s="16" t="str">
        <f t="shared" si="27"/>
        <v/>
      </c>
      <c r="S135" s="7"/>
      <c r="T135" s="16" t="s">
        <v>25</v>
      </c>
      <c r="U135" s="29">
        <f t="shared" si="28"/>
        <v>0</v>
      </c>
      <c r="V135" s="18"/>
      <c r="W135" s="29">
        <f t="shared" si="29"/>
        <v>0</v>
      </c>
      <c r="X135" s="18"/>
      <c r="Y135" s="29">
        <f t="shared" si="30"/>
        <v>0</v>
      </c>
      <c r="Z135" s="20"/>
    </row>
    <row r="136" spans="1:28" s="5" customFormat="1" ht="18" customHeight="1" x14ac:dyDescent="0.2">
      <c r="A136" s="47"/>
      <c r="B136" s="62" t="s">
        <v>4</v>
      </c>
      <c r="C136" s="68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45"/>
      <c r="E136" s="45"/>
      <c r="F136" s="62" t="s">
        <v>11</v>
      </c>
      <c r="G136" s="6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60"/>
      <c r="I136" s="136" t="s">
        <v>45</v>
      </c>
      <c r="J136" s="137"/>
      <c r="K136" s="63">
        <f>G136</f>
        <v>0</v>
      </c>
      <c r="L136" s="71"/>
      <c r="N136" s="15"/>
      <c r="O136" s="16" t="s">
        <v>26</v>
      </c>
      <c r="P136" s="16"/>
      <c r="Q136" s="16"/>
      <c r="R136" s="16" t="str">
        <f t="shared" si="27"/>
        <v/>
      </c>
      <c r="S136" s="7"/>
      <c r="T136" s="16" t="s">
        <v>26</v>
      </c>
      <c r="U136" s="29">
        <f>Y135</f>
        <v>0</v>
      </c>
      <c r="V136" s="18"/>
      <c r="W136" s="29">
        <f t="shared" si="29"/>
        <v>0</v>
      </c>
      <c r="X136" s="18"/>
      <c r="Y136" s="29">
        <f t="shared" si="30"/>
        <v>0</v>
      </c>
      <c r="Z136" s="20"/>
    </row>
    <row r="137" spans="1:28" s="5" customFormat="1" ht="18" customHeight="1" x14ac:dyDescent="0.2">
      <c r="A137" s="47"/>
      <c r="B137" s="77" t="s">
        <v>43</v>
      </c>
      <c r="C137" s="68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45"/>
      <c r="E137" s="45"/>
      <c r="F137" s="77" t="s">
        <v>86</v>
      </c>
      <c r="G137" s="6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45"/>
      <c r="I137" s="141" t="s">
        <v>38</v>
      </c>
      <c r="J137" s="143"/>
      <c r="K137" s="41">
        <f>K135-K136</f>
        <v>36056.034482758623</v>
      </c>
      <c r="L137" s="72"/>
      <c r="N137" s="15"/>
      <c r="O137" s="16" t="s">
        <v>31</v>
      </c>
      <c r="P137" s="16"/>
      <c r="Q137" s="16"/>
      <c r="R137" s="16" t="str">
        <f t="shared" si="27"/>
        <v/>
      </c>
      <c r="S137" s="7"/>
      <c r="T137" s="16" t="s">
        <v>31</v>
      </c>
      <c r="U137" s="29" t="str">
        <f>IF($J$1="September",Y136,"")</f>
        <v/>
      </c>
      <c r="V137" s="18"/>
      <c r="W137" s="29" t="str">
        <f t="shared" si="29"/>
        <v/>
      </c>
      <c r="X137" s="18"/>
      <c r="Y137" s="29" t="str">
        <f t="shared" si="30"/>
        <v/>
      </c>
      <c r="Z137" s="20"/>
    </row>
    <row r="138" spans="1:28" s="5" customFormat="1" ht="18" customHeight="1" x14ac:dyDescent="0.2">
      <c r="A138" s="47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59"/>
      <c r="N138" s="15"/>
      <c r="O138" s="16" t="s">
        <v>27</v>
      </c>
      <c r="P138" s="16"/>
      <c r="Q138" s="16"/>
      <c r="R138" s="16" t="str">
        <f t="shared" si="27"/>
        <v/>
      </c>
      <c r="S138" s="7"/>
      <c r="T138" s="16" t="s">
        <v>27</v>
      </c>
      <c r="U138" s="29" t="str">
        <f>IF($J$1="October",Y137,"")</f>
        <v/>
      </c>
      <c r="V138" s="18"/>
      <c r="W138" s="29" t="str">
        <f t="shared" si="29"/>
        <v/>
      </c>
      <c r="X138" s="18"/>
      <c r="Y138" s="29" t="str">
        <f t="shared" si="30"/>
        <v/>
      </c>
      <c r="Z138" s="20"/>
    </row>
    <row r="139" spans="1:28" s="5" customFormat="1" ht="18" customHeight="1" x14ac:dyDescent="0.3">
      <c r="A139" s="47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59"/>
      <c r="N139" s="15"/>
      <c r="O139" s="16" t="s">
        <v>32</v>
      </c>
      <c r="P139" s="16"/>
      <c r="Q139" s="16"/>
      <c r="R139" s="16" t="str">
        <f t="shared" si="27"/>
        <v/>
      </c>
      <c r="S139" s="7"/>
      <c r="T139" s="16" t="s">
        <v>32</v>
      </c>
      <c r="U139" s="29" t="str">
        <f>Y138</f>
        <v/>
      </c>
      <c r="V139" s="18"/>
      <c r="W139" s="29" t="str">
        <f t="shared" si="29"/>
        <v/>
      </c>
      <c r="X139" s="18"/>
      <c r="Y139" s="29" t="str">
        <f t="shared" si="30"/>
        <v/>
      </c>
      <c r="Z139" s="20"/>
    </row>
    <row r="140" spans="1:28" s="5" customFormat="1" ht="18" customHeight="1" thickBot="1" x14ac:dyDescent="0.35">
      <c r="A140" s="73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5"/>
      <c r="N140" s="15"/>
      <c r="O140" s="16" t="s">
        <v>33</v>
      </c>
      <c r="P140" s="16"/>
      <c r="Q140" s="16"/>
      <c r="R140" s="16" t="str">
        <f t="shared" si="27"/>
        <v/>
      </c>
      <c r="S140" s="7"/>
      <c r="T140" s="16" t="s">
        <v>33</v>
      </c>
      <c r="U140" s="29">
        <v>0</v>
      </c>
      <c r="V140" s="18"/>
      <c r="W140" s="29">
        <f t="shared" si="29"/>
        <v>0</v>
      </c>
      <c r="X140" s="18"/>
      <c r="Y140" s="29">
        <f t="shared" si="30"/>
        <v>0</v>
      </c>
      <c r="Z140" s="20"/>
    </row>
    <row r="141" spans="1:28" s="27" customFormat="1" ht="18" customHeight="1" thickBot="1" x14ac:dyDescent="0.2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8" s="5" customFormat="1" ht="18" customHeight="1" thickBot="1" x14ac:dyDescent="0.25">
      <c r="A142" s="138" t="s">
        <v>15</v>
      </c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40"/>
      <c r="M142" s="4"/>
      <c r="N142" s="8"/>
      <c r="O142" s="133" t="s">
        <v>17</v>
      </c>
      <c r="P142" s="134"/>
      <c r="Q142" s="134"/>
      <c r="R142" s="135"/>
      <c r="S142" s="9"/>
      <c r="T142" s="133" t="s">
        <v>18</v>
      </c>
      <c r="U142" s="134"/>
      <c r="V142" s="134"/>
      <c r="W142" s="134"/>
      <c r="X142" s="134"/>
      <c r="Y142" s="135"/>
      <c r="Z142" s="10"/>
      <c r="AA142" s="4"/>
    </row>
    <row r="143" spans="1:28" s="5" customFormat="1" ht="18" customHeight="1" x14ac:dyDescent="0.2">
      <c r="A143" s="47"/>
      <c r="B143" s="45"/>
      <c r="C143" s="147" t="s">
        <v>94</v>
      </c>
      <c r="D143" s="147"/>
      <c r="E143" s="147"/>
      <c r="F143" s="147"/>
      <c r="G143" s="48" t="str">
        <f>$J$1</f>
        <v>February</v>
      </c>
      <c r="H143" s="146">
        <f>$K$1</f>
        <v>2024</v>
      </c>
      <c r="I143" s="146"/>
      <c r="J143" s="45"/>
      <c r="K143" s="49"/>
      <c r="L143" s="50"/>
      <c r="M143" s="6"/>
      <c r="N143" s="11"/>
      <c r="O143" s="12" t="s">
        <v>28</v>
      </c>
      <c r="P143" s="12" t="s">
        <v>5</v>
      </c>
      <c r="Q143" s="12" t="s">
        <v>4</v>
      </c>
      <c r="R143" s="12" t="s">
        <v>29</v>
      </c>
      <c r="S143" s="13"/>
      <c r="T143" s="12" t="s">
        <v>28</v>
      </c>
      <c r="U143" s="12" t="s">
        <v>30</v>
      </c>
      <c r="V143" s="12" t="s">
        <v>10</v>
      </c>
      <c r="W143" s="12" t="s">
        <v>9</v>
      </c>
      <c r="X143" s="12" t="s">
        <v>11</v>
      </c>
      <c r="Y143" s="12" t="s">
        <v>34</v>
      </c>
      <c r="Z143" s="14"/>
      <c r="AA143" s="6"/>
    </row>
    <row r="144" spans="1:28" s="5" customFormat="1" ht="18" customHeight="1" x14ac:dyDescent="0.2">
      <c r="A144" s="47"/>
      <c r="B144" s="45"/>
      <c r="C144" s="45"/>
      <c r="D144" s="51"/>
      <c r="E144" s="51"/>
      <c r="F144" s="51"/>
      <c r="G144" s="51"/>
      <c r="H144" s="51"/>
      <c r="I144" s="45"/>
      <c r="J144" s="52" t="s">
        <v>1</v>
      </c>
      <c r="K144" s="53">
        <f>30000+5000</f>
        <v>35000</v>
      </c>
      <c r="L144" s="54"/>
      <c r="N144" s="15"/>
      <c r="O144" s="16" t="s">
        <v>20</v>
      </c>
      <c r="P144" s="16">
        <v>31</v>
      </c>
      <c r="Q144" s="16">
        <v>0</v>
      </c>
      <c r="R144" s="16">
        <v>7</v>
      </c>
      <c r="S144" s="17"/>
      <c r="T144" s="16" t="s">
        <v>20</v>
      </c>
      <c r="U144" s="18">
        <v>40867</v>
      </c>
      <c r="V144" s="18"/>
      <c r="W144" s="18">
        <f>V144+U144</f>
        <v>40867</v>
      </c>
      <c r="X144" s="18">
        <v>5000</v>
      </c>
      <c r="Y144" s="18">
        <f>W144-X144</f>
        <v>35867</v>
      </c>
      <c r="Z144" s="14"/>
    </row>
    <row r="145" spans="1:27" s="5" customFormat="1" ht="18" customHeight="1" x14ac:dyDescent="0.2">
      <c r="A145" s="47"/>
      <c r="B145" s="45" t="s">
        <v>0</v>
      </c>
      <c r="C145" s="44" t="s">
        <v>12</v>
      </c>
      <c r="D145" s="45"/>
      <c r="E145" s="45"/>
      <c r="F145" s="45"/>
      <c r="G145" s="45"/>
      <c r="H145" s="55"/>
      <c r="I145" s="51"/>
      <c r="J145" s="45"/>
      <c r="K145" s="45"/>
      <c r="L145" s="56"/>
      <c r="M145" s="4"/>
      <c r="N145" s="19"/>
      <c r="O145" s="16" t="s">
        <v>46</v>
      </c>
      <c r="P145" s="16">
        <v>29</v>
      </c>
      <c r="Q145" s="16">
        <v>0</v>
      </c>
      <c r="R145" s="16">
        <f t="shared" ref="R145:R155" si="31">IF(Q145="","",R144-Q145)</f>
        <v>7</v>
      </c>
      <c r="S145" s="7"/>
      <c r="T145" s="16" t="s">
        <v>46</v>
      </c>
      <c r="U145" s="29">
        <f>Y144</f>
        <v>35867</v>
      </c>
      <c r="V145" s="18">
        <v>3000</v>
      </c>
      <c r="W145" s="29">
        <f>IF(U145="","",U145+V145)</f>
        <v>38867</v>
      </c>
      <c r="X145" s="18">
        <v>3000</v>
      </c>
      <c r="Y145" s="29">
        <f>IF(W145="","",W145-X145)</f>
        <v>35867</v>
      </c>
      <c r="Z145" s="20"/>
      <c r="AA145" s="4"/>
    </row>
    <row r="146" spans="1:27" s="5" customFormat="1" ht="18" customHeight="1" x14ac:dyDescent="0.2">
      <c r="A146" s="47"/>
      <c r="B146" s="57" t="s">
        <v>16</v>
      </c>
      <c r="C146" s="58"/>
      <c r="D146" s="45"/>
      <c r="E146" s="45"/>
      <c r="F146" s="141" t="s">
        <v>18</v>
      </c>
      <c r="G146" s="143"/>
      <c r="H146" s="45"/>
      <c r="I146" s="141" t="s">
        <v>19</v>
      </c>
      <c r="J146" s="142"/>
      <c r="K146" s="143"/>
      <c r="L146" s="59"/>
      <c r="N146" s="15"/>
      <c r="O146" s="16" t="s">
        <v>21</v>
      </c>
      <c r="P146" s="16"/>
      <c r="Q146" s="16"/>
      <c r="R146" s="16" t="str">
        <f t="shared" si="31"/>
        <v/>
      </c>
      <c r="S146" s="7"/>
      <c r="T146" s="16" t="s">
        <v>21</v>
      </c>
      <c r="U146" s="29"/>
      <c r="V146" s="18"/>
      <c r="W146" s="29" t="str">
        <f t="shared" ref="W146:W155" si="32">IF(U146="","",U146+V146)</f>
        <v/>
      </c>
      <c r="X146" s="18"/>
      <c r="Y146" s="29" t="str">
        <f t="shared" ref="Y146:Y155" si="33">IF(W146="","",W146-X146)</f>
        <v/>
      </c>
      <c r="Z146" s="20"/>
    </row>
    <row r="147" spans="1:27" s="5" customFormat="1" ht="18" customHeight="1" x14ac:dyDescent="0.2">
      <c r="A147" s="47"/>
      <c r="B147" s="45"/>
      <c r="C147" s="45"/>
      <c r="D147" s="45"/>
      <c r="E147" s="45"/>
      <c r="F147" s="45"/>
      <c r="G147" s="45"/>
      <c r="H147" s="60"/>
      <c r="I147" s="45"/>
      <c r="J147" s="45"/>
      <c r="K147" s="45"/>
      <c r="L147" s="61"/>
      <c r="N147" s="15"/>
      <c r="O147" s="16" t="s">
        <v>22</v>
      </c>
      <c r="P147" s="16"/>
      <c r="Q147" s="16"/>
      <c r="R147" s="16" t="str">
        <f t="shared" si="31"/>
        <v/>
      </c>
      <c r="S147" s="7"/>
      <c r="T147" s="16" t="s">
        <v>22</v>
      </c>
      <c r="U147" s="29"/>
      <c r="V147" s="18"/>
      <c r="W147" s="29" t="str">
        <f t="shared" si="32"/>
        <v/>
      </c>
      <c r="X147" s="18"/>
      <c r="Y147" s="29" t="str">
        <f t="shared" si="33"/>
        <v/>
      </c>
      <c r="Z147" s="20"/>
    </row>
    <row r="148" spans="1:27" s="5" customFormat="1" ht="18" customHeight="1" x14ac:dyDescent="0.2">
      <c r="A148" s="47"/>
      <c r="B148" s="144" t="s">
        <v>17</v>
      </c>
      <c r="C148" s="145"/>
      <c r="D148" s="45"/>
      <c r="E148" s="45"/>
      <c r="F148" s="62" t="s">
        <v>39</v>
      </c>
      <c r="G148" s="6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60"/>
      <c r="I148" s="64">
        <f>IF(C152&gt;0,$K$2,C150)</f>
        <v>29</v>
      </c>
      <c r="J148" s="65" t="s">
        <v>36</v>
      </c>
      <c r="K148" s="66">
        <f>K144/$K$2*I148</f>
        <v>35000</v>
      </c>
      <c r="L148" s="67"/>
      <c r="N148" s="15"/>
      <c r="O148" s="16" t="s">
        <v>23</v>
      </c>
      <c r="P148" s="16"/>
      <c r="Q148" s="16"/>
      <c r="R148" s="16" t="str">
        <f t="shared" si="31"/>
        <v/>
      </c>
      <c r="S148" s="7"/>
      <c r="T148" s="16" t="s">
        <v>23</v>
      </c>
      <c r="U148" s="29"/>
      <c r="V148" s="18"/>
      <c r="W148" s="29" t="str">
        <f t="shared" si="32"/>
        <v/>
      </c>
      <c r="X148" s="18"/>
      <c r="Y148" s="29" t="str">
        <f t="shared" si="33"/>
        <v/>
      </c>
      <c r="Z148" s="20"/>
    </row>
    <row r="149" spans="1:27" s="5" customFormat="1" ht="18" customHeight="1" x14ac:dyDescent="0.2">
      <c r="A149" s="47"/>
      <c r="B149" s="68"/>
      <c r="C149" s="68"/>
      <c r="D149" s="45"/>
      <c r="E149" s="45"/>
      <c r="F149" s="62" t="s">
        <v>10</v>
      </c>
      <c r="G149" s="6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60"/>
      <c r="I149" s="64">
        <v>47</v>
      </c>
      <c r="J149" s="65" t="s">
        <v>37</v>
      </c>
      <c r="K149" s="69">
        <f>K144/$K$2/8*I149</f>
        <v>7090.5172413793098</v>
      </c>
      <c r="L149" s="70"/>
      <c r="N149" s="15"/>
      <c r="O149" s="16" t="s">
        <v>24</v>
      </c>
      <c r="P149" s="16"/>
      <c r="Q149" s="16"/>
      <c r="R149" s="16" t="str">
        <f t="shared" si="31"/>
        <v/>
      </c>
      <c r="S149" s="7"/>
      <c r="T149" s="16" t="s">
        <v>24</v>
      </c>
      <c r="U149" s="29"/>
      <c r="V149" s="18"/>
      <c r="W149" s="29" t="str">
        <f t="shared" si="32"/>
        <v/>
      </c>
      <c r="X149" s="18"/>
      <c r="Y149" s="29" t="str">
        <f t="shared" si="33"/>
        <v/>
      </c>
      <c r="Z149" s="20"/>
    </row>
    <row r="150" spans="1:27" s="5" customFormat="1" ht="18" customHeight="1" x14ac:dyDescent="0.2">
      <c r="A150" s="47"/>
      <c r="B150" s="62" t="s">
        <v>5</v>
      </c>
      <c r="C150" s="68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45"/>
      <c r="E150" s="45"/>
      <c r="F150" s="62" t="s">
        <v>40</v>
      </c>
      <c r="G150" s="63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60"/>
      <c r="I150" s="136" t="s">
        <v>44</v>
      </c>
      <c r="J150" s="137"/>
      <c r="K150" s="69">
        <f>K148+K149</f>
        <v>42090.517241379312</v>
      </c>
      <c r="L150" s="70"/>
      <c r="N150" s="15"/>
      <c r="O150" s="16" t="s">
        <v>25</v>
      </c>
      <c r="P150" s="16"/>
      <c r="Q150" s="16"/>
      <c r="R150" s="16" t="str">
        <f t="shared" si="31"/>
        <v/>
      </c>
      <c r="S150" s="7"/>
      <c r="T150" s="16" t="s">
        <v>25</v>
      </c>
      <c r="U150" s="29"/>
      <c r="V150" s="18"/>
      <c r="W150" s="29" t="str">
        <f t="shared" si="32"/>
        <v/>
      </c>
      <c r="X150" s="18"/>
      <c r="Y150" s="29" t="str">
        <f t="shared" si="33"/>
        <v/>
      </c>
      <c r="Z150" s="20"/>
    </row>
    <row r="151" spans="1:27" s="5" customFormat="1" ht="18" customHeight="1" x14ac:dyDescent="0.2">
      <c r="A151" s="47"/>
      <c r="B151" s="62" t="s">
        <v>4</v>
      </c>
      <c r="C151" s="68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45"/>
      <c r="E151" s="45"/>
      <c r="F151" s="62" t="s">
        <v>11</v>
      </c>
      <c r="G151" s="6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3000</v>
      </c>
      <c r="H151" s="60"/>
      <c r="I151" s="136" t="s">
        <v>45</v>
      </c>
      <c r="J151" s="137"/>
      <c r="K151" s="63">
        <f>G151</f>
        <v>3000</v>
      </c>
      <c r="L151" s="71"/>
      <c r="N151" s="15"/>
      <c r="O151" s="16" t="s">
        <v>26</v>
      </c>
      <c r="P151" s="16"/>
      <c r="Q151" s="16"/>
      <c r="R151" s="16" t="str">
        <f t="shared" si="31"/>
        <v/>
      </c>
      <c r="S151" s="7"/>
      <c r="T151" s="16" t="s">
        <v>26</v>
      </c>
      <c r="U151" s="29"/>
      <c r="V151" s="18"/>
      <c r="W151" s="29" t="str">
        <f t="shared" si="32"/>
        <v/>
      </c>
      <c r="X151" s="18"/>
      <c r="Y151" s="29" t="str">
        <f t="shared" si="33"/>
        <v/>
      </c>
      <c r="Z151" s="20"/>
    </row>
    <row r="152" spans="1:27" s="5" customFormat="1" ht="18" customHeight="1" x14ac:dyDescent="0.2">
      <c r="A152" s="47"/>
      <c r="B152" s="77" t="s">
        <v>43</v>
      </c>
      <c r="C152" s="68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45"/>
      <c r="E152" s="45"/>
      <c r="F152" s="77" t="s">
        <v>86</v>
      </c>
      <c r="G152" s="63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45"/>
      <c r="I152" s="141" t="s">
        <v>38</v>
      </c>
      <c r="J152" s="143"/>
      <c r="K152" s="41">
        <f>K150-K151</f>
        <v>39090.517241379312</v>
      </c>
      <c r="L152" s="72"/>
      <c r="N152" s="15"/>
      <c r="O152" s="16" t="s">
        <v>31</v>
      </c>
      <c r="P152" s="16"/>
      <c r="Q152" s="16"/>
      <c r="R152" s="16" t="str">
        <f t="shared" si="31"/>
        <v/>
      </c>
      <c r="S152" s="7"/>
      <c r="T152" s="16" t="s">
        <v>31</v>
      </c>
      <c r="U152" s="29"/>
      <c r="V152" s="18"/>
      <c r="W152" s="29" t="str">
        <f t="shared" si="32"/>
        <v/>
      </c>
      <c r="X152" s="18"/>
      <c r="Y152" s="29" t="str">
        <f t="shared" si="33"/>
        <v/>
      </c>
      <c r="Z152" s="20"/>
    </row>
    <row r="153" spans="1:27" s="5" customFormat="1" ht="18" customHeight="1" x14ac:dyDescent="0.2">
      <c r="A153" s="47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59"/>
      <c r="N153" s="15"/>
      <c r="O153" s="16" t="s">
        <v>27</v>
      </c>
      <c r="P153" s="16"/>
      <c r="Q153" s="16"/>
      <c r="R153" s="16" t="str">
        <f t="shared" si="31"/>
        <v/>
      </c>
      <c r="S153" s="7"/>
      <c r="T153" s="16" t="s">
        <v>27</v>
      </c>
      <c r="U153" s="29"/>
      <c r="V153" s="18"/>
      <c r="W153" s="29" t="str">
        <f t="shared" si="32"/>
        <v/>
      </c>
      <c r="X153" s="18"/>
      <c r="Y153" s="29" t="str">
        <f t="shared" si="33"/>
        <v/>
      </c>
      <c r="Z153" s="20"/>
    </row>
    <row r="154" spans="1:27" s="5" customFormat="1" ht="18" customHeight="1" x14ac:dyDescent="0.3">
      <c r="A154" s="47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59"/>
      <c r="N154" s="15"/>
      <c r="O154" s="16" t="s">
        <v>32</v>
      </c>
      <c r="P154" s="16"/>
      <c r="Q154" s="16"/>
      <c r="R154" s="16" t="str">
        <f t="shared" si="31"/>
        <v/>
      </c>
      <c r="S154" s="7"/>
      <c r="T154" s="16" t="s">
        <v>32</v>
      </c>
      <c r="U154" s="29"/>
      <c r="V154" s="18"/>
      <c r="W154" s="29" t="str">
        <f t="shared" si="32"/>
        <v/>
      </c>
      <c r="X154" s="18"/>
      <c r="Y154" s="29" t="str">
        <f t="shared" si="33"/>
        <v/>
      </c>
      <c r="Z154" s="20"/>
    </row>
    <row r="155" spans="1:27" s="5" customFormat="1" ht="18" customHeight="1" thickBot="1" x14ac:dyDescent="0.35">
      <c r="A155" s="73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5"/>
      <c r="N155" s="15"/>
      <c r="O155" s="16" t="s">
        <v>33</v>
      </c>
      <c r="P155" s="16"/>
      <c r="Q155" s="16"/>
      <c r="R155" s="16" t="str">
        <f t="shared" si="31"/>
        <v/>
      </c>
      <c r="S155" s="7"/>
      <c r="T155" s="16" t="s">
        <v>33</v>
      </c>
      <c r="U155" s="29"/>
      <c r="V155" s="18"/>
      <c r="W155" s="29" t="str">
        <f t="shared" si="32"/>
        <v/>
      </c>
      <c r="X155" s="18"/>
      <c r="Y155" s="29" t="str">
        <f t="shared" si="33"/>
        <v/>
      </c>
      <c r="Z155" s="20"/>
    </row>
    <row r="156" spans="1:27" s="27" customFormat="1" ht="18" customHeight="1" thickBot="1" x14ac:dyDescent="0.25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7" s="5" customFormat="1" ht="18" customHeight="1" thickBot="1" x14ac:dyDescent="0.25">
      <c r="A157" s="138" t="s">
        <v>15</v>
      </c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40"/>
      <c r="M157" s="4"/>
      <c r="N157" s="8"/>
      <c r="O157" s="133" t="s">
        <v>17</v>
      </c>
      <c r="P157" s="134"/>
      <c r="Q157" s="134"/>
      <c r="R157" s="135"/>
      <c r="S157" s="9"/>
      <c r="T157" s="133" t="s">
        <v>18</v>
      </c>
      <c r="U157" s="134"/>
      <c r="V157" s="134"/>
      <c r="W157" s="134"/>
      <c r="X157" s="134"/>
      <c r="Y157" s="135"/>
      <c r="Z157" s="10"/>
      <c r="AA157" s="4"/>
    </row>
    <row r="158" spans="1:27" s="5" customFormat="1" ht="18" customHeight="1" x14ac:dyDescent="0.2">
      <c r="A158" s="47"/>
      <c r="B158" s="45"/>
      <c r="C158" s="147" t="s">
        <v>94</v>
      </c>
      <c r="D158" s="147"/>
      <c r="E158" s="147"/>
      <c r="F158" s="147"/>
      <c r="G158" s="48" t="str">
        <f>$J$1</f>
        <v>February</v>
      </c>
      <c r="H158" s="146">
        <f>$K$1</f>
        <v>2024</v>
      </c>
      <c r="I158" s="146"/>
      <c r="J158" s="45"/>
      <c r="K158" s="49"/>
      <c r="L158" s="50"/>
      <c r="M158" s="6"/>
      <c r="N158" s="11"/>
      <c r="O158" s="12" t="s">
        <v>28</v>
      </c>
      <c r="P158" s="12" t="s">
        <v>5</v>
      </c>
      <c r="Q158" s="12" t="s">
        <v>4</v>
      </c>
      <c r="R158" s="12" t="s">
        <v>29</v>
      </c>
      <c r="S158" s="13"/>
      <c r="T158" s="12" t="s">
        <v>28</v>
      </c>
      <c r="U158" s="12" t="s">
        <v>30</v>
      </c>
      <c r="V158" s="12" t="s">
        <v>10</v>
      </c>
      <c r="W158" s="12" t="s">
        <v>9</v>
      </c>
      <c r="X158" s="12" t="s">
        <v>11</v>
      </c>
      <c r="Y158" s="12" t="s">
        <v>34</v>
      </c>
      <c r="Z158" s="14"/>
      <c r="AA158" s="6"/>
    </row>
    <row r="159" spans="1:27" s="5" customFormat="1" ht="18" customHeight="1" x14ac:dyDescent="0.2">
      <c r="A159" s="47"/>
      <c r="B159" s="45"/>
      <c r="C159" s="45"/>
      <c r="D159" s="51"/>
      <c r="E159" s="51"/>
      <c r="F159" s="51"/>
      <c r="G159" s="51"/>
      <c r="H159" s="51"/>
      <c r="I159" s="45"/>
      <c r="J159" s="52" t="s">
        <v>1</v>
      </c>
      <c r="K159" s="53">
        <v>60000</v>
      </c>
      <c r="L159" s="54"/>
      <c r="N159" s="15"/>
      <c r="O159" s="16" t="s">
        <v>20</v>
      </c>
      <c r="P159" s="16">
        <v>27</v>
      </c>
      <c r="Q159" s="16">
        <v>4</v>
      </c>
      <c r="R159" s="16">
        <f>29-Q159</f>
        <v>25</v>
      </c>
      <c r="S159" s="17"/>
      <c r="T159" s="16" t="s">
        <v>20</v>
      </c>
      <c r="U159" s="18">
        <v>48200</v>
      </c>
      <c r="V159" s="18"/>
      <c r="W159" s="18">
        <f>V159+U159</f>
        <v>48200</v>
      </c>
      <c r="X159" s="18">
        <v>5000</v>
      </c>
      <c r="Y159" s="18">
        <f>W159-X159</f>
        <v>43200</v>
      </c>
      <c r="Z159" s="14"/>
    </row>
    <row r="160" spans="1:27" s="5" customFormat="1" ht="18" customHeight="1" x14ac:dyDescent="0.2">
      <c r="A160" s="47"/>
      <c r="B160" s="45" t="s">
        <v>0</v>
      </c>
      <c r="C160" s="44" t="s">
        <v>79</v>
      </c>
      <c r="D160" s="45"/>
      <c r="E160" s="45"/>
      <c r="F160" s="45"/>
      <c r="G160" s="45"/>
      <c r="H160" s="55"/>
      <c r="I160" s="51"/>
      <c r="J160" s="45"/>
      <c r="K160" s="45"/>
      <c r="L160" s="56"/>
      <c r="M160" s="4"/>
      <c r="N160" s="19"/>
      <c r="O160" s="16" t="s">
        <v>46</v>
      </c>
      <c r="P160" s="16">
        <v>27</v>
      </c>
      <c r="Q160" s="16">
        <v>2</v>
      </c>
      <c r="R160" s="16">
        <f t="shared" ref="R160:R170" si="34">IF(Q160="","",R159-Q160)</f>
        <v>23</v>
      </c>
      <c r="S160" s="7"/>
      <c r="T160" s="16" t="s">
        <v>46</v>
      </c>
      <c r="U160" s="29">
        <f>Y159</f>
        <v>43200</v>
      </c>
      <c r="V160" s="18"/>
      <c r="W160" s="29">
        <f>IF(U160="","",U160+V160)</f>
        <v>43200</v>
      </c>
      <c r="X160" s="18">
        <v>5000</v>
      </c>
      <c r="Y160" s="29">
        <f>IF(W160="","",W160-X160)</f>
        <v>38200</v>
      </c>
      <c r="Z160" s="20"/>
      <c r="AA160" s="4"/>
    </row>
    <row r="161" spans="1:27" s="5" customFormat="1" ht="18" customHeight="1" x14ac:dyDescent="0.2">
      <c r="A161" s="47"/>
      <c r="B161" s="57" t="s">
        <v>16</v>
      </c>
      <c r="C161" s="58"/>
      <c r="D161" s="45"/>
      <c r="E161" s="45"/>
      <c r="F161" s="141" t="s">
        <v>18</v>
      </c>
      <c r="G161" s="143"/>
      <c r="H161" s="45"/>
      <c r="I161" s="141" t="s">
        <v>19</v>
      </c>
      <c r="J161" s="142"/>
      <c r="K161" s="143"/>
      <c r="L161" s="59"/>
      <c r="N161" s="15"/>
      <c r="O161" s="16" t="s">
        <v>21</v>
      </c>
      <c r="P161" s="16"/>
      <c r="Q161" s="16"/>
      <c r="R161" s="16" t="str">
        <f t="shared" si="34"/>
        <v/>
      </c>
      <c r="S161" s="7"/>
      <c r="T161" s="16" t="s">
        <v>21</v>
      </c>
      <c r="U161" s="29"/>
      <c r="V161" s="18"/>
      <c r="W161" s="29" t="str">
        <f t="shared" ref="W161:W170" si="35">IF(U161="","",U161+V161)</f>
        <v/>
      </c>
      <c r="X161" s="18"/>
      <c r="Y161" s="29" t="str">
        <f t="shared" ref="Y161:Y170" si="36">IF(W161="","",W161-X161)</f>
        <v/>
      </c>
      <c r="Z161" s="20"/>
    </row>
    <row r="162" spans="1:27" s="5" customFormat="1" ht="18" customHeight="1" x14ac:dyDescent="0.2">
      <c r="A162" s="47"/>
      <c r="B162" s="45"/>
      <c r="C162" s="45"/>
      <c r="D162" s="45"/>
      <c r="E162" s="45"/>
      <c r="F162" s="45"/>
      <c r="G162" s="45"/>
      <c r="H162" s="60"/>
      <c r="I162" s="45"/>
      <c r="J162" s="45"/>
      <c r="K162" s="45"/>
      <c r="L162" s="61"/>
      <c r="N162" s="15"/>
      <c r="O162" s="16" t="s">
        <v>22</v>
      </c>
      <c r="P162" s="16"/>
      <c r="Q162" s="16"/>
      <c r="R162" s="16" t="str">
        <f t="shared" si="34"/>
        <v/>
      </c>
      <c r="S162" s="7"/>
      <c r="T162" s="16" t="s">
        <v>22</v>
      </c>
      <c r="U162" s="29"/>
      <c r="V162" s="18"/>
      <c r="W162" s="29" t="str">
        <f t="shared" si="35"/>
        <v/>
      </c>
      <c r="X162" s="18"/>
      <c r="Y162" s="29" t="str">
        <f t="shared" si="36"/>
        <v/>
      </c>
      <c r="Z162" s="20"/>
    </row>
    <row r="163" spans="1:27" s="5" customFormat="1" ht="18" customHeight="1" x14ac:dyDescent="0.2">
      <c r="A163" s="47"/>
      <c r="B163" s="144" t="s">
        <v>17</v>
      </c>
      <c r="C163" s="145"/>
      <c r="D163" s="45"/>
      <c r="E163" s="45"/>
      <c r="F163" s="62" t="s">
        <v>39</v>
      </c>
      <c r="G163" s="6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60"/>
      <c r="I163" s="64">
        <f>IF(C167&gt;=C166,$K$2,C165+C167)</f>
        <v>29</v>
      </c>
      <c r="J163" s="65" t="s">
        <v>36</v>
      </c>
      <c r="K163" s="66">
        <f>K159/$K$2*I163</f>
        <v>60000.000000000007</v>
      </c>
      <c r="L163" s="67"/>
      <c r="N163" s="15"/>
      <c r="O163" s="16" t="s">
        <v>23</v>
      </c>
      <c r="P163" s="16"/>
      <c r="Q163" s="16"/>
      <c r="R163" s="16" t="str">
        <f t="shared" si="34"/>
        <v/>
      </c>
      <c r="S163" s="7"/>
      <c r="T163" s="16" t="s">
        <v>23</v>
      </c>
      <c r="U163" s="29"/>
      <c r="V163" s="18"/>
      <c r="W163" s="29" t="str">
        <f t="shared" si="35"/>
        <v/>
      </c>
      <c r="X163" s="18"/>
      <c r="Y163" s="29" t="str">
        <f t="shared" si="36"/>
        <v/>
      </c>
      <c r="Z163" s="20"/>
    </row>
    <row r="164" spans="1:27" s="5" customFormat="1" ht="18" customHeight="1" x14ac:dyDescent="0.2">
      <c r="A164" s="47"/>
      <c r="B164" s="68"/>
      <c r="C164" s="68"/>
      <c r="D164" s="45"/>
      <c r="E164" s="45"/>
      <c r="F164" s="62" t="s">
        <v>10</v>
      </c>
      <c r="G164" s="6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60"/>
      <c r="I164" s="64">
        <v>82</v>
      </c>
      <c r="J164" s="65" t="s">
        <v>37</v>
      </c>
      <c r="K164" s="69">
        <f>K159/$K$2/8*I164</f>
        <v>21206.896551724141</v>
      </c>
      <c r="L164" s="70"/>
      <c r="N164" s="15"/>
      <c r="O164" s="16" t="s">
        <v>24</v>
      </c>
      <c r="P164" s="16"/>
      <c r="Q164" s="16"/>
      <c r="R164" s="16" t="str">
        <f t="shared" si="34"/>
        <v/>
      </c>
      <c r="S164" s="7"/>
      <c r="T164" s="16" t="s">
        <v>24</v>
      </c>
      <c r="U164" s="29"/>
      <c r="V164" s="18"/>
      <c r="W164" s="29" t="str">
        <f t="shared" si="35"/>
        <v/>
      </c>
      <c r="X164" s="18"/>
      <c r="Y164" s="29" t="str">
        <f t="shared" si="36"/>
        <v/>
      </c>
      <c r="Z164" s="20"/>
    </row>
    <row r="165" spans="1:27" s="5" customFormat="1" ht="18" customHeight="1" x14ac:dyDescent="0.2">
      <c r="A165" s="47"/>
      <c r="B165" s="62" t="s">
        <v>5</v>
      </c>
      <c r="C165" s="68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45"/>
      <c r="E165" s="45"/>
      <c r="F165" s="62" t="s">
        <v>40</v>
      </c>
      <c r="G165" s="63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60"/>
      <c r="I165" s="136" t="s">
        <v>44</v>
      </c>
      <c r="J165" s="137"/>
      <c r="K165" s="69">
        <f>K163+K164</f>
        <v>81206.896551724145</v>
      </c>
      <c r="L165" s="70"/>
      <c r="N165" s="15"/>
      <c r="O165" s="16" t="s">
        <v>25</v>
      </c>
      <c r="P165" s="16"/>
      <c r="Q165" s="16"/>
      <c r="R165" s="16" t="str">
        <f t="shared" si="34"/>
        <v/>
      </c>
      <c r="S165" s="7"/>
      <c r="T165" s="16" t="s">
        <v>25</v>
      </c>
      <c r="U165" s="29"/>
      <c r="V165" s="18"/>
      <c r="W165" s="29" t="str">
        <f t="shared" si="35"/>
        <v/>
      </c>
      <c r="X165" s="18"/>
      <c r="Y165" s="29" t="str">
        <f t="shared" si="36"/>
        <v/>
      </c>
      <c r="Z165" s="20"/>
    </row>
    <row r="166" spans="1:27" s="5" customFormat="1" ht="18" customHeight="1" x14ac:dyDescent="0.2">
      <c r="A166" s="47"/>
      <c r="B166" s="62" t="s">
        <v>4</v>
      </c>
      <c r="C166" s="68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45"/>
      <c r="E166" s="45"/>
      <c r="F166" s="62" t="s">
        <v>11</v>
      </c>
      <c r="G166" s="6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60"/>
      <c r="I166" s="136" t="s">
        <v>45</v>
      </c>
      <c r="J166" s="137"/>
      <c r="K166" s="63">
        <f>G166</f>
        <v>5000</v>
      </c>
      <c r="L166" s="71"/>
      <c r="N166" s="15"/>
      <c r="O166" s="16" t="s">
        <v>26</v>
      </c>
      <c r="P166" s="16"/>
      <c r="Q166" s="16"/>
      <c r="R166" s="16" t="str">
        <f t="shared" si="34"/>
        <v/>
      </c>
      <c r="S166" s="7"/>
      <c r="T166" s="16" t="s">
        <v>26</v>
      </c>
      <c r="U166" s="29"/>
      <c r="V166" s="18"/>
      <c r="W166" s="29" t="str">
        <f t="shared" si="35"/>
        <v/>
      </c>
      <c r="X166" s="18"/>
      <c r="Y166" s="29" t="str">
        <f t="shared" si="36"/>
        <v/>
      </c>
      <c r="Z166" s="20"/>
    </row>
    <row r="167" spans="1:27" s="5" customFormat="1" ht="18" customHeight="1" x14ac:dyDescent="0.2">
      <c r="A167" s="47"/>
      <c r="B167" s="77" t="s">
        <v>43</v>
      </c>
      <c r="C167" s="68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45"/>
      <c r="E167" s="45"/>
      <c r="F167" s="77" t="s">
        <v>86</v>
      </c>
      <c r="G167" s="63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45"/>
      <c r="I167" s="141" t="s">
        <v>38</v>
      </c>
      <c r="J167" s="143"/>
      <c r="K167" s="41">
        <f>K165-K166</f>
        <v>76206.896551724145</v>
      </c>
      <c r="L167" s="72"/>
      <c r="N167" s="15"/>
      <c r="O167" s="16" t="s">
        <v>31</v>
      </c>
      <c r="P167" s="16"/>
      <c r="Q167" s="16"/>
      <c r="R167" s="16" t="str">
        <f t="shared" si="34"/>
        <v/>
      </c>
      <c r="S167" s="7"/>
      <c r="T167" s="16" t="s">
        <v>31</v>
      </c>
      <c r="U167" s="29"/>
      <c r="V167" s="18"/>
      <c r="W167" s="29" t="str">
        <f t="shared" si="35"/>
        <v/>
      </c>
      <c r="X167" s="18"/>
      <c r="Y167" s="29" t="str">
        <f t="shared" si="36"/>
        <v/>
      </c>
      <c r="Z167" s="20"/>
    </row>
    <row r="168" spans="1:27" s="5" customFormat="1" ht="18" customHeight="1" x14ac:dyDescent="0.2">
      <c r="A168" s="47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59"/>
      <c r="N168" s="15"/>
      <c r="O168" s="16" t="s">
        <v>27</v>
      </c>
      <c r="P168" s="16"/>
      <c r="Q168" s="16"/>
      <c r="R168" s="16" t="str">
        <f t="shared" si="34"/>
        <v/>
      </c>
      <c r="S168" s="7"/>
      <c r="T168" s="16" t="s">
        <v>27</v>
      </c>
      <c r="U168" s="29"/>
      <c r="V168" s="18"/>
      <c r="W168" s="29" t="str">
        <f t="shared" si="35"/>
        <v/>
      </c>
      <c r="X168" s="18"/>
      <c r="Y168" s="29" t="str">
        <f t="shared" si="36"/>
        <v/>
      </c>
      <c r="Z168" s="20"/>
    </row>
    <row r="169" spans="1:27" s="5" customFormat="1" ht="18" customHeight="1" x14ac:dyDescent="0.3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5"/>
      <c r="L169" s="59"/>
      <c r="N169" s="15"/>
      <c r="O169" s="16" t="s">
        <v>32</v>
      </c>
      <c r="P169" s="16"/>
      <c r="Q169" s="16"/>
      <c r="R169" s="16" t="str">
        <f t="shared" si="34"/>
        <v/>
      </c>
      <c r="S169" s="7"/>
      <c r="T169" s="16" t="s">
        <v>32</v>
      </c>
      <c r="U169" s="29"/>
      <c r="V169" s="18"/>
      <c r="W169" s="29" t="str">
        <f t="shared" si="35"/>
        <v/>
      </c>
      <c r="X169" s="18"/>
      <c r="Y169" s="29" t="str">
        <f t="shared" si="36"/>
        <v/>
      </c>
      <c r="Z169" s="20"/>
    </row>
    <row r="170" spans="1:27" s="5" customFormat="1" ht="18" customHeight="1" thickBot="1" x14ac:dyDescent="0.35">
      <c r="A170" s="73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5"/>
      <c r="N170" s="15"/>
      <c r="O170" s="16" t="s">
        <v>33</v>
      </c>
      <c r="P170" s="16"/>
      <c r="Q170" s="16"/>
      <c r="R170" s="16" t="str">
        <f t="shared" si="34"/>
        <v/>
      </c>
      <c r="S170" s="7"/>
      <c r="T170" s="16" t="s">
        <v>33</v>
      </c>
      <c r="U170" s="29"/>
      <c r="V170" s="18"/>
      <c r="W170" s="29" t="str">
        <f t="shared" si="35"/>
        <v/>
      </c>
      <c r="X170" s="18"/>
      <c r="Y170" s="29" t="str">
        <f t="shared" si="36"/>
        <v/>
      </c>
      <c r="Z170" s="20"/>
    </row>
    <row r="171" spans="1:27" s="27" customFormat="1" ht="18" customHeight="1" thickBot="1" x14ac:dyDescent="0.25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7" s="5" customFormat="1" ht="18" customHeight="1" thickBot="1" x14ac:dyDescent="0.25">
      <c r="A172" s="138" t="s">
        <v>15</v>
      </c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40"/>
      <c r="M172" s="4"/>
      <c r="N172" s="8"/>
      <c r="O172" s="133" t="s">
        <v>17</v>
      </c>
      <c r="P172" s="134"/>
      <c r="Q172" s="134"/>
      <c r="R172" s="135"/>
      <c r="S172" s="9"/>
      <c r="T172" s="133" t="s">
        <v>18</v>
      </c>
      <c r="U172" s="134"/>
      <c r="V172" s="134"/>
      <c r="W172" s="134"/>
      <c r="X172" s="134"/>
      <c r="Y172" s="135"/>
      <c r="Z172" s="10"/>
      <c r="AA172" s="4"/>
    </row>
    <row r="173" spans="1:27" s="5" customFormat="1" ht="18" customHeight="1" x14ac:dyDescent="0.2">
      <c r="A173" s="47"/>
      <c r="B173" s="45"/>
      <c r="C173" s="147" t="s">
        <v>94</v>
      </c>
      <c r="D173" s="147"/>
      <c r="E173" s="147"/>
      <c r="F173" s="147"/>
      <c r="G173" s="48" t="str">
        <f>$J$1</f>
        <v>February</v>
      </c>
      <c r="H173" s="146">
        <f>$K$1</f>
        <v>2024</v>
      </c>
      <c r="I173" s="146"/>
      <c r="J173" s="45"/>
      <c r="K173" s="49"/>
      <c r="L173" s="50"/>
      <c r="M173" s="6"/>
      <c r="N173" s="11"/>
      <c r="O173" s="12" t="s">
        <v>28</v>
      </c>
      <c r="P173" s="12" t="s">
        <v>5</v>
      </c>
      <c r="Q173" s="12" t="s">
        <v>4</v>
      </c>
      <c r="R173" s="12" t="s">
        <v>29</v>
      </c>
      <c r="S173" s="13"/>
      <c r="T173" s="12" t="s">
        <v>28</v>
      </c>
      <c r="U173" s="12" t="s">
        <v>30</v>
      </c>
      <c r="V173" s="12" t="s">
        <v>10</v>
      </c>
      <c r="W173" s="12" t="s">
        <v>9</v>
      </c>
      <c r="X173" s="12" t="s">
        <v>11</v>
      </c>
      <c r="Y173" s="12" t="s">
        <v>34</v>
      </c>
      <c r="Z173" s="14"/>
      <c r="AA173" s="6"/>
    </row>
    <row r="174" spans="1:27" s="5" customFormat="1" ht="18" customHeight="1" x14ac:dyDescent="0.2">
      <c r="A174" s="47"/>
      <c r="B174" s="45"/>
      <c r="C174" s="45"/>
      <c r="D174" s="51"/>
      <c r="E174" s="51"/>
      <c r="F174" s="51"/>
      <c r="G174" s="51"/>
      <c r="H174" s="51"/>
      <c r="I174" s="45"/>
      <c r="J174" s="52" t="s">
        <v>1</v>
      </c>
      <c r="K174" s="53">
        <f>45000+2000+3000</f>
        <v>50000</v>
      </c>
      <c r="L174" s="54"/>
      <c r="N174" s="15"/>
      <c r="O174" s="16" t="s">
        <v>20</v>
      </c>
      <c r="P174" s="16">
        <v>31</v>
      </c>
      <c r="Q174" s="16">
        <v>0</v>
      </c>
      <c r="R174" s="16">
        <f>15-Q174</f>
        <v>15</v>
      </c>
      <c r="S174" s="17"/>
      <c r="T174" s="16" t="s">
        <v>20</v>
      </c>
      <c r="U174" s="18">
        <v>72000</v>
      </c>
      <c r="V174" s="18">
        <f>5000+5000+5000</f>
        <v>15000</v>
      </c>
      <c r="W174" s="18">
        <f>V174+U174</f>
        <v>87000</v>
      </c>
      <c r="X174" s="18"/>
      <c r="Y174" s="18">
        <f>W174-X174</f>
        <v>87000</v>
      </c>
      <c r="Z174" s="14"/>
    </row>
    <row r="175" spans="1:27" s="5" customFormat="1" ht="18" customHeight="1" x14ac:dyDescent="0.2">
      <c r="A175" s="47"/>
      <c r="B175" s="45" t="s">
        <v>0</v>
      </c>
      <c r="C175" s="44" t="s">
        <v>67</v>
      </c>
      <c r="D175" s="45"/>
      <c r="E175" s="45"/>
      <c r="F175" s="45"/>
      <c r="G175" s="45"/>
      <c r="H175" s="55"/>
      <c r="I175" s="51"/>
      <c r="J175" s="45"/>
      <c r="K175" s="45"/>
      <c r="L175" s="56"/>
      <c r="M175" s="4"/>
      <c r="N175" s="19"/>
      <c r="O175" s="16" t="s">
        <v>46</v>
      </c>
      <c r="P175" s="16">
        <v>28</v>
      </c>
      <c r="Q175" s="16">
        <v>1</v>
      </c>
      <c r="R175" s="16">
        <f t="shared" ref="R175:R185" si="37">IF(Q175="","",R174-Q175)</f>
        <v>14</v>
      </c>
      <c r="S175" s="7"/>
      <c r="T175" s="16" t="s">
        <v>46</v>
      </c>
      <c r="U175" s="29">
        <f>Y174</f>
        <v>87000</v>
      </c>
      <c r="V175" s="18">
        <v>1000</v>
      </c>
      <c r="W175" s="29">
        <f>IF(U175="","",U175+V175)</f>
        <v>88000</v>
      </c>
      <c r="X175" s="18"/>
      <c r="Y175" s="29">
        <f>IF(W175="","",W175-X175)</f>
        <v>88000</v>
      </c>
      <c r="Z175" s="20"/>
      <c r="AA175" s="4"/>
    </row>
    <row r="176" spans="1:27" s="5" customFormat="1" ht="18" customHeight="1" x14ac:dyDescent="0.2">
      <c r="A176" s="47"/>
      <c r="B176" s="57" t="s">
        <v>16</v>
      </c>
      <c r="C176" s="58"/>
      <c r="D176" s="45"/>
      <c r="E176" s="45"/>
      <c r="F176" s="141" t="s">
        <v>18</v>
      </c>
      <c r="G176" s="143"/>
      <c r="H176" s="45"/>
      <c r="I176" s="141" t="s">
        <v>19</v>
      </c>
      <c r="J176" s="142"/>
      <c r="K176" s="143"/>
      <c r="L176" s="59"/>
      <c r="N176" s="15"/>
      <c r="O176" s="16" t="s">
        <v>21</v>
      </c>
      <c r="P176" s="16"/>
      <c r="Q176" s="16"/>
      <c r="R176" s="16" t="str">
        <f t="shared" si="37"/>
        <v/>
      </c>
      <c r="S176" s="7"/>
      <c r="T176" s="16" t="s">
        <v>21</v>
      </c>
      <c r="U176" s="29"/>
      <c r="V176" s="18"/>
      <c r="W176" s="29" t="str">
        <f t="shared" ref="W176:W185" si="38">IF(U176="","",U176+V176)</f>
        <v/>
      </c>
      <c r="X176" s="18"/>
      <c r="Y176" s="29" t="str">
        <f t="shared" ref="Y176:Y185" si="39">IF(W176="","",W176-X176)</f>
        <v/>
      </c>
      <c r="Z176" s="20"/>
    </row>
    <row r="177" spans="1:27" s="5" customFormat="1" ht="18" customHeight="1" x14ac:dyDescent="0.2">
      <c r="A177" s="47"/>
      <c r="B177" s="45"/>
      <c r="C177" s="45"/>
      <c r="D177" s="45"/>
      <c r="E177" s="45"/>
      <c r="F177" s="45"/>
      <c r="G177" s="45"/>
      <c r="H177" s="60"/>
      <c r="I177" s="45"/>
      <c r="J177" s="45"/>
      <c r="K177" s="45"/>
      <c r="L177" s="61"/>
      <c r="N177" s="15"/>
      <c r="O177" s="16" t="s">
        <v>22</v>
      </c>
      <c r="P177" s="16"/>
      <c r="Q177" s="16"/>
      <c r="R177" s="16" t="str">
        <f t="shared" si="37"/>
        <v/>
      </c>
      <c r="S177" s="7"/>
      <c r="T177" s="16" t="s">
        <v>22</v>
      </c>
      <c r="U177" s="29"/>
      <c r="V177" s="18"/>
      <c r="W177" s="29" t="str">
        <f t="shared" si="38"/>
        <v/>
      </c>
      <c r="X177" s="18"/>
      <c r="Y177" s="29" t="str">
        <f t="shared" si="39"/>
        <v/>
      </c>
      <c r="Z177" s="20"/>
    </row>
    <row r="178" spans="1:27" s="5" customFormat="1" ht="18" customHeight="1" x14ac:dyDescent="0.2">
      <c r="A178" s="47"/>
      <c r="B178" s="144" t="s">
        <v>17</v>
      </c>
      <c r="C178" s="145"/>
      <c r="D178" s="45"/>
      <c r="E178" s="45"/>
      <c r="F178" s="62" t="s">
        <v>39</v>
      </c>
      <c r="G178" s="6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60"/>
      <c r="I178" s="64">
        <f>IF(C182&gt;0,$K$2,C180)</f>
        <v>29</v>
      </c>
      <c r="J178" s="65" t="s">
        <v>36</v>
      </c>
      <c r="K178" s="66">
        <f>K174/$K$2*I178</f>
        <v>50000</v>
      </c>
      <c r="L178" s="67"/>
      <c r="N178" s="15"/>
      <c r="O178" s="16" t="s">
        <v>23</v>
      </c>
      <c r="P178" s="16"/>
      <c r="Q178" s="16"/>
      <c r="R178" s="16" t="str">
        <f t="shared" si="37"/>
        <v/>
      </c>
      <c r="S178" s="7"/>
      <c r="T178" s="16" t="s">
        <v>23</v>
      </c>
      <c r="U178" s="29"/>
      <c r="V178" s="18"/>
      <c r="W178" s="29" t="str">
        <f t="shared" si="38"/>
        <v/>
      </c>
      <c r="X178" s="18"/>
      <c r="Y178" s="29" t="str">
        <f t="shared" si="39"/>
        <v/>
      </c>
      <c r="Z178" s="20"/>
    </row>
    <row r="179" spans="1:27" s="5" customFormat="1" ht="18" customHeight="1" x14ac:dyDescent="0.2">
      <c r="A179" s="47"/>
      <c r="B179" s="68"/>
      <c r="C179" s="68"/>
      <c r="D179" s="45"/>
      <c r="E179" s="45"/>
      <c r="F179" s="62" t="s">
        <v>10</v>
      </c>
      <c r="G179" s="6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60"/>
      <c r="I179" s="64">
        <v>2</v>
      </c>
      <c r="J179" s="65" t="s">
        <v>37</v>
      </c>
      <c r="K179" s="69">
        <f>K174/$K$2/8*I179</f>
        <v>431.0344827586207</v>
      </c>
      <c r="L179" s="70"/>
      <c r="N179" s="15"/>
      <c r="O179" s="16" t="s">
        <v>24</v>
      </c>
      <c r="P179" s="16"/>
      <c r="Q179" s="16"/>
      <c r="R179" s="16" t="str">
        <f t="shared" si="37"/>
        <v/>
      </c>
      <c r="S179" s="7"/>
      <c r="T179" s="16" t="s">
        <v>24</v>
      </c>
      <c r="U179" s="29"/>
      <c r="V179" s="18"/>
      <c r="W179" s="29" t="str">
        <f t="shared" si="38"/>
        <v/>
      </c>
      <c r="X179" s="18"/>
      <c r="Y179" s="29" t="str">
        <f t="shared" si="39"/>
        <v/>
      </c>
      <c r="Z179" s="20"/>
    </row>
    <row r="180" spans="1:27" s="5" customFormat="1" ht="18" customHeight="1" x14ac:dyDescent="0.2">
      <c r="A180" s="47"/>
      <c r="B180" s="62" t="s">
        <v>5</v>
      </c>
      <c r="C180" s="6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45"/>
      <c r="E180" s="45"/>
      <c r="F180" s="62" t="s">
        <v>40</v>
      </c>
      <c r="G180" s="6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60"/>
      <c r="I180" s="136" t="s">
        <v>44</v>
      </c>
      <c r="J180" s="137"/>
      <c r="K180" s="69">
        <f>K178+K179</f>
        <v>50431.034482758623</v>
      </c>
      <c r="L180" s="70"/>
      <c r="N180" s="15"/>
      <c r="O180" s="16" t="s">
        <v>25</v>
      </c>
      <c r="P180" s="16"/>
      <c r="Q180" s="16"/>
      <c r="R180" s="16" t="str">
        <f t="shared" si="37"/>
        <v/>
      </c>
      <c r="S180" s="7"/>
      <c r="T180" s="16" t="s">
        <v>25</v>
      </c>
      <c r="U180" s="29"/>
      <c r="V180" s="18"/>
      <c r="W180" s="29" t="str">
        <f t="shared" si="38"/>
        <v/>
      </c>
      <c r="X180" s="18"/>
      <c r="Y180" s="29" t="str">
        <f t="shared" si="39"/>
        <v/>
      </c>
      <c r="Z180" s="20"/>
    </row>
    <row r="181" spans="1:27" s="5" customFormat="1" ht="18" customHeight="1" x14ac:dyDescent="0.2">
      <c r="A181" s="47"/>
      <c r="B181" s="62" t="s">
        <v>4</v>
      </c>
      <c r="C181" s="6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45"/>
      <c r="E181" s="45"/>
      <c r="F181" s="62" t="s">
        <v>11</v>
      </c>
      <c r="G181" s="6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60"/>
      <c r="I181" s="136" t="s">
        <v>45</v>
      </c>
      <c r="J181" s="137"/>
      <c r="K181" s="63">
        <f>G181</f>
        <v>0</v>
      </c>
      <c r="L181" s="71"/>
      <c r="N181" s="15"/>
      <c r="O181" s="16" t="s">
        <v>26</v>
      </c>
      <c r="P181" s="16"/>
      <c r="Q181" s="16"/>
      <c r="R181" s="16" t="str">
        <f t="shared" si="37"/>
        <v/>
      </c>
      <c r="S181" s="7"/>
      <c r="T181" s="16" t="s">
        <v>26</v>
      </c>
      <c r="U181" s="29"/>
      <c r="V181" s="18"/>
      <c r="W181" s="29" t="str">
        <f t="shared" si="38"/>
        <v/>
      </c>
      <c r="X181" s="18"/>
      <c r="Y181" s="29" t="str">
        <f t="shared" si="39"/>
        <v/>
      </c>
      <c r="Z181" s="20"/>
    </row>
    <row r="182" spans="1:27" s="5" customFormat="1" ht="18" customHeight="1" x14ac:dyDescent="0.2">
      <c r="A182" s="47"/>
      <c r="B182" s="77" t="s">
        <v>43</v>
      </c>
      <c r="C182" s="6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45"/>
      <c r="E182" s="45"/>
      <c r="F182" s="77" t="s">
        <v>86</v>
      </c>
      <c r="G182" s="6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45"/>
      <c r="I182" s="141" t="s">
        <v>38</v>
      </c>
      <c r="J182" s="143"/>
      <c r="K182" s="41">
        <f>K180-K181</f>
        <v>50431.034482758623</v>
      </c>
      <c r="L182" s="72"/>
      <c r="N182" s="15"/>
      <c r="O182" s="16" t="s">
        <v>31</v>
      </c>
      <c r="P182" s="16"/>
      <c r="Q182" s="16"/>
      <c r="R182" s="16" t="str">
        <f t="shared" si="37"/>
        <v/>
      </c>
      <c r="S182" s="7"/>
      <c r="T182" s="16" t="s">
        <v>31</v>
      </c>
      <c r="U182" s="29"/>
      <c r="V182" s="18"/>
      <c r="W182" s="29" t="str">
        <f t="shared" si="38"/>
        <v/>
      </c>
      <c r="X182" s="18"/>
      <c r="Y182" s="29" t="str">
        <f t="shared" si="39"/>
        <v/>
      </c>
      <c r="Z182" s="20"/>
    </row>
    <row r="183" spans="1:27" s="5" customFormat="1" ht="18" customHeight="1" x14ac:dyDescent="0.2">
      <c r="A183" s="47"/>
      <c r="B183" s="45"/>
      <c r="C183" s="45"/>
      <c r="D183" s="45"/>
      <c r="E183" s="45"/>
      <c r="F183" s="45"/>
      <c r="G183" s="45"/>
      <c r="H183" s="45"/>
      <c r="I183" s="45"/>
      <c r="J183" s="45"/>
      <c r="K183" s="79"/>
      <c r="L183" s="59"/>
      <c r="N183" s="15"/>
      <c r="O183" s="16" t="s">
        <v>27</v>
      </c>
      <c r="P183" s="16"/>
      <c r="Q183" s="16"/>
      <c r="R183" s="16" t="str">
        <f t="shared" si="37"/>
        <v/>
      </c>
      <c r="S183" s="7"/>
      <c r="T183" s="16" t="s">
        <v>27</v>
      </c>
      <c r="U183" s="29"/>
      <c r="V183" s="18"/>
      <c r="W183" s="29" t="str">
        <f t="shared" si="38"/>
        <v/>
      </c>
      <c r="X183" s="18"/>
      <c r="Y183" s="29" t="str">
        <f t="shared" si="39"/>
        <v/>
      </c>
      <c r="Z183" s="20"/>
    </row>
    <row r="184" spans="1:27" s="5" customFormat="1" ht="18" customHeight="1" x14ac:dyDescent="0.3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59"/>
      <c r="N184" s="15"/>
      <c r="O184" s="16" t="s">
        <v>32</v>
      </c>
      <c r="P184" s="16"/>
      <c r="Q184" s="16"/>
      <c r="R184" s="16" t="str">
        <f t="shared" si="37"/>
        <v/>
      </c>
      <c r="S184" s="7"/>
      <c r="T184" s="16" t="s">
        <v>32</v>
      </c>
      <c r="U184" s="29"/>
      <c r="V184" s="18"/>
      <c r="W184" s="29" t="str">
        <f t="shared" si="38"/>
        <v/>
      </c>
      <c r="X184" s="18"/>
      <c r="Y184" s="29" t="str">
        <f t="shared" si="39"/>
        <v/>
      </c>
      <c r="Z184" s="20"/>
    </row>
    <row r="185" spans="1:27" s="5" customFormat="1" ht="18" customHeight="1" thickBot="1" x14ac:dyDescent="0.35">
      <c r="A185" s="73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5"/>
      <c r="N185" s="15"/>
      <c r="O185" s="16" t="s">
        <v>33</v>
      </c>
      <c r="P185" s="16"/>
      <c r="Q185" s="16"/>
      <c r="R185" s="16" t="str">
        <f t="shared" si="37"/>
        <v/>
      </c>
      <c r="S185" s="7"/>
      <c r="T185" s="16" t="s">
        <v>33</v>
      </c>
      <c r="U185" s="29"/>
      <c r="V185" s="18"/>
      <c r="W185" s="29" t="str">
        <f t="shared" si="38"/>
        <v/>
      </c>
      <c r="X185" s="18"/>
      <c r="Y185" s="29" t="str">
        <f t="shared" si="39"/>
        <v/>
      </c>
      <c r="Z185" s="20"/>
    </row>
    <row r="186" spans="1:27" s="27" customFormat="1" ht="18" customHeight="1" thickBot="1" x14ac:dyDescent="0.25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7" s="5" customFormat="1" ht="18" customHeight="1" thickBot="1" x14ac:dyDescent="0.25">
      <c r="A187" s="138" t="s">
        <v>15</v>
      </c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40"/>
      <c r="M187" s="4"/>
      <c r="N187" s="8"/>
      <c r="O187" s="133" t="s">
        <v>17</v>
      </c>
      <c r="P187" s="134"/>
      <c r="Q187" s="134"/>
      <c r="R187" s="135"/>
      <c r="S187" s="9"/>
      <c r="T187" s="133" t="s">
        <v>18</v>
      </c>
      <c r="U187" s="134"/>
      <c r="V187" s="134"/>
      <c r="W187" s="134"/>
      <c r="X187" s="134"/>
      <c r="Y187" s="135"/>
      <c r="Z187" s="10"/>
      <c r="AA187" s="4"/>
    </row>
    <row r="188" spans="1:27" s="5" customFormat="1" ht="18" customHeight="1" x14ac:dyDescent="0.2">
      <c r="A188" s="47"/>
      <c r="B188" s="45"/>
      <c r="C188" s="147" t="s">
        <v>94</v>
      </c>
      <c r="D188" s="147"/>
      <c r="E188" s="147"/>
      <c r="F188" s="147"/>
      <c r="G188" s="48" t="str">
        <f>$J$1</f>
        <v>February</v>
      </c>
      <c r="H188" s="146">
        <f>$K$1</f>
        <v>2024</v>
      </c>
      <c r="I188" s="146"/>
      <c r="J188" s="45"/>
      <c r="K188" s="49"/>
      <c r="L188" s="50"/>
      <c r="M188" s="6"/>
      <c r="N188" s="11"/>
      <c r="O188" s="12" t="s">
        <v>28</v>
      </c>
      <c r="P188" s="12" t="s">
        <v>5</v>
      </c>
      <c r="Q188" s="12" t="s">
        <v>4</v>
      </c>
      <c r="R188" s="12" t="s">
        <v>29</v>
      </c>
      <c r="S188" s="13"/>
      <c r="T188" s="12" t="s">
        <v>28</v>
      </c>
      <c r="U188" s="12" t="s">
        <v>30</v>
      </c>
      <c r="V188" s="12" t="s">
        <v>10</v>
      </c>
      <c r="W188" s="12" t="s">
        <v>9</v>
      </c>
      <c r="X188" s="12" t="s">
        <v>11</v>
      </c>
      <c r="Y188" s="12" t="s">
        <v>34</v>
      </c>
      <c r="Z188" s="14"/>
      <c r="AA188" s="6"/>
    </row>
    <row r="189" spans="1:27" s="5" customFormat="1" ht="18" customHeight="1" x14ac:dyDescent="0.2">
      <c r="A189" s="47"/>
      <c r="B189" s="45"/>
      <c r="C189" s="45"/>
      <c r="D189" s="51"/>
      <c r="E189" s="51"/>
      <c r="F189" s="51"/>
      <c r="G189" s="51"/>
      <c r="H189" s="51"/>
      <c r="I189" s="45"/>
      <c r="J189" s="52" t="s">
        <v>1</v>
      </c>
      <c r="K189" s="53">
        <f>24000+3000+3000+5000</f>
        <v>35000</v>
      </c>
      <c r="L189" s="54"/>
      <c r="N189" s="15"/>
      <c r="O189" s="16" t="s">
        <v>20</v>
      </c>
      <c r="P189" s="16">
        <v>31</v>
      </c>
      <c r="Q189" s="16">
        <v>0</v>
      </c>
      <c r="R189" s="16">
        <f>15-Q189-5</f>
        <v>10</v>
      </c>
      <c r="S189" s="17"/>
      <c r="T189" s="16" t="s">
        <v>20</v>
      </c>
      <c r="U189" s="18">
        <v>84000</v>
      </c>
      <c r="V189" s="18"/>
      <c r="W189" s="18">
        <f>V189+U189</f>
        <v>84000</v>
      </c>
      <c r="X189" s="18">
        <v>5000</v>
      </c>
      <c r="Y189" s="18">
        <f>W189-X189</f>
        <v>79000</v>
      </c>
      <c r="Z189" s="14"/>
    </row>
    <row r="190" spans="1:27" s="5" customFormat="1" ht="18" customHeight="1" x14ac:dyDescent="0.2">
      <c r="A190" s="47"/>
      <c r="B190" s="45" t="s">
        <v>0</v>
      </c>
      <c r="C190" s="44" t="s">
        <v>48</v>
      </c>
      <c r="D190" s="45"/>
      <c r="E190" s="45"/>
      <c r="F190" s="45"/>
      <c r="G190" s="45"/>
      <c r="H190" s="55"/>
      <c r="I190" s="51"/>
      <c r="J190" s="45"/>
      <c r="K190" s="45"/>
      <c r="L190" s="56"/>
      <c r="M190" s="4"/>
      <c r="N190" s="19"/>
      <c r="O190" s="16" t="s">
        <v>46</v>
      </c>
      <c r="P190" s="16">
        <v>28</v>
      </c>
      <c r="Q190" s="16">
        <v>1</v>
      </c>
      <c r="R190" s="16">
        <f t="shared" ref="R190:R196" si="40">IF(Q190="","",R189-Q190)</f>
        <v>9</v>
      </c>
      <c r="S190" s="7"/>
      <c r="T190" s="16" t="s">
        <v>46</v>
      </c>
      <c r="U190" s="29">
        <f>Y189</f>
        <v>79000</v>
      </c>
      <c r="V190" s="18"/>
      <c r="W190" s="29">
        <f>IF(U190="","",U190+V190)</f>
        <v>79000</v>
      </c>
      <c r="X190" s="18">
        <v>5000</v>
      </c>
      <c r="Y190" s="29">
        <f>IF(W190="","",W190-X190)</f>
        <v>74000</v>
      </c>
      <c r="Z190" s="20"/>
      <c r="AA190" s="4"/>
    </row>
    <row r="191" spans="1:27" s="5" customFormat="1" ht="18" customHeight="1" x14ac:dyDescent="0.2">
      <c r="A191" s="47"/>
      <c r="B191" s="57" t="s">
        <v>16</v>
      </c>
      <c r="C191" s="58"/>
      <c r="D191" s="45"/>
      <c r="E191" s="45"/>
      <c r="F191" s="141" t="s">
        <v>18</v>
      </c>
      <c r="G191" s="143"/>
      <c r="H191" s="45"/>
      <c r="I191" s="141" t="s">
        <v>19</v>
      </c>
      <c r="J191" s="142"/>
      <c r="K191" s="143"/>
      <c r="L191" s="59"/>
      <c r="N191" s="15"/>
      <c r="O191" s="16" t="s">
        <v>21</v>
      </c>
      <c r="P191" s="16"/>
      <c r="Q191" s="16"/>
      <c r="R191" s="16" t="str">
        <f t="shared" si="40"/>
        <v/>
      </c>
      <c r="S191" s="7"/>
      <c r="T191" s="16" t="s">
        <v>21</v>
      </c>
      <c r="U191" s="29"/>
      <c r="V191" s="18"/>
      <c r="W191" s="29" t="str">
        <f t="shared" ref="W191:W200" si="41">IF(U191="","",U191+V191)</f>
        <v/>
      </c>
      <c r="X191" s="18"/>
      <c r="Y191" s="29" t="str">
        <f t="shared" ref="Y191:Y200" si="42">IF(W191="","",W191-X191)</f>
        <v/>
      </c>
      <c r="Z191" s="20"/>
    </row>
    <row r="192" spans="1:27" s="5" customFormat="1" ht="18" customHeight="1" x14ac:dyDescent="0.2">
      <c r="A192" s="47"/>
      <c r="B192" s="45"/>
      <c r="C192" s="45"/>
      <c r="D192" s="45"/>
      <c r="E192" s="45"/>
      <c r="F192" s="45"/>
      <c r="G192" s="45"/>
      <c r="H192" s="60"/>
      <c r="I192" s="45"/>
      <c r="J192" s="45"/>
      <c r="K192" s="45"/>
      <c r="L192" s="61"/>
      <c r="N192" s="15"/>
      <c r="O192" s="16" t="s">
        <v>22</v>
      </c>
      <c r="P192" s="16"/>
      <c r="Q192" s="16"/>
      <c r="R192" s="16" t="str">
        <f t="shared" si="40"/>
        <v/>
      </c>
      <c r="S192" s="7"/>
      <c r="T192" s="16" t="s">
        <v>22</v>
      </c>
      <c r="U192" s="29" t="str">
        <f t="shared" ref="U192:U195" si="43">Y191</f>
        <v/>
      </c>
      <c r="V192" s="18"/>
      <c r="W192" s="29" t="str">
        <f t="shared" si="41"/>
        <v/>
      </c>
      <c r="X192" s="18"/>
      <c r="Y192" s="29" t="str">
        <f t="shared" si="42"/>
        <v/>
      </c>
      <c r="Z192" s="20"/>
    </row>
    <row r="193" spans="1:26" s="5" customFormat="1" ht="18" customHeight="1" x14ac:dyDescent="0.2">
      <c r="A193" s="47"/>
      <c r="B193" s="144" t="s">
        <v>17</v>
      </c>
      <c r="C193" s="145"/>
      <c r="D193" s="45"/>
      <c r="E193" s="45"/>
      <c r="F193" s="62" t="s">
        <v>39</v>
      </c>
      <c r="G193" s="6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60"/>
      <c r="I193" s="64">
        <f>IF(C197&gt;=C196,$K$2,C195+C197)</f>
        <v>29</v>
      </c>
      <c r="J193" s="65" t="s">
        <v>36</v>
      </c>
      <c r="K193" s="66">
        <f>K189/$K$2*I193</f>
        <v>35000</v>
      </c>
      <c r="L193" s="67"/>
      <c r="N193" s="15"/>
      <c r="O193" s="16" t="s">
        <v>23</v>
      </c>
      <c r="P193" s="16"/>
      <c r="Q193" s="16"/>
      <c r="R193" s="16" t="str">
        <f t="shared" si="40"/>
        <v/>
      </c>
      <c r="S193" s="7"/>
      <c r="T193" s="16" t="s">
        <v>23</v>
      </c>
      <c r="U193" s="29" t="str">
        <f t="shared" si="43"/>
        <v/>
      </c>
      <c r="V193" s="18"/>
      <c r="W193" s="29" t="str">
        <f t="shared" si="41"/>
        <v/>
      </c>
      <c r="X193" s="18"/>
      <c r="Y193" s="29" t="str">
        <f t="shared" si="42"/>
        <v/>
      </c>
      <c r="Z193" s="20"/>
    </row>
    <row r="194" spans="1:26" s="5" customFormat="1" ht="18" customHeight="1" x14ac:dyDescent="0.2">
      <c r="A194" s="47"/>
      <c r="B194" s="68"/>
      <c r="C194" s="68"/>
      <c r="D194" s="45"/>
      <c r="E194" s="45"/>
      <c r="F194" s="62" t="s">
        <v>10</v>
      </c>
      <c r="G194" s="6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60"/>
      <c r="I194" s="64">
        <v>91</v>
      </c>
      <c r="J194" s="65" t="s">
        <v>37</v>
      </c>
      <c r="K194" s="69">
        <f>K189/$K$2/8*I194</f>
        <v>13728.448275862069</v>
      </c>
      <c r="L194" s="70"/>
      <c r="N194" s="15"/>
      <c r="O194" s="16" t="s">
        <v>24</v>
      </c>
      <c r="P194" s="16"/>
      <c r="Q194" s="16"/>
      <c r="R194" s="16" t="str">
        <f t="shared" si="40"/>
        <v/>
      </c>
      <c r="S194" s="7"/>
      <c r="T194" s="16" t="s">
        <v>24</v>
      </c>
      <c r="U194" s="29" t="str">
        <f t="shared" si="43"/>
        <v/>
      </c>
      <c r="V194" s="18"/>
      <c r="W194" s="29" t="str">
        <f t="shared" si="41"/>
        <v/>
      </c>
      <c r="X194" s="18"/>
      <c r="Y194" s="29" t="str">
        <f t="shared" si="42"/>
        <v/>
      </c>
      <c r="Z194" s="20"/>
    </row>
    <row r="195" spans="1:26" s="5" customFormat="1" ht="18" customHeight="1" x14ac:dyDescent="0.2">
      <c r="A195" s="47"/>
      <c r="B195" s="62" t="s">
        <v>5</v>
      </c>
      <c r="C195" s="68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45"/>
      <c r="E195" s="45"/>
      <c r="F195" s="62" t="s">
        <v>40</v>
      </c>
      <c r="G195" s="63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60"/>
      <c r="I195" s="136" t="s">
        <v>44</v>
      </c>
      <c r="J195" s="137"/>
      <c r="K195" s="69">
        <f>K193+K194</f>
        <v>48728.448275862072</v>
      </c>
      <c r="L195" s="70"/>
      <c r="N195" s="15"/>
      <c r="O195" s="16" t="s">
        <v>25</v>
      </c>
      <c r="P195" s="16"/>
      <c r="Q195" s="16"/>
      <c r="R195" s="16" t="str">
        <f t="shared" si="40"/>
        <v/>
      </c>
      <c r="S195" s="7"/>
      <c r="T195" s="16" t="s">
        <v>25</v>
      </c>
      <c r="U195" s="29" t="str">
        <f t="shared" si="43"/>
        <v/>
      </c>
      <c r="V195" s="18"/>
      <c r="W195" s="29" t="str">
        <f t="shared" si="41"/>
        <v/>
      </c>
      <c r="X195" s="18"/>
      <c r="Y195" s="29" t="str">
        <f t="shared" si="42"/>
        <v/>
      </c>
      <c r="Z195" s="20"/>
    </row>
    <row r="196" spans="1:26" s="5" customFormat="1" ht="18" customHeight="1" x14ac:dyDescent="0.2">
      <c r="A196" s="47"/>
      <c r="B196" s="62" t="s">
        <v>4</v>
      </c>
      <c r="C196" s="68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45"/>
      <c r="E196" s="45"/>
      <c r="F196" s="62" t="s">
        <v>11</v>
      </c>
      <c r="G196" s="6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60"/>
      <c r="I196" s="136" t="s">
        <v>45</v>
      </c>
      <c r="J196" s="137"/>
      <c r="K196" s="63">
        <f>G196</f>
        <v>5000</v>
      </c>
      <c r="L196" s="71"/>
      <c r="N196" s="15"/>
      <c r="O196" s="16" t="s">
        <v>26</v>
      </c>
      <c r="P196" s="16"/>
      <c r="Q196" s="16"/>
      <c r="R196" s="16" t="str">
        <f t="shared" si="40"/>
        <v/>
      </c>
      <c r="S196" s="7"/>
      <c r="T196" s="16" t="s">
        <v>26</v>
      </c>
      <c r="U196" s="29" t="str">
        <f>Y195</f>
        <v/>
      </c>
      <c r="V196" s="18"/>
      <c r="W196" s="29" t="str">
        <f t="shared" si="41"/>
        <v/>
      </c>
      <c r="X196" s="18"/>
      <c r="Y196" s="29" t="str">
        <f t="shared" si="42"/>
        <v/>
      </c>
      <c r="Z196" s="20"/>
    </row>
    <row r="197" spans="1:26" s="5" customFormat="1" ht="18" customHeight="1" x14ac:dyDescent="0.2">
      <c r="A197" s="47"/>
      <c r="B197" s="77" t="s">
        <v>43</v>
      </c>
      <c r="C197" s="68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45"/>
      <c r="E197" s="45"/>
      <c r="F197" s="77" t="s">
        <v>86</v>
      </c>
      <c r="G197" s="63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45"/>
      <c r="I197" s="141" t="s">
        <v>38</v>
      </c>
      <c r="J197" s="143"/>
      <c r="K197" s="41">
        <f>K195-K196</f>
        <v>43728.448275862072</v>
      </c>
      <c r="L197" s="72"/>
      <c r="N197" s="15"/>
      <c r="O197" s="16" t="s">
        <v>31</v>
      </c>
      <c r="P197" s="16"/>
      <c r="Q197" s="16"/>
      <c r="R197" s="16">
        <v>0</v>
      </c>
      <c r="S197" s="7"/>
      <c r="T197" s="16" t="s">
        <v>31</v>
      </c>
      <c r="U197" s="29" t="str">
        <f>Y196</f>
        <v/>
      </c>
      <c r="V197" s="18"/>
      <c r="W197" s="29" t="str">
        <f t="shared" si="41"/>
        <v/>
      </c>
      <c r="X197" s="18"/>
      <c r="Y197" s="29" t="str">
        <f t="shared" si="42"/>
        <v/>
      </c>
      <c r="Z197" s="20"/>
    </row>
    <row r="198" spans="1:26" s="5" customFormat="1" ht="18" customHeight="1" x14ac:dyDescent="0.2">
      <c r="A198" s="47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59"/>
      <c r="N198" s="15"/>
      <c r="O198" s="16" t="s">
        <v>27</v>
      </c>
      <c r="P198" s="16"/>
      <c r="Q198" s="16"/>
      <c r="R198" s="16">
        <v>0</v>
      </c>
      <c r="S198" s="7"/>
      <c r="T198" s="16" t="s">
        <v>27</v>
      </c>
      <c r="U198" s="29" t="str">
        <f>Y197</f>
        <v/>
      </c>
      <c r="V198" s="18"/>
      <c r="W198" s="29" t="str">
        <f t="shared" si="41"/>
        <v/>
      </c>
      <c r="X198" s="18"/>
      <c r="Y198" s="29" t="str">
        <f t="shared" si="42"/>
        <v/>
      </c>
      <c r="Z198" s="20"/>
    </row>
    <row r="199" spans="1:26" s="5" customFormat="1" ht="18" customHeight="1" x14ac:dyDescent="0.3">
      <c r="A199" s="47"/>
      <c r="B199" s="43"/>
      <c r="C199" s="43"/>
      <c r="D199" s="43"/>
      <c r="E199" s="43"/>
      <c r="F199" s="92"/>
      <c r="G199" s="43"/>
      <c r="H199" s="43"/>
      <c r="I199" s="43"/>
      <c r="J199" s="43"/>
      <c r="K199" s="43"/>
      <c r="L199" s="59"/>
      <c r="N199" s="15"/>
      <c r="O199" s="16" t="s">
        <v>32</v>
      </c>
      <c r="P199" s="16"/>
      <c r="Q199" s="16"/>
      <c r="R199" s="16">
        <v>0</v>
      </c>
      <c r="S199" s="7"/>
      <c r="T199" s="16" t="s">
        <v>32</v>
      </c>
      <c r="U199" s="29" t="str">
        <f>Y198</f>
        <v/>
      </c>
      <c r="V199" s="18"/>
      <c r="W199" s="29" t="str">
        <f t="shared" si="41"/>
        <v/>
      </c>
      <c r="X199" s="18"/>
      <c r="Y199" s="29" t="str">
        <f t="shared" si="42"/>
        <v/>
      </c>
      <c r="Z199" s="20"/>
    </row>
    <row r="200" spans="1:26" s="5" customFormat="1" ht="18" customHeight="1" thickBot="1" x14ac:dyDescent="0.35">
      <c r="A200" s="73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5"/>
      <c r="N200" s="15"/>
      <c r="O200" s="16" t="s">
        <v>33</v>
      </c>
      <c r="P200" s="16"/>
      <c r="Q200" s="16"/>
      <c r="R200" s="16">
        <v>0</v>
      </c>
      <c r="S200" s="7"/>
      <c r="T200" s="16" t="s">
        <v>33</v>
      </c>
      <c r="U200" s="29" t="str">
        <f>Y199</f>
        <v/>
      </c>
      <c r="V200" s="18"/>
      <c r="W200" s="29" t="str">
        <f t="shared" si="41"/>
        <v/>
      </c>
      <c r="X200" s="18"/>
      <c r="Y200" s="29" t="str">
        <f t="shared" si="42"/>
        <v/>
      </c>
      <c r="Z200" s="20"/>
    </row>
    <row r="201" spans="1:26" s="27" customFormat="1" ht="18" customHeight="1" thickBot="1" x14ac:dyDescent="0.25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s="5" customFormat="1" ht="18" customHeight="1" thickBot="1" x14ac:dyDescent="0.25">
      <c r="A202" s="138" t="s">
        <v>15</v>
      </c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40"/>
      <c r="M202" s="4"/>
      <c r="N202" s="8"/>
      <c r="O202" s="133" t="s">
        <v>17</v>
      </c>
      <c r="P202" s="134"/>
      <c r="Q202" s="134"/>
      <c r="R202" s="135"/>
      <c r="S202" s="9"/>
      <c r="T202" s="133" t="s">
        <v>18</v>
      </c>
      <c r="U202" s="134"/>
      <c r="V202" s="134"/>
      <c r="W202" s="134"/>
      <c r="X202" s="134"/>
      <c r="Y202" s="135"/>
      <c r="Z202" s="10"/>
    </row>
    <row r="203" spans="1:26" s="5" customFormat="1" ht="18" customHeight="1" x14ac:dyDescent="0.2">
      <c r="A203" s="47"/>
      <c r="B203" s="45"/>
      <c r="C203" s="147" t="s">
        <v>94</v>
      </c>
      <c r="D203" s="147"/>
      <c r="E203" s="147"/>
      <c r="F203" s="147"/>
      <c r="G203" s="48" t="str">
        <f>$J$1</f>
        <v>February</v>
      </c>
      <c r="H203" s="146">
        <f>$K$1</f>
        <v>2024</v>
      </c>
      <c r="I203" s="146"/>
      <c r="J203" s="45"/>
      <c r="K203" s="49"/>
      <c r="L203" s="50"/>
      <c r="M203" s="6"/>
      <c r="N203" s="11"/>
      <c r="O203" s="12" t="s">
        <v>28</v>
      </c>
      <c r="P203" s="12" t="s">
        <v>5</v>
      </c>
      <c r="Q203" s="12" t="s">
        <v>4</v>
      </c>
      <c r="R203" s="12" t="s">
        <v>29</v>
      </c>
      <c r="S203" s="13"/>
      <c r="T203" s="12" t="s">
        <v>28</v>
      </c>
      <c r="U203" s="12" t="s">
        <v>30</v>
      </c>
      <c r="V203" s="12" t="s">
        <v>10</v>
      </c>
      <c r="W203" s="12" t="s">
        <v>9</v>
      </c>
      <c r="X203" s="12" t="s">
        <v>11</v>
      </c>
      <c r="Y203" s="12" t="s">
        <v>34</v>
      </c>
      <c r="Z203" s="14"/>
    </row>
    <row r="204" spans="1:26" s="5" customFormat="1" ht="18" customHeight="1" x14ac:dyDescent="0.2">
      <c r="A204" s="47"/>
      <c r="B204" s="45"/>
      <c r="C204" s="45"/>
      <c r="D204" s="51"/>
      <c r="E204" s="51"/>
      <c r="F204" s="51"/>
      <c r="G204" s="51"/>
      <c r="H204" s="51"/>
      <c r="I204" s="45"/>
      <c r="J204" s="52" t="s">
        <v>1</v>
      </c>
      <c r="K204" s="53">
        <f>22000+2000+2000</f>
        <v>26000</v>
      </c>
      <c r="L204" s="54"/>
      <c r="N204" s="15"/>
      <c r="O204" s="16" t="s">
        <v>20</v>
      </c>
      <c r="P204" s="16">
        <v>29</v>
      </c>
      <c r="Q204" s="16">
        <v>2</v>
      </c>
      <c r="R204" s="16">
        <f>15-Q204</f>
        <v>13</v>
      </c>
      <c r="S204" s="17"/>
      <c r="T204" s="16" t="s">
        <v>20</v>
      </c>
      <c r="U204" s="18">
        <v>11225</v>
      </c>
      <c r="V204" s="18">
        <f>2000+3000</f>
        <v>5000</v>
      </c>
      <c r="W204" s="18">
        <f>V204+U204</f>
        <v>16225</v>
      </c>
      <c r="X204" s="18">
        <v>5000</v>
      </c>
      <c r="Y204" s="18">
        <f>W204-X204</f>
        <v>11225</v>
      </c>
      <c r="Z204" s="14"/>
    </row>
    <row r="205" spans="1:26" s="5" customFormat="1" ht="18" customHeight="1" x14ac:dyDescent="0.2">
      <c r="A205" s="47"/>
      <c r="B205" s="45" t="s">
        <v>0</v>
      </c>
      <c r="C205" s="44" t="s">
        <v>56</v>
      </c>
      <c r="D205" s="45"/>
      <c r="E205" s="45"/>
      <c r="F205" s="45"/>
      <c r="G205" s="45"/>
      <c r="H205" s="55"/>
      <c r="I205" s="51"/>
      <c r="J205" s="45"/>
      <c r="K205" s="45"/>
      <c r="L205" s="56"/>
      <c r="M205" s="4"/>
      <c r="N205" s="19"/>
      <c r="O205" s="16" t="s">
        <v>46</v>
      </c>
      <c r="P205" s="16">
        <v>29</v>
      </c>
      <c r="Q205" s="16">
        <v>0</v>
      </c>
      <c r="R205" s="16">
        <f t="shared" ref="R205:R206" si="44">IF(Q205="","",R204-Q205)</f>
        <v>13</v>
      </c>
      <c r="S205" s="7"/>
      <c r="T205" s="16" t="s">
        <v>46</v>
      </c>
      <c r="U205" s="29">
        <f>Y204</f>
        <v>11225</v>
      </c>
      <c r="V205" s="18">
        <f>2000+1000+5000</f>
        <v>8000</v>
      </c>
      <c r="W205" s="29">
        <f>IF(U205="","",U205+V205)</f>
        <v>19225</v>
      </c>
      <c r="X205" s="18">
        <v>8000</v>
      </c>
      <c r="Y205" s="29">
        <f>IF(W205="","",W205-X205)</f>
        <v>11225</v>
      </c>
      <c r="Z205" s="20"/>
    </row>
    <row r="206" spans="1:26" s="5" customFormat="1" ht="18" customHeight="1" x14ac:dyDescent="0.2">
      <c r="A206" s="47"/>
      <c r="B206" s="57" t="s">
        <v>16</v>
      </c>
      <c r="C206" s="58"/>
      <c r="D206" s="45"/>
      <c r="E206" s="45"/>
      <c r="F206" s="141" t="s">
        <v>18</v>
      </c>
      <c r="G206" s="143"/>
      <c r="H206" s="45"/>
      <c r="I206" s="141" t="s">
        <v>19</v>
      </c>
      <c r="J206" s="142"/>
      <c r="K206" s="143"/>
      <c r="L206" s="59"/>
      <c r="N206" s="15"/>
      <c r="O206" s="16" t="s">
        <v>21</v>
      </c>
      <c r="P206" s="16"/>
      <c r="Q206" s="16"/>
      <c r="R206" s="16" t="str">
        <f t="shared" si="44"/>
        <v/>
      </c>
      <c r="S206" s="7"/>
      <c r="T206" s="16" t="s">
        <v>21</v>
      </c>
      <c r="U206" s="29"/>
      <c r="V206" s="18"/>
      <c r="W206" s="29" t="str">
        <f t="shared" ref="W206:W215" si="45">IF(U206="","",U206+V206)</f>
        <v/>
      </c>
      <c r="X206" s="18"/>
      <c r="Y206" s="29" t="str">
        <f t="shared" ref="Y206:Y215" si="46">IF(W206="","",W206-X206)</f>
        <v/>
      </c>
      <c r="Z206" s="20"/>
    </row>
    <row r="207" spans="1:26" s="5" customFormat="1" ht="18" customHeight="1" x14ac:dyDescent="0.2">
      <c r="A207" s="47"/>
      <c r="B207" s="45"/>
      <c r="C207" s="45"/>
      <c r="D207" s="45"/>
      <c r="E207" s="45"/>
      <c r="F207" s="45"/>
      <c r="G207" s="45"/>
      <c r="H207" s="60"/>
      <c r="I207" s="45"/>
      <c r="J207" s="45"/>
      <c r="K207" s="45"/>
      <c r="L207" s="61"/>
      <c r="N207" s="15"/>
      <c r="O207" s="16" t="s">
        <v>22</v>
      </c>
      <c r="P207" s="16"/>
      <c r="Q207" s="16"/>
      <c r="R207" s="16">
        <v>0</v>
      </c>
      <c r="S207" s="7"/>
      <c r="T207" s="16" t="s">
        <v>22</v>
      </c>
      <c r="U207" s="29"/>
      <c r="V207" s="18"/>
      <c r="W207" s="29" t="str">
        <f t="shared" si="45"/>
        <v/>
      </c>
      <c r="X207" s="18"/>
      <c r="Y207" s="29" t="str">
        <f t="shared" si="46"/>
        <v/>
      </c>
      <c r="Z207" s="20"/>
    </row>
    <row r="208" spans="1:26" s="5" customFormat="1" ht="18" customHeight="1" x14ac:dyDescent="0.2">
      <c r="A208" s="47"/>
      <c r="B208" s="144" t="s">
        <v>17</v>
      </c>
      <c r="C208" s="145"/>
      <c r="D208" s="45"/>
      <c r="E208" s="45"/>
      <c r="F208" s="62" t="s">
        <v>39</v>
      </c>
      <c r="G208" s="6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60"/>
      <c r="I208" s="64">
        <f>IF(C212&gt;=C211,$K$2,C210+C212)</f>
        <v>29</v>
      </c>
      <c r="J208" s="65" t="s">
        <v>36</v>
      </c>
      <c r="K208" s="66">
        <f>K204/$K$2*I208</f>
        <v>26000</v>
      </c>
      <c r="L208" s="67"/>
      <c r="N208" s="15"/>
      <c r="O208" s="16" t="s">
        <v>23</v>
      </c>
      <c r="P208" s="16"/>
      <c r="Q208" s="16"/>
      <c r="R208" s="16">
        <v>0</v>
      </c>
      <c r="S208" s="7"/>
      <c r="T208" s="16" t="s">
        <v>23</v>
      </c>
      <c r="U208" s="29"/>
      <c r="V208" s="18"/>
      <c r="W208" s="29" t="str">
        <f t="shared" si="45"/>
        <v/>
      </c>
      <c r="X208" s="18"/>
      <c r="Y208" s="29" t="str">
        <f t="shared" si="46"/>
        <v/>
      </c>
      <c r="Z208" s="20"/>
    </row>
    <row r="209" spans="1:26" s="5" customFormat="1" ht="18" customHeight="1" x14ac:dyDescent="0.2">
      <c r="A209" s="47"/>
      <c r="B209" s="68"/>
      <c r="C209" s="68"/>
      <c r="D209" s="45"/>
      <c r="E209" s="45"/>
      <c r="F209" s="62" t="s">
        <v>10</v>
      </c>
      <c r="G209" s="6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60"/>
      <c r="I209" s="64">
        <v>24</v>
      </c>
      <c r="J209" s="65" t="s">
        <v>37</v>
      </c>
      <c r="K209" s="69">
        <f>K204/$K$2/8*I209</f>
        <v>2689.655172413793</v>
      </c>
      <c r="L209" s="70"/>
      <c r="N209" s="15"/>
      <c r="O209" s="16" t="s">
        <v>24</v>
      </c>
      <c r="P209" s="16"/>
      <c r="Q209" s="16"/>
      <c r="R209" s="16">
        <v>0</v>
      </c>
      <c r="S209" s="7"/>
      <c r="T209" s="16" t="s">
        <v>24</v>
      </c>
      <c r="U209" s="29"/>
      <c r="V209" s="18"/>
      <c r="W209" s="29" t="str">
        <f t="shared" si="45"/>
        <v/>
      </c>
      <c r="X209" s="18"/>
      <c r="Y209" s="29" t="str">
        <f t="shared" si="46"/>
        <v/>
      </c>
      <c r="Z209" s="20"/>
    </row>
    <row r="210" spans="1:26" s="5" customFormat="1" ht="18" customHeight="1" x14ac:dyDescent="0.2">
      <c r="A210" s="47"/>
      <c r="B210" s="62" t="s">
        <v>5</v>
      </c>
      <c r="C210" s="68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45"/>
      <c r="E210" s="45"/>
      <c r="F210" s="62" t="s">
        <v>40</v>
      </c>
      <c r="G210" s="63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60"/>
      <c r="I210" s="136" t="s">
        <v>44</v>
      </c>
      <c r="J210" s="137"/>
      <c r="K210" s="69">
        <f>K208+K209</f>
        <v>28689.655172413793</v>
      </c>
      <c r="L210" s="70"/>
      <c r="N210" s="15"/>
      <c r="O210" s="16" t="s">
        <v>25</v>
      </c>
      <c r="P210" s="16"/>
      <c r="Q210" s="16"/>
      <c r="R210" s="16">
        <v>0</v>
      </c>
      <c r="S210" s="7"/>
      <c r="T210" s="16" t="s">
        <v>25</v>
      </c>
      <c r="U210" s="29"/>
      <c r="V210" s="18"/>
      <c r="W210" s="29" t="str">
        <f t="shared" si="45"/>
        <v/>
      </c>
      <c r="X210" s="18"/>
      <c r="Y210" s="29" t="str">
        <f t="shared" si="46"/>
        <v/>
      </c>
      <c r="Z210" s="20"/>
    </row>
    <row r="211" spans="1:26" s="5" customFormat="1" ht="18" customHeight="1" x14ac:dyDescent="0.2">
      <c r="A211" s="47"/>
      <c r="B211" s="62" t="s">
        <v>4</v>
      </c>
      <c r="C211" s="68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45"/>
      <c r="E211" s="45"/>
      <c r="F211" s="62" t="s">
        <v>11</v>
      </c>
      <c r="G211" s="6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60"/>
      <c r="I211" s="136" t="s">
        <v>45</v>
      </c>
      <c r="J211" s="137"/>
      <c r="K211" s="63">
        <f>G211</f>
        <v>8000</v>
      </c>
      <c r="L211" s="71"/>
      <c r="N211" s="15"/>
      <c r="O211" s="16" t="s">
        <v>26</v>
      </c>
      <c r="P211" s="16"/>
      <c r="Q211" s="16"/>
      <c r="R211" s="16">
        <v>0</v>
      </c>
      <c r="S211" s="7"/>
      <c r="T211" s="16" t="s">
        <v>26</v>
      </c>
      <c r="U211" s="29"/>
      <c r="V211" s="18"/>
      <c r="W211" s="29" t="str">
        <f t="shared" si="45"/>
        <v/>
      </c>
      <c r="X211" s="18"/>
      <c r="Y211" s="29" t="str">
        <f t="shared" si="46"/>
        <v/>
      </c>
      <c r="Z211" s="20"/>
    </row>
    <row r="212" spans="1:26" s="5" customFormat="1" ht="18" customHeight="1" x14ac:dyDescent="0.2">
      <c r="A212" s="47"/>
      <c r="B212" s="77" t="s">
        <v>43</v>
      </c>
      <c r="C212" s="68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45"/>
      <c r="E212" s="45"/>
      <c r="F212" s="77" t="s">
        <v>86</v>
      </c>
      <c r="G212" s="63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45"/>
      <c r="I212" s="141" t="s">
        <v>38</v>
      </c>
      <c r="J212" s="143"/>
      <c r="K212" s="41">
        <f>K210-K211</f>
        <v>20689.655172413793</v>
      </c>
      <c r="L212" s="72"/>
      <c r="N212" s="15"/>
      <c r="O212" s="16" t="s">
        <v>31</v>
      </c>
      <c r="P212" s="16"/>
      <c r="Q212" s="16"/>
      <c r="R212" s="16">
        <v>0</v>
      </c>
      <c r="S212" s="7"/>
      <c r="T212" s="16" t="s">
        <v>31</v>
      </c>
      <c r="U212" s="29"/>
      <c r="V212" s="18"/>
      <c r="W212" s="29" t="str">
        <f t="shared" si="45"/>
        <v/>
      </c>
      <c r="X212" s="18"/>
      <c r="Y212" s="29" t="str">
        <f t="shared" si="46"/>
        <v/>
      </c>
      <c r="Z212" s="20"/>
    </row>
    <row r="213" spans="1:26" s="5" customFormat="1" ht="18" customHeight="1" x14ac:dyDescent="0.2">
      <c r="A213" s="47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59"/>
      <c r="N213" s="15"/>
      <c r="O213" s="16" t="s">
        <v>27</v>
      </c>
      <c r="P213" s="16"/>
      <c r="Q213" s="16"/>
      <c r="R213" s="16">
        <v>0</v>
      </c>
      <c r="S213" s="7"/>
      <c r="T213" s="16" t="s">
        <v>27</v>
      </c>
      <c r="U213" s="29"/>
      <c r="V213" s="18"/>
      <c r="W213" s="29" t="str">
        <f t="shared" si="45"/>
        <v/>
      </c>
      <c r="X213" s="18"/>
      <c r="Y213" s="29" t="str">
        <f t="shared" si="46"/>
        <v/>
      </c>
      <c r="Z213" s="20"/>
    </row>
    <row r="214" spans="1:26" s="5" customFormat="1" ht="18" customHeight="1" x14ac:dyDescent="0.3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59"/>
      <c r="N214" s="15"/>
      <c r="O214" s="16" t="s">
        <v>32</v>
      </c>
      <c r="P214" s="16"/>
      <c r="Q214" s="16"/>
      <c r="R214" s="16">
        <v>0</v>
      </c>
      <c r="S214" s="7"/>
      <c r="T214" s="16" t="s">
        <v>32</v>
      </c>
      <c r="U214" s="29"/>
      <c r="V214" s="18"/>
      <c r="W214" s="29" t="str">
        <f t="shared" si="45"/>
        <v/>
      </c>
      <c r="X214" s="18"/>
      <c r="Y214" s="29" t="str">
        <f t="shared" si="46"/>
        <v/>
      </c>
      <c r="Z214" s="20"/>
    </row>
    <row r="215" spans="1:26" s="5" customFormat="1" ht="18" customHeight="1" thickBot="1" x14ac:dyDescent="0.35">
      <c r="A215" s="73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5"/>
      <c r="N215" s="15"/>
      <c r="O215" s="16" t="s">
        <v>33</v>
      </c>
      <c r="P215" s="16"/>
      <c r="Q215" s="16"/>
      <c r="R215" s="16">
        <v>0</v>
      </c>
      <c r="S215" s="7"/>
      <c r="T215" s="16" t="s">
        <v>33</v>
      </c>
      <c r="U215" s="29"/>
      <c r="V215" s="18"/>
      <c r="W215" s="29" t="str">
        <f t="shared" si="45"/>
        <v/>
      </c>
      <c r="X215" s="18"/>
      <c r="Y215" s="29" t="str">
        <f t="shared" si="46"/>
        <v/>
      </c>
      <c r="Z215" s="20"/>
    </row>
    <row r="216" spans="1:26" s="27" customFormat="1" ht="18" customHeight="1" thickBot="1" x14ac:dyDescent="0.25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s="5" customFormat="1" ht="18" customHeight="1" thickBot="1" x14ac:dyDescent="0.25">
      <c r="A217" s="138" t="s">
        <v>15</v>
      </c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40"/>
      <c r="M217" s="4"/>
      <c r="N217" s="8"/>
      <c r="O217" s="133" t="s">
        <v>17</v>
      </c>
      <c r="P217" s="134"/>
      <c r="Q217" s="134"/>
      <c r="R217" s="135"/>
      <c r="S217" s="9"/>
      <c r="T217" s="133" t="s">
        <v>18</v>
      </c>
      <c r="U217" s="134"/>
      <c r="V217" s="134"/>
      <c r="W217" s="134"/>
      <c r="X217" s="134"/>
      <c r="Y217" s="135"/>
      <c r="Z217" s="10"/>
    </row>
    <row r="218" spans="1:26" s="5" customFormat="1" ht="18" customHeight="1" x14ac:dyDescent="0.2">
      <c r="A218" s="47"/>
      <c r="B218" s="45"/>
      <c r="C218" s="147" t="s">
        <v>94</v>
      </c>
      <c r="D218" s="147"/>
      <c r="E218" s="147"/>
      <c r="F218" s="147"/>
      <c r="G218" s="48" t="str">
        <f>$J$1</f>
        <v>February</v>
      </c>
      <c r="H218" s="146">
        <f>$K$1</f>
        <v>2024</v>
      </c>
      <c r="I218" s="146"/>
      <c r="J218" s="45"/>
      <c r="K218" s="49"/>
      <c r="L218" s="50"/>
      <c r="M218" s="6"/>
      <c r="N218" s="11"/>
      <c r="O218" s="12" t="s">
        <v>28</v>
      </c>
      <c r="P218" s="12" t="s">
        <v>5</v>
      </c>
      <c r="Q218" s="12" t="s">
        <v>4</v>
      </c>
      <c r="R218" s="12" t="s">
        <v>29</v>
      </c>
      <c r="S218" s="13"/>
      <c r="T218" s="12" t="s">
        <v>28</v>
      </c>
      <c r="U218" s="12" t="s">
        <v>30</v>
      </c>
      <c r="V218" s="12" t="s">
        <v>10</v>
      </c>
      <c r="W218" s="12" t="s">
        <v>9</v>
      </c>
      <c r="X218" s="12" t="s">
        <v>11</v>
      </c>
      <c r="Y218" s="12" t="s">
        <v>34</v>
      </c>
      <c r="Z218" s="14"/>
    </row>
    <row r="219" spans="1:26" s="5" customFormat="1" ht="18" customHeight="1" x14ac:dyDescent="0.2">
      <c r="A219" s="47"/>
      <c r="B219" s="45"/>
      <c r="C219" s="45"/>
      <c r="D219" s="51"/>
      <c r="E219" s="51"/>
      <c r="F219" s="51"/>
      <c r="G219" s="51"/>
      <c r="H219" s="51"/>
      <c r="I219" s="45"/>
      <c r="J219" s="52" t="s">
        <v>1</v>
      </c>
      <c r="K219" s="53">
        <f>17000+2000+4000+12000</f>
        <v>35000</v>
      </c>
      <c r="L219" s="54"/>
      <c r="N219" s="15"/>
      <c r="O219" s="16" t="s">
        <v>20</v>
      </c>
      <c r="P219" s="16">
        <v>26</v>
      </c>
      <c r="Q219" s="16">
        <v>5</v>
      </c>
      <c r="R219" s="16">
        <f>11-Q219+2</f>
        <v>8</v>
      </c>
      <c r="S219" s="17"/>
      <c r="T219" s="16" t="s">
        <v>20</v>
      </c>
      <c r="U219" s="18">
        <v>7000</v>
      </c>
      <c r="V219" s="18"/>
      <c r="W219" s="18">
        <f>V219+U219</f>
        <v>7000</v>
      </c>
      <c r="X219" s="18">
        <v>3000</v>
      </c>
      <c r="Y219" s="18">
        <f>W219-X219</f>
        <v>4000</v>
      </c>
      <c r="Z219" s="14"/>
    </row>
    <row r="220" spans="1:26" s="5" customFormat="1" ht="18" customHeight="1" x14ac:dyDescent="0.2">
      <c r="A220" s="47"/>
      <c r="B220" s="45" t="s">
        <v>0</v>
      </c>
      <c r="C220" s="44" t="s">
        <v>66</v>
      </c>
      <c r="D220" s="45"/>
      <c r="E220" s="45"/>
      <c r="F220" s="45"/>
      <c r="G220" s="45"/>
      <c r="H220" s="55"/>
      <c r="I220" s="51"/>
      <c r="J220" s="45"/>
      <c r="K220" s="45"/>
      <c r="L220" s="56"/>
      <c r="M220" s="4"/>
      <c r="N220" s="19"/>
      <c r="O220" s="16" t="s">
        <v>46</v>
      </c>
      <c r="P220" s="16">
        <v>20</v>
      </c>
      <c r="Q220" s="16">
        <v>9</v>
      </c>
      <c r="R220" s="102">
        <f>IF(Q220="","",R219-Q220)+6</f>
        <v>5</v>
      </c>
      <c r="S220" s="7"/>
      <c r="T220" s="16" t="s">
        <v>46</v>
      </c>
      <c r="U220" s="29">
        <f>Y219</f>
        <v>4000</v>
      </c>
      <c r="V220" s="18">
        <v>3000</v>
      </c>
      <c r="W220" s="29">
        <f>IF(U220="","",U220+V220)</f>
        <v>7000</v>
      </c>
      <c r="X220" s="18">
        <v>3000</v>
      </c>
      <c r="Y220" s="29">
        <f>IF(W220="","",W220-X220)</f>
        <v>4000</v>
      </c>
      <c r="Z220" s="20"/>
    </row>
    <row r="221" spans="1:26" s="5" customFormat="1" ht="18" customHeight="1" x14ac:dyDescent="0.2">
      <c r="A221" s="47"/>
      <c r="B221" s="57" t="s">
        <v>16</v>
      </c>
      <c r="C221" s="58"/>
      <c r="D221" s="45"/>
      <c r="E221" s="45"/>
      <c r="F221" s="141" t="s">
        <v>18</v>
      </c>
      <c r="G221" s="143"/>
      <c r="H221" s="45"/>
      <c r="I221" s="141" t="s">
        <v>19</v>
      </c>
      <c r="J221" s="142"/>
      <c r="K221" s="143"/>
      <c r="L221" s="59"/>
      <c r="N221" s="15"/>
      <c r="O221" s="16" t="s">
        <v>21</v>
      </c>
      <c r="P221" s="16"/>
      <c r="Q221" s="16"/>
      <c r="R221" s="16" t="str">
        <f t="shared" ref="R221:R226" si="47">IF(Q221="","",R220-Q221)</f>
        <v/>
      </c>
      <c r="S221" s="7"/>
      <c r="T221" s="16" t="s">
        <v>21</v>
      </c>
      <c r="U221" s="29"/>
      <c r="V221" s="18"/>
      <c r="W221" s="29" t="str">
        <f t="shared" ref="W221:W230" si="48">IF(U221="","",U221+V221)</f>
        <v/>
      </c>
      <c r="X221" s="18"/>
      <c r="Y221" s="29" t="str">
        <f t="shared" ref="Y221:Y230" si="49">IF(W221="","",W221-X221)</f>
        <v/>
      </c>
      <c r="Z221" s="20"/>
    </row>
    <row r="222" spans="1:26" s="5" customFormat="1" ht="18" customHeight="1" x14ac:dyDescent="0.2">
      <c r="A222" s="47"/>
      <c r="B222" s="45"/>
      <c r="C222" s="45"/>
      <c r="D222" s="45"/>
      <c r="E222" s="45"/>
      <c r="F222" s="45"/>
      <c r="G222" s="45"/>
      <c r="H222" s="60"/>
      <c r="I222" s="45"/>
      <c r="J222" s="45"/>
      <c r="K222" s="45"/>
      <c r="L222" s="61"/>
      <c r="N222" s="15"/>
      <c r="O222" s="16" t="s">
        <v>22</v>
      </c>
      <c r="P222" s="16"/>
      <c r="Q222" s="16"/>
      <c r="R222" s="16" t="str">
        <f t="shared" si="47"/>
        <v/>
      </c>
      <c r="S222" s="7"/>
      <c r="T222" s="16" t="s">
        <v>22</v>
      </c>
      <c r="U222" s="29" t="str">
        <f>Y221</f>
        <v/>
      </c>
      <c r="V222" s="18"/>
      <c r="W222" s="29" t="str">
        <f t="shared" si="48"/>
        <v/>
      </c>
      <c r="X222" s="18"/>
      <c r="Y222" s="29" t="str">
        <f t="shared" si="49"/>
        <v/>
      </c>
      <c r="Z222" s="20"/>
    </row>
    <row r="223" spans="1:26" s="5" customFormat="1" ht="18" customHeight="1" x14ac:dyDescent="0.2">
      <c r="A223" s="47"/>
      <c r="B223" s="144" t="s">
        <v>17</v>
      </c>
      <c r="C223" s="145"/>
      <c r="D223" s="45"/>
      <c r="E223" s="45"/>
      <c r="F223" s="62" t="s">
        <v>39</v>
      </c>
      <c r="G223" s="6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60"/>
      <c r="I223" s="90">
        <f>IF(C227&gt;=C226,$K$2,C225+C227)-2</f>
        <v>23</v>
      </c>
      <c r="J223" s="65" t="s">
        <v>36</v>
      </c>
      <c r="K223" s="66">
        <f>K219/$K$2*I223</f>
        <v>27758.62068965517</v>
      </c>
      <c r="L223" s="67"/>
      <c r="N223" s="15"/>
      <c r="O223" s="16" t="s">
        <v>23</v>
      </c>
      <c r="P223" s="16"/>
      <c r="Q223" s="16"/>
      <c r="R223" s="16" t="str">
        <f t="shared" si="47"/>
        <v/>
      </c>
      <c r="S223" s="7"/>
      <c r="T223" s="16" t="s">
        <v>23</v>
      </c>
      <c r="U223" s="29" t="str">
        <f>IF($J$1="May",Y222,Y222)</f>
        <v/>
      </c>
      <c r="V223" s="18"/>
      <c r="W223" s="29" t="str">
        <f t="shared" si="48"/>
        <v/>
      </c>
      <c r="X223" s="18"/>
      <c r="Y223" s="29" t="str">
        <f t="shared" si="49"/>
        <v/>
      </c>
      <c r="Z223" s="20"/>
    </row>
    <row r="224" spans="1:26" s="5" customFormat="1" ht="18" customHeight="1" x14ac:dyDescent="0.2">
      <c r="A224" s="47"/>
      <c r="B224" s="68"/>
      <c r="C224" s="68"/>
      <c r="D224" s="45"/>
      <c r="E224" s="45"/>
      <c r="F224" s="62" t="s">
        <v>10</v>
      </c>
      <c r="G224" s="6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60"/>
      <c r="I224" s="64">
        <v>32</v>
      </c>
      <c r="J224" s="65" t="s">
        <v>37</v>
      </c>
      <c r="K224" s="69">
        <f>K219/$K$2/8*I224</f>
        <v>4827.5862068965516</v>
      </c>
      <c r="L224" s="70"/>
      <c r="N224" s="15"/>
      <c r="O224" s="16" t="s">
        <v>24</v>
      </c>
      <c r="P224" s="16"/>
      <c r="Q224" s="16"/>
      <c r="R224" s="16" t="str">
        <f t="shared" si="47"/>
        <v/>
      </c>
      <c r="S224" s="7"/>
      <c r="T224" s="16" t="s">
        <v>24</v>
      </c>
      <c r="U224" s="29" t="str">
        <f>IF($J$1="May",Y223,Y223)</f>
        <v/>
      </c>
      <c r="V224" s="18"/>
      <c r="W224" s="29" t="str">
        <f t="shared" si="48"/>
        <v/>
      </c>
      <c r="X224" s="18"/>
      <c r="Y224" s="29" t="str">
        <f t="shared" si="49"/>
        <v/>
      </c>
      <c r="Z224" s="20"/>
    </row>
    <row r="225" spans="1:26" s="5" customFormat="1" ht="18" customHeight="1" x14ac:dyDescent="0.2">
      <c r="A225" s="47"/>
      <c r="B225" s="62" t="s">
        <v>5</v>
      </c>
      <c r="C225" s="68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45"/>
      <c r="E225" s="45"/>
      <c r="F225" s="62" t="s">
        <v>40</v>
      </c>
      <c r="G225" s="6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60"/>
      <c r="I225" s="136" t="s">
        <v>44</v>
      </c>
      <c r="J225" s="137"/>
      <c r="K225" s="69">
        <f>K223+K224</f>
        <v>32586.206896551721</v>
      </c>
      <c r="L225" s="70"/>
      <c r="N225" s="15"/>
      <c r="O225" s="16" t="s">
        <v>25</v>
      </c>
      <c r="P225" s="16"/>
      <c r="Q225" s="16"/>
      <c r="R225" s="16" t="str">
        <f t="shared" si="47"/>
        <v/>
      </c>
      <c r="S225" s="7"/>
      <c r="T225" s="16" t="s">
        <v>25</v>
      </c>
      <c r="U225" s="29" t="str">
        <f t="shared" ref="U225:U230" si="50">Y224</f>
        <v/>
      </c>
      <c r="V225" s="18"/>
      <c r="W225" s="29" t="str">
        <f t="shared" si="48"/>
        <v/>
      </c>
      <c r="X225" s="18"/>
      <c r="Y225" s="29" t="str">
        <f t="shared" si="49"/>
        <v/>
      </c>
      <c r="Z225" s="20"/>
    </row>
    <row r="226" spans="1:26" s="5" customFormat="1" ht="18" customHeight="1" x14ac:dyDescent="0.2">
      <c r="A226" s="47"/>
      <c r="B226" s="62" t="s">
        <v>4</v>
      </c>
      <c r="C226" s="68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45"/>
      <c r="E226" s="45"/>
      <c r="F226" s="62" t="s">
        <v>11</v>
      </c>
      <c r="G226" s="6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60"/>
      <c r="I226" s="136" t="s">
        <v>45</v>
      </c>
      <c r="J226" s="137"/>
      <c r="K226" s="63">
        <f>G226</f>
        <v>3000</v>
      </c>
      <c r="L226" s="71"/>
      <c r="N226" s="15"/>
      <c r="O226" s="16" t="s">
        <v>26</v>
      </c>
      <c r="P226" s="16"/>
      <c r="Q226" s="16"/>
      <c r="R226" s="16" t="str">
        <f t="shared" si="47"/>
        <v/>
      </c>
      <c r="S226" s="7"/>
      <c r="T226" s="16" t="s">
        <v>26</v>
      </c>
      <c r="U226" s="29" t="str">
        <f t="shared" si="50"/>
        <v/>
      </c>
      <c r="V226" s="18"/>
      <c r="W226" s="29" t="str">
        <f t="shared" si="48"/>
        <v/>
      </c>
      <c r="X226" s="18"/>
      <c r="Y226" s="29" t="str">
        <f t="shared" si="49"/>
        <v/>
      </c>
      <c r="Z226" s="20"/>
    </row>
    <row r="227" spans="1:26" s="5" customFormat="1" ht="18" customHeight="1" x14ac:dyDescent="0.2">
      <c r="A227" s="47"/>
      <c r="B227" s="77" t="s">
        <v>43</v>
      </c>
      <c r="C227" s="68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5</v>
      </c>
      <c r="D227" s="45"/>
      <c r="E227" s="45"/>
      <c r="F227" s="77" t="s">
        <v>86</v>
      </c>
      <c r="G227" s="6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45"/>
      <c r="I227" s="141" t="s">
        <v>38</v>
      </c>
      <c r="J227" s="143"/>
      <c r="K227" s="41">
        <f>K225-K226</f>
        <v>29586.206896551721</v>
      </c>
      <c r="L227" s="72"/>
      <c r="N227" s="15"/>
      <c r="O227" s="16" t="s">
        <v>31</v>
      </c>
      <c r="P227" s="16"/>
      <c r="Q227" s="16"/>
      <c r="R227" s="16"/>
      <c r="S227" s="7"/>
      <c r="T227" s="16" t="s">
        <v>31</v>
      </c>
      <c r="U227" s="29" t="str">
        <f t="shared" si="50"/>
        <v/>
      </c>
      <c r="V227" s="18"/>
      <c r="W227" s="29" t="str">
        <f t="shared" si="48"/>
        <v/>
      </c>
      <c r="X227" s="18"/>
      <c r="Y227" s="29" t="str">
        <f t="shared" si="49"/>
        <v/>
      </c>
      <c r="Z227" s="20"/>
    </row>
    <row r="228" spans="1:26" s="5" customFormat="1" ht="18" customHeight="1" x14ac:dyDescent="0.2">
      <c r="A228" s="47"/>
      <c r="B228" s="45"/>
      <c r="C228" s="45"/>
      <c r="D228" s="45"/>
      <c r="E228" s="45"/>
      <c r="F228" s="45"/>
      <c r="G228" s="45"/>
      <c r="H228" s="45"/>
      <c r="I228" s="45"/>
      <c r="J228" s="45">
        <v>26000</v>
      </c>
      <c r="K228" s="79">
        <f>K227-J228</f>
        <v>3586.206896551721</v>
      </c>
      <c r="L228" s="59"/>
      <c r="N228" s="15"/>
      <c r="O228" s="16" t="s">
        <v>27</v>
      </c>
      <c r="P228" s="16"/>
      <c r="Q228" s="16"/>
      <c r="R228" s="16"/>
      <c r="S228" s="7"/>
      <c r="T228" s="16" t="s">
        <v>27</v>
      </c>
      <c r="U228" s="29" t="str">
        <f t="shared" si="50"/>
        <v/>
      </c>
      <c r="V228" s="18"/>
      <c r="W228" s="29" t="str">
        <f t="shared" si="48"/>
        <v/>
      </c>
      <c r="X228" s="18"/>
      <c r="Y228" s="29" t="str">
        <f t="shared" si="49"/>
        <v/>
      </c>
      <c r="Z228" s="20"/>
    </row>
    <row r="229" spans="1:26" s="5" customFormat="1" ht="18" customHeight="1" x14ac:dyDescent="0.3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59"/>
      <c r="N229" s="15"/>
      <c r="O229" s="16" t="s">
        <v>32</v>
      </c>
      <c r="P229" s="16"/>
      <c r="Q229" s="16"/>
      <c r="R229" s="16"/>
      <c r="S229" s="7"/>
      <c r="T229" s="16" t="s">
        <v>32</v>
      </c>
      <c r="U229" s="29" t="str">
        <f t="shared" si="50"/>
        <v/>
      </c>
      <c r="V229" s="18"/>
      <c r="W229" s="29" t="str">
        <f t="shared" si="48"/>
        <v/>
      </c>
      <c r="X229" s="18"/>
      <c r="Y229" s="29" t="str">
        <f t="shared" si="49"/>
        <v/>
      </c>
      <c r="Z229" s="20"/>
    </row>
    <row r="230" spans="1:26" s="5" customFormat="1" ht="18" customHeight="1" thickBot="1" x14ac:dyDescent="0.35">
      <c r="A230" s="73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5"/>
      <c r="N230" s="15"/>
      <c r="O230" s="16" t="s">
        <v>33</v>
      </c>
      <c r="P230" s="100"/>
      <c r="Q230" s="100"/>
      <c r="R230" s="91"/>
      <c r="S230" s="7"/>
      <c r="T230" s="16" t="s">
        <v>33</v>
      </c>
      <c r="U230" s="29" t="str">
        <f t="shared" si="50"/>
        <v/>
      </c>
      <c r="V230" s="18"/>
      <c r="W230" s="29" t="str">
        <f t="shared" si="48"/>
        <v/>
      </c>
      <c r="X230" s="18"/>
      <c r="Y230" s="29" t="str">
        <f t="shared" si="49"/>
        <v/>
      </c>
      <c r="Z230" s="20"/>
    </row>
    <row r="231" spans="1:26" s="27" customFormat="1" ht="18" customHeight="1" thickBot="1" x14ac:dyDescent="0.25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s="5" customFormat="1" ht="18" customHeight="1" thickBot="1" x14ac:dyDescent="0.25">
      <c r="A232" s="138" t="s">
        <v>15</v>
      </c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40"/>
      <c r="M232" s="4"/>
      <c r="N232" s="8"/>
      <c r="O232" s="133" t="s">
        <v>17</v>
      </c>
      <c r="P232" s="134"/>
      <c r="Q232" s="134"/>
      <c r="R232" s="135"/>
      <c r="S232" s="9"/>
      <c r="T232" s="133" t="s">
        <v>18</v>
      </c>
      <c r="U232" s="134"/>
      <c r="V232" s="134"/>
      <c r="W232" s="134"/>
      <c r="X232" s="134"/>
      <c r="Y232" s="135"/>
      <c r="Z232" s="7"/>
    </row>
    <row r="233" spans="1:26" s="5" customFormat="1" ht="18" customHeight="1" x14ac:dyDescent="0.2">
      <c r="A233" s="47"/>
      <c r="B233" s="45"/>
      <c r="C233" s="147" t="s">
        <v>94</v>
      </c>
      <c r="D233" s="147"/>
      <c r="E233" s="147"/>
      <c r="F233" s="147"/>
      <c r="G233" s="48" t="str">
        <f>$J$1</f>
        <v>February</v>
      </c>
      <c r="H233" s="146">
        <f>$K$1</f>
        <v>2024</v>
      </c>
      <c r="I233" s="146"/>
      <c r="J233" s="45"/>
      <c r="K233" s="49"/>
      <c r="L233" s="50"/>
      <c r="M233" s="6"/>
      <c r="N233" s="11"/>
      <c r="O233" s="12" t="s">
        <v>28</v>
      </c>
      <c r="P233" s="12" t="s">
        <v>5</v>
      </c>
      <c r="Q233" s="12" t="s">
        <v>4</v>
      </c>
      <c r="R233" s="12" t="s">
        <v>29</v>
      </c>
      <c r="S233" s="13"/>
      <c r="T233" s="12" t="s">
        <v>28</v>
      </c>
      <c r="U233" s="12" t="s">
        <v>30</v>
      </c>
      <c r="V233" s="12" t="s">
        <v>10</v>
      </c>
      <c r="W233" s="12" t="s">
        <v>9</v>
      </c>
      <c r="X233" s="12" t="s">
        <v>11</v>
      </c>
      <c r="Y233" s="12" t="s">
        <v>34</v>
      </c>
      <c r="Z233" s="7"/>
    </row>
    <row r="234" spans="1:26" s="5" customFormat="1" ht="18" customHeight="1" x14ac:dyDescent="0.2">
      <c r="A234" s="47"/>
      <c r="B234" s="45"/>
      <c r="C234" s="45"/>
      <c r="D234" s="51"/>
      <c r="E234" s="51"/>
      <c r="F234" s="51"/>
      <c r="G234" s="51"/>
      <c r="H234" s="51"/>
      <c r="I234" s="45"/>
      <c r="J234" s="52" t="s">
        <v>1</v>
      </c>
      <c r="K234" s="53">
        <f>25000+7000</f>
        <v>32000</v>
      </c>
      <c r="L234" s="54"/>
      <c r="N234" s="15"/>
      <c r="O234" s="16" t="s">
        <v>20</v>
      </c>
      <c r="P234" s="16">
        <v>31</v>
      </c>
      <c r="Q234" s="16">
        <v>0</v>
      </c>
      <c r="R234" s="16"/>
      <c r="S234" s="17"/>
      <c r="T234" s="16" t="s">
        <v>20</v>
      </c>
      <c r="U234" s="18"/>
      <c r="V234" s="18"/>
      <c r="W234" s="18"/>
      <c r="X234" s="18"/>
      <c r="Y234" s="18"/>
      <c r="Z234" s="7"/>
    </row>
    <row r="235" spans="1:26" s="5" customFormat="1" ht="18" customHeight="1" x14ac:dyDescent="0.2">
      <c r="A235" s="47"/>
      <c r="B235" s="45" t="s">
        <v>0</v>
      </c>
      <c r="C235" s="44" t="s">
        <v>95</v>
      </c>
      <c r="D235" s="45"/>
      <c r="E235" s="45"/>
      <c r="F235" s="45"/>
      <c r="G235" s="45"/>
      <c r="H235" s="55"/>
      <c r="I235" s="51"/>
      <c r="J235" s="45"/>
      <c r="K235" s="45"/>
      <c r="L235" s="56"/>
      <c r="M235" s="4"/>
      <c r="N235" s="19"/>
      <c r="O235" s="16" t="s">
        <v>46</v>
      </c>
      <c r="P235" s="16">
        <v>28</v>
      </c>
      <c r="Q235" s="16">
        <v>1</v>
      </c>
      <c r="R235" s="16"/>
      <c r="S235" s="7"/>
      <c r="T235" s="16" t="s">
        <v>46</v>
      </c>
      <c r="U235" s="29"/>
      <c r="V235" s="18"/>
      <c r="W235" s="29" t="str">
        <f>IF(U235="","",U235+V235)</f>
        <v/>
      </c>
      <c r="X235" s="18"/>
      <c r="Y235" s="29" t="str">
        <f>IF(W235="","",W235-X235)</f>
        <v/>
      </c>
      <c r="Z235" s="7"/>
    </row>
    <row r="236" spans="1:26" s="5" customFormat="1" ht="18" customHeight="1" x14ac:dyDescent="0.2">
      <c r="A236" s="47"/>
      <c r="B236" s="57" t="s">
        <v>16</v>
      </c>
      <c r="C236" s="85">
        <v>45223</v>
      </c>
      <c r="D236" s="45"/>
      <c r="E236" s="45"/>
      <c r="F236" s="141" t="s">
        <v>18</v>
      </c>
      <c r="G236" s="143"/>
      <c r="H236" s="45"/>
      <c r="I236" s="141" t="s">
        <v>19</v>
      </c>
      <c r="J236" s="142"/>
      <c r="K236" s="143"/>
      <c r="L236" s="59"/>
      <c r="N236" s="15"/>
      <c r="O236" s="16" t="s">
        <v>21</v>
      </c>
      <c r="P236" s="16"/>
      <c r="Q236" s="16"/>
      <c r="R236" s="16"/>
      <c r="S236" s="7"/>
      <c r="T236" s="16" t="s">
        <v>21</v>
      </c>
      <c r="U236" s="29"/>
      <c r="V236" s="18"/>
      <c r="W236" s="29" t="str">
        <f t="shared" ref="W236:W245" si="51">IF(U236="","",U236+V236)</f>
        <v/>
      </c>
      <c r="X236" s="18"/>
      <c r="Y236" s="29" t="str">
        <f t="shared" ref="Y236:Y245" si="52">IF(W236="","",W236-X236)</f>
        <v/>
      </c>
      <c r="Z236" s="7"/>
    </row>
    <row r="237" spans="1:26" s="5" customFormat="1" ht="18" customHeight="1" x14ac:dyDescent="0.2">
      <c r="A237" s="47"/>
      <c r="B237" s="45"/>
      <c r="C237" s="45"/>
      <c r="D237" s="45"/>
      <c r="E237" s="45"/>
      <c r="F237" s="45"/>
      <c r="G237" s="45"/>
      <c r="H237" s="60"/>
      <c r="I237" s="45"/>
      <c r="J237" s="45"/>
      <c r="K237" s="45"/>
      <c r="L237" s="61"/>
      <c r="N237" s="15"/>
      <c r="O237" s="16" t="s">
        <v>22</v>
      </c>
      <c r="P237" s="16"/>
      <c r="Q237" s="16"/>
      <c r="R237" s="16"/>
      <c r="S237" s="7"/>
      <c r="T237" s="16" t="s">
        <v>22</v>
      </c>
      <c r="U237" s="29"/>
      <c r="V237" s="18"/>
      <c r="W237" s="29" t="str">
        <f t="shared" si="51"/>
        <v/>
      </c>
      <c r="X237" s="18"/>
      <c r="Y237" s="29" t="str">
        <f t="shared" si="52"/>
        <v/>
      </c>
      <c r="Z237" s="7"/>
    </row>
    <row r="238" spans="1:26" s="5" customFormat="1" ht="18" customHeight="1" x14ac:dyDescent="0.2">
      <c r="A238" s="47"/>
      <c r="B238" s="144" t="s">
        <v>17</v>
      </c>
      <c r="C238" s="145"/>
      <c r="D238" s="45"/>
      <c r="E238" s="45"/>
      <c r="F238" s="62" t="s">
        <v>39</v>
      </c>
      <c r="G238" s="6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60"/>
      <c r="I238" s="64">
        <f>IF(C242&gt;=C241,$K$2,C240+C242)</f>
        <v>28</v>
      </c>
      <c r="J238" s="65" t="s">
        <v>36</v>
      </c>
      <c r="K238" s="66">
        <f>K234/$K$2*I238</f>
        <v>30896.551724137935</v>
      </c>
      <c r="L238" s="67"/>
      <c r="N238" s="15"/>
      <c r="O238" s="16" t="s">
        <v>23</v>
      </c>
      <c r="P238" s="16"/>
      <c r="Q238" s="16"/>
      <c r="R238" s="16"/>
      <c r="S238" s="7"/>
      <c r="T238" s="16" t="s">
        <v>23</v>
      </c>
      <c r="U238" s="29"/>
      <c r="V238" s="18"/>
      <c r="W238" s="29" t="str">
        <f t="shared" si="51"/>
        <v/>
      </c>
      <c r="X238" s="18"/>
      <c r="Y238" s="29" t="str">
        <f t="shared" si="52"/>
        <v/>
      </c>
      <c r="Z238" s="7"/>
    </row>
    <row r="239" spans="1:26" s="5" customFormat="1" ht="18" customHeight="1" x14ac:dyDescent="0.2">
      <c r="A239" s="47"/>
      <c r="B239" s="68"/>
      <c r="C239" s="68"/>
      <c r="D239" s="45"/>
      <c r="E239" s="45"/>
      <c r="F239" s="62" t="s">
        <v>10</v>
      </c>
      <c r="G239" s="6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60"/>
      <c r="I239" s="64">
        <v>72</v>
      </c>
      <c r="J239" s="65" t="s">
        <v>37</v>
      </c>
      <c r="K239" s="69">
        <f>K234/$K$2/8*I239</f>
        <v>9931.0344827586214</v>
      </c>
      <c r="L239" s="70"/>
      <c r="N239" s="15"/>
      <c r="O239" s="16" t="s">
        <v>24</v>
      </c>
      <c r="P239" s="16"/>
      <c r="Q239" s="16"/>
      <c r="R239" s="16"/>
      <c r="S239" s="7"/>
      <c r="T239" s="16" t="s">
        <v>24</v>
      </c>
      <c r="U239" s="29" t="str">
        <f>Y238</f>
        <v/>
      </c>
      <c r="V239" s="18"/>
      <c r="W239" s="29"/>
      <c r="X239" s="18"/>
      <c r="Y239" s="29" t="str">
        <f t="shared" si="52"/>
        <v/>
      </c>
      <c r="Z239" s="7"/>
    </row>
    <row r="240" spans="1:26" s="5" customFormat="1" ht="18" customHeight="1" x14ac:dyDescent="0.2">
      <c r="A240" s="47"/>
      <c r="B240" s="62" t="s">
        <v>5</v>
      </c>
      <c r="C240" s="68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45"/>
      <c r="E240" s="45"/>
      <c r="F240" s="62" t="s">
        <v>40</v>
      </c>
      <c r="G240" s="63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60"/>
      <c r="I240" s="136" t="s">
        <v>44</v>
      </c>
      <c r="J240" s="137"/>
      <c r="K240" s="69">
        <f>K238+K239</f>
        <v>40827.586206896558</v>
      </c>
      <c r="L240" s="70"/>
      <c r="N240" s="15"/>
      <c r="O240" s="16" t="s">
        <v>25</v>
      </c>
      <c r="P240" s="16"/>
      <c r="Q240" s="16"/>
      <c r="R240" s="16"/>
      <c r="S240" s="7"/>
      <c r="T240" s="16" t="s">
        <v>25</v>
      </c>
      <c r="U240" s="29"/>
      <c r="V240" s="18"/>
      <c r="W240" s="29" t="str">
        <f t="shared" si="51"/>
        <v/>
      </c>
      <c r="X240" s="18"/>
      <c r="Y240" s="29" t="str">
        <f t="shared" si="52"/>
        <v/>
      </c>
      <c r="Z240" s="7"/>
    </row>
    <row r="241" spans="1:26" s="5" customFormat="1" ht="18" customHeight="1" x14ac:dyDescent="0.2">
      <c r="A241" s="47"/>
      <c r="B241" s="62" t="s">
        <v>4</v>
      </c>
      <c r="C241" s="68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45"/>
      <c r="E241" s="45"/>
      <c r="F241" s="62" t="s">
        <v>11</v>
      </c>
      <c r="G241" s="6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60"/>
      <c r="I241" s="136" t="s">
        <v>45</v>
      </c>
      <c r="J241" s="137"/>
      <c r="K241" s="63">
        <f>G241</f>
        <v>0</v>
      </c>
      <c r="L241" s="71"/>
      <c r="N241" s="15"/>
      <c r="O241" s="16" t="s">
        <v>26</v>
      </c>
      <c r="P241" s="16"/>
      <c r="Q241" s="16"/>
      <c r="R241" s="16"/>
      <c r="S241" s="7"/>
      <c r="T241" s="16" t="s">
        <v>26</v>
      </c>
      <c r="U241" s="29"/>
      <c r="V241" s="18"/>
      <c r="W241" s="29" t="str">
        <f t="shared" si="51"/>
        <v/>
      </c>
      <c r="X241" s="18"/>
      <c r="Y241" s="29" t="str">
        <f t="shared" si="52"/>
        <v/>
      </c>
      <c r="Z241" s="7"/>
    </row>
    <row r="242" spans="1:26" s="5" customFormat="1" ht="18" customHeight="1" x14ac:dyDescent="0.2">
      <c r="A242" s="47"/>
      <c r="B242" s="77" t="s">
        <v>43</v>
      </c>
      <c r="C242" s="68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45"/>
      <c r="E242" s="45"/>
      <c r="F242" s="77" t="s">
        <v>86</v>
      </c>
      <c r="G242" s="63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45"/>
      <c r="I242" s="141" t="s">
        <v>38</v>
      </c>
      <c r="J242" s="143"/>
      <c r="K242" s="41">
        <f>K240-K241</f>
        <v>40827.586206896558</v>
      </c>
      <c r="L242" s="72"/>
      <c r="N242" s="15"/>
      <c r="O242" s="16" t="s">
        <v>31</v>
      </c>
      <c r="P242" s="16"/>
      <c r="Q242" s="16"/>
      <c r="R242" s="16"/>
      <c r="S242" s="7"/>
      <c r="T242" s="16" t="s">
        <v>31</v>
      </c>
      <c r="U242" s="29" t="str">
        <f>IF($J$1="September",Y241,"")</f>
        <v/>
      </c>
      <c r="V242" s="18"/>
      <c r="W242" s="29" t="str">
        <f t="shared" si="51"/>
        <v/>
      </c>
      <c r="X242" s="18"/>
      <c r="Y242" s="29" t="str">
        <f t="shared" si="52"/>
        <v/>
      </c>
      <c r="Z242" s="20"/>
    </row>
    <row r="243" spans="1:26" s="5" customFormat="1" ht="18" customHeight="1" x14ac:dyDescent="0.2">
      <c r="A243" s="47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59"/>
      <c r="N243" s="15"/>
      <c r="O243" s="16" t="s">
        <v>27</v>
      </c>
      <c r="P243" s="16"/>
      <c r="Q243" s="16"/>
      <c r="R243" s="16"/>
      <c r="S243" s="7"/>
      <c r="T243" s="16" t="s">
        <v>27</v>
      </c>
      <c r="U243" s="29" t="str">
        <f>IF($J$1="October",Y242,"")</f>
        <v/>
      </c>
      <c r="V243" s="18"/>
      <c r="W243" s="29" t="str">
        <f t="shared" si="51"/>
        <v/>
      </c>
      <c r="X243" s="18"/>
      <c r="Y243" s="29" t="str">
        <f t="shared" si="52"/>
        <v/>
      </c>
      <c r="Z243" s="20"/>
    </row>
    <row r="244" spans="1:26" s="5" customFormat="1" ht="18" customHeight="1" x14ac:dyDescent="0.3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59"/>
      <c r="N244" s="15"/>
      <c r="O244" s="16" t="s">
        <v>32</v>
      </c>
      <c r="P244" s="99"/>
      <c r="Q244" s="99"/>
      <c r="R244" s="16"/>
      <c r="S244" s="7"/>
      <c r="T244" s="16" t="s">
        <v>32</v>
      </c>
      <c r="U244" s="29"/>
      <c r="V244" s="18"/>
      <c r="W244" s="29" t="str">
        <f t="shared" si="51"/>
        <v/>
      </c>
      <c r="X244" s="18"/>
      <c r="Y244" s="29" t="str">
        <f t="shared" si="52"/>
        <v/>
      </c>
      <c r="Z244" s="7"/>
    </row>
    <row r="245" spans="1:26" s="5" customFormat="1" ht="18" customHeight="1" thickBot="1" x14ac:dyDescent="0.35">
      <c r="A245" s="73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5"/>
      <c r="N245" s="15"/>
      <c r="O245" s="16" t="s">
        <v>33</v>
      </c>
      <c r="P245" s="16"/>
      <c r="Q245" s="16"/>
      <c r="R245" s="16"/>
      <c r="S245" s="7"/>
      <c r="T245" s="16" t="s">
        <v>33</v>
      </c>
      <c r="U245" s="29"/>
      <c r="V245" s="18"/>
      <c r="W245" s="29" t="str">
        <f t="shared" si="51"/>
        <v/>
      </c>
      <c r="X245" s="18"/>
      <c r="Y245" s="29" t="str">
        <f t="shared" si="52"/>
        <v/>
      </c>
      <c r="Z245" s="7"/>
    </row>
    <row r="246" spans="1:26" s="27" customFormat="1" ht="18" customHeight="1" thickBot="1" x14ac:dyDescent="0.25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s="5" customFormat="1" ht="18" customHeight="1" thickBot="1" x14ac:dyDescent="0.25">
      <c r="A247" s="138" t="s">
        <v>15</v>
      </c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40"/>
      <c r="M247" s="4"/>
      <c r="N247" s="8"/>
      <c r="O247" s="133" t="s">
        <v>17</v>
      </c>
      <c r="P247" s="134"/>
      <c r="Q247" s="134"/>
      <c r="R247" s="135"/>
      <c r="S247" s="9"/>
      <c r="T247" s="133" t="s">
        <v>18</v>
      </c>
      <c r="U247" s="134"/>
      <c r="V247" s="134"/>
      <c r="W247" s="134"/>
      <c r="X247" s="134"/>
      <c r="Y247" s="135"/>
      <c r="Z247" s="7"/>
    </row>
    <row r="248" spans="1:26" s="5" customFormat="1" ht="18" customHeight="1" x14ac:dyDescent="0.2">
      <c r="A248" s="47"/>
      <c r="B248" s="45"/>
      <c r="C248" s="147" t="s">
        <v>94</v>
      </c>
      <c r="D248" s="147"/>
      <c r="E248" s="147"/>
      <c r="F248" s="147"/>
      <c r="G248" s="48" t="str">
        <f>$J$1</f>
        <v>February</v>
      </c>
      <c r="H248" s="146">
        <f>$K$1</f>
        <v>2024</v>
      </c>
      <c r="I248" s="146"/>
      <c r="J248" s="45"/>
      <c r="K248" s="49"/>
      <c r="L248" s="50"/>
      <c r="M248" s="6"/>
      <c r="N248" s="11"/>
      <c r="O248" s="12" t="s">
        <v>28</v>
      </c>
      <c r="P248" s="12" t="s">
        <v>5</v>
      </c>
      <c r="Q248" s="12" t="s">
        <v>4</v>
      </c>
      <c r="R248" s="12" t="s">
        <v>29</v>
      </c>
      <c r="S248" s="13"/>
      <c r="T248" s="12" t="s">
        <v>28</v>
      </c>
      <c r="U248" s="12" t="s">
        <v>30</v>
      </c>
      <c r="V248" s="12" t="s">
        <v>10</v>
      </c>
      <c r="W248" s="12" t="s">
        <v>9</v>
      </c>
      <c r="X248" s="12" t="s">
        <v>11</v>
      </c>
      <c r="Y248" s="12" t="s">
        <v>34</v>
      </c>
      <c r="Z248" s="7"/>
    </row>
    <row r="249" spans="1:26" s="5" customFormat="1" ht="18" customHeight="1" x14ac:dyDescent="0.2">
      <c r="A249" s="47"/>
      <c r="B249" s="45"/>
      <c r="C249" s="45"/>
      <c r="D249" s="51"/>
      <c r="E249" s="51"/>
      <c r="F249" s="51"/>
      <c r="G249" s="51"/>
      <c r="H249" s="51"/>
      <c r="I249" s="45"/>
      <c r="J249" s="52" t="s">
        <v>1</v>
      </c>
      <c r="K249" s="53">
        <f>35000+10000</f>
        <v>45000</v>
      </c>
      <c r="L249" s="54"/>
      <c r="N249" s="15"/>
      <c r="O249" s="16" t="s">
        <v>20</v>
      </c>
      <c r="P249" s="16">
        <v>31</v>
      </c>
      <c r="Q249" s="16">
        <v>0</v>
      </c>
      <c r="R249" s="16">
        <v>0</v>
      </c>
      <c r="S249" s="17"/>
      <c r="T249" s="16" t="s">
        <v>20</v>
      </c>
      <c r="U249" s="18"/>
      <c r="V249" s="18"/>
      <c r="W249" s="18"/>
      <c r="X249" s="18"/>
      <c r="Y249" s="18"/>
      <c r="Z249" s="7"/>
    </row>
    <row r="250" spans="1:26" s="5" customFormat="1" ht="18" customHeight="1" x14ac:dyDescent="0.2">
      <c r="A250" s="47"/>
      <c r="B250" s="45" t="s">
        <v>0</v>
      </c>
      <c r="C250" s="44" t="s">
        <v>85</v>
      </c>
      <c r="D250" s="45"/>
      <c r="E250" s="45"/>
      <c r="F250" s="45"/>
      <c r="G250" s="45"/>
      <c r="H250" s="55"/>
      <c r="I250" s="51"/>
      <c r="J250" s="45"/>
      <c r="K250" s="45"/>
      <c r="L250" s="56"/>
      <c r="M250" s="4"/>
      <c r="N250" s="19"/>
      <c r="O250" s="16" t="s">
        <v>46</v>
      </c>
      <c r="P250" s="16">
        <v>29</v>
      </c>
      <c r="Q250" s="16">
        <v>0</v>
      </c>
      <c r="R250" s="16">
        <v>0</v>
      </c>
      <c r="S250" s="7"/>
      <c r="T250" s="16" t="s">
        <v>46</v>
      </c>
      <c r="U250" s="29"/>
      <c r="V250" s="18"/>
      <c r="W250" s="29"/>
      <c r="X250" s="18"/>
      <c r="Y250" s="29"/>
      <c r="Z250" s="7"/>
    </row>
    <row r="251" spans="1:26" s="5" customFormat="1" ht="18" customHeight="1" x14ac:dyDescent="0.2">
      <c r="A251" s="47"/>
      <c r="B251" s="57" t="s">
        <v>16</v>
      </c>
      <c r="C251" s="58"/>
      <c r="D251" s="45"/>
      <c r="E251" s="45"/>
      <c r="F251" s="141" t="s">
        <v>18</v>
      </c>
      <c r="G251" s="143"/>
      <c r="H251" s="45"/>
      <c r="I251" s="141" t="s">
        <v>19</v>
      </c>
      <c r="J251" s="142"/>
      <c r="K251" s="143"/>
      <c r="L251" s="59"/>
      <c r="N251" s="15"/>
      <c r="O251" s="16" t="s">
        <v>21</v>
      </c>
      <c r="P251" s="16"/>
      <c r="Q251" s="16"/>
      <c r="R251" s="16">
        <v>0</v>
      </c>
      <c r="S251" s="7"/>
      <c r="T251" s="16" t="s">
        <v>21</v>
      </c>
      <c r="U251" s="29"/>
      <c r="V251" s="18"/>
      <c r="W251" s="29"/>
      <c r="X251" s="18"/>
      <c r="Y251" s="29"/>
      <c r="Z251" s="7"/>
    </row>
    <row r="252" spans="1:26" s="5" customFormat="1" ht="18" customHeight="1" x14ac:dyDescent="0.2">
      <c r="A252" s="47"/>
      <c r="B252" s="45"/>
      <c r="C252" s="45"/>
      <c r="D252" s="45"/>
      <c r="E252" s="45"/>
      <c r="F252" s="45"/>
      <c r="G252" s="45"/>
      <c r="H252" s="60"/>
      <c r="I252" s="45"/>
      <c r="J252" s="45"/>
      <c r="K252" s="45"/>
      <c r="L252" s="61"/>
      <c r="N252" s="15"/>
      <c r="O252" s="16" t="s">
        <v>22</v>
      </c>
      <c r="P252" s="16"/>
      <c r="Q252" s="16"/>
      <c r="R252" s="16">
        <v>0</v>
      </c>
      <c r="S252" s="7"/>
      <c r="T252" s="16" t="s">
        <v>22</v>
      </c>
      <c r="U252" s="29"/>
      <c r="V252" s="18"/>
      <c r="W252" s="29"/>
      <c r="X252" s="18"/>
      <c r="Y252" s="29"/>
      <c r="Z252" s="7"/>
    </row>
    <row r="253" spans="1:26" s="5" customFormat="1" ht="18" customHeight="1" x14ac:dyDescent="0.2">
      <c r="A253" s="47"/>
      <c r="B253" s="144" t="s">
        <v>17</v>
      </c>
      <c r="C253" s="145"/>
      <c r="D253" s="45"/>
      <c r="E253" s="45"/>
      <c r="F253" s="62" t="s">
        <v>39</v>
      </c>
      <c r="G253" s="6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60"/>
      <c r="I253" s="64">
        <f>IF(C257&gt;=C256,$K$2,C255+C257)</f>
        <v>29</v>
      </c>
      <c r="J253" s="65" t="s">
        <v>36</v>
      </c>
      <c r="K253" s="66">
        <f>K249/$K$2*I253</f>
        <v>45000</v>
      </c>
      <c r="L253" s="67"/>
      <c r="N253" s="15"/>
      <c r="O253" s="16" t="s">
        <v>23</v>
      </c>
      <c r="P253" s="16"/>
      <c r="Q253" s="16"/>
      <c r="R253" s="16">
        <v>0</v>
      </c>
      <c r="S253" s="7"/>
      <c r="T253" s="16" t="s">
        <v>23</v>
      </c>
      <c r="U253" s="29"/>
      <c r="V253" s="18"/>
      <c r="W253" s="29"/>
      <c r="X253" s="18"/>
      <c r="Y253" s="29"/>
      <c r="Z253" s="7"/>
    </row>
    <row r="254" spans="1:26" s="5" customFormat="1" ht="18" customHeight="1" x14ac:dyDescent="0.2">
      <c r="A254" s="47"/>
      <c r="B254" s="68"/>
      <c r="C254" s="68"/>
      <c r="D254" s="45"/>
      <c r="E254" s="45"/>
      <c r="F254" s="62" t="s">
        <v>10</v>
      </c>
      <c r="G254" s="6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60"/>
      <c r="I254" s="64">
        <v>75</v>
      </c>
      <c r="J254" s="65" t="s">
        <v>37</v>
      </c>
      <c r="K254" s="69">
        <f>K249/$K$2/8*I254</f>
        <v>14547.413793103447</v>
      </c>
      <c r="L254" s="70"/>
      <c r="N254" s="15"/>
      <c r="O254" s="16" t="s">
        <v>24</v>
      </c>
      <c r="P254" s="99"/>
      <c r="Q254" s="99"/>
      <c r="R254" s="16">
        <v>0</v>
      </c>
      <c r="S254" s="7"/>
      <c r="T254" s="16" t="s">
        <v>24</v>
      </c>
      <c r="U254" s="29">
        <f t="shared" ref="U254" si="53">Y253</f>
        <v>0</v>
      </c>
      <c r="V254" s="18"/>
      <c r="W254" s="29">
        <f t="shared" ref="W254" si="54">IF(U254="","",U254+V254)</f>
        <v>0</v>
      </c>
      <c r="X254" s="18"/>
      <c r="Y254" s="29">
        <f t="shared" ref="Y254" si="55">IF(W254="","",W254-X254)</f>
        <v>0</v>
      </c>
      <c r="Z254" s="7"/>
    </row>
    <row r="255" spans="1:26" s="5" customFormat="1" ht="18" customHeight="1" x14ac:dyDescent="0.2">
      <c r="A255" s="47"/>
      <c r="B255" s="62" t="s">
        <v>5</v>
      </c>
      <c r="C255" s="68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45"/>
      <c r="E255" s="45"/>
      <c r="F255" s="62" t="s">
        <v>40</v>
      </c>
      <c r="G255" s="63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60"/>
      <c r="I255" s="136" t="s">
        <v>44</v>
      </c>
      <c r="J255" s="137"/>
      <c r="K255" s="69">
        <f>K253+K254</f>
        <v>59547.413793103449</v>
      </c>
      <c r="L255" s="70"/>
      <c r="N255" s="15"/>
      <c r="O255" s="16" t="s">
        <v>25</v>
      </c>
      <c r="P255" s="16"/>
      <c r="Q255" s="16"/>
      <c r="R255" s="16">
        <v>0</v>
      </c>
      <c r="S255" s="7"/>
      <c r="T255" s="16" t="s">
        <v>25</v>
      </c>
      <c r="U255" s="29"/>
      <c r="V255" s="18"/>
      <c r="W255" s="29"/>
      <c r="X255" s="18"/>
      <c r="Y255" s="29"/>
      <c r="Z255" s="7"/>
    </row>
    <row r="256" spans="1:26" s="5" customFormat="1" ht="18" customHeight="1" x14ac:dyDescent="0.2">
      <c r="A256" s="47"/>
      <c r="B256" s="62" t="s">
        <v>4</v>
      </c>
      <c r="C256" s="68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45"/>
      <c r="E256" s="45"/>
      <c r="F256" s="62" t="s">
        <v>11</v>
      </c>
      <c r="G256" s="6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60"/>
      <c r="I256" s="136" t="s">
        <v>45</v>
      </c>
      <c r="J256" s="137"/>
      <c r="K256" s="63">
        <f>G256</f>
        <v>0</v>
      </c>
      <c r="L256" s="71"/>
      <c r="N256" s="15"/>
      <c r="O256" s="16" t="s">
        <v>26</v>
      </c>
      <c r="P256" s="16"/>
      <c r="Q256" s="16"/>
      <c r="R256" s="16">
        <v>0</v>
      </c>
      <c r="S256" s="7"/>
      <c r="T256" s="16" t="s">
        <v>26</v>
      </c>
      <c r="U256" s="29"/>
      <c r="V256" s="18"/>
      <c r="W256" s="29"/>
      <c r="X256" s="18"/>
      <c r="Y256" s="29"/>
      <c r="Z256" s="7"/>
    </row>
    <row r="257" spans="1:26" s="5" customFormat="1" ht="18" customHeight="1" x14ac:dyDescent="0.2">
      <c r="A257" s="47"/>
      <c r="B257" s="77" t="s">
        <v>43</v>
      </c>
      <c r="C257" s="68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45"/>
      <c r="E257" s="45"/>
      <c r="F257" s="77" t="s">
        <v>86</v>
      </c>
      <c r="G257" s="63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45"/>
      <c r="I257" s="141" t="s">
        <v>38</v>
      </c>
      <c r="J257" s="143"/>
      <c r="K257" s="41">
        <f>K255-K256</f>
        <v>59547.413793103449</v>
      </c>
      <c r="L257" s="72"/>
      <c r="N257" s="15"/>
      <c r="O257" s="16" t="s">
        <v>31</v>
      </c>
      <c r="P257" s="16"/>
      <c r="Q257" s="16"/>
      <c r="R257" s="16">
        <v>0</v>
      </c>
      <c r="S257" s="7"/>
      <c r="T257" s="16" t="s">
        <v>31</v>
      </c>
      <c r="U257" s="29" t="str">
        <f>IF($J$1="September",Y256,"")</f>
        <v/>
      </c>
      <c r="V257" s="18"/>
      <c r="W257" s="29" t="str">
        <f t="shared" ref="W257:W258" si="56">IF(U257="","",U257+V257)</f>
        <v/>
      </c>
      <c r="X257" s="18"/>
      <c r="Y257" s="29" t="str">
        <f t="shared" ref="Y257:Y258" si="57">IF(W257="","",W257-X257)</f>
        <v/>
      </c>
      <c r="Z257" s="20"/>
    </row>
    <row r="258" spans="1:26" s="5" customFormat="1" ht="18" customHeight="1" x14ac:dyDescent="0.2">
      <c r="A258" s="47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59"/>
      <c r="N258" s="15"/>
      <c r="O258" s="16" t="s">
        <v>27</v>
      </c>
      <c r="P258" s="16"/>
      <c r="Q258" s="16"/>
      <c r="R258" s="16">
        <v>0</v>
      </c>
      <c r="S258" s="7"/>
      <c r="T258" s="16" t="s">
        <v>27</v>
      </c>
      <c r="U258" s="29" t="str">
        <f>IF($J$1="October",Y257,"")</f>
        <v/>
      </c>
      <c r="V258" s="18"/>
      <c r="W258" s="29" t="str">
        <f t="shared" si="56"/>
        <v/>
      </c>
      <c r="X258" s="18"/>
      <c r="Y258" s="29" t="str">
        <f t="shared" si="57"/>
        <v/>
      </c>
      <c r="Z258" s="20"/>
    </row>
    <row r="259" spans="1:26" s="5" customFormat="1" ht="18" customHeight="1" x14ac:dyDescent="0.3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59"/>
      <c r="N259" s="15"/>
      <c r="O259" s="16" t="s">
        <v>32</v>
      </c>
      <c r="P259" s="16"/>
      <c r="Q259" s="16"/>
      <c r="R259" s="16">
        <v>0</v>
      </c>
      <c r="S259" s="7"/>
      <c r="T259" s="16" t="s">
        <v>32</v>
      </c>
      <c r="U259" s="29"/>
      <c r="V259" s="18"/>
      <c r="W259" s="29"/>
      <c r="X259" s="18"/>
      <c r="Y259" s="29"/>
      <c r="Z259" s="7"/>
    </row>
    <row r="260" spans="1:26" s="5" customFormat="1" ht="18" customHeight="1" thickBot="1" x14ac:dyDescent="0.35">
      <c r="A260" s="73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5"/>
      <c r="N260" s="15"/>
      <c r="O260" s="16" t="s">
        <v>33</v>
      </c>
      <c r="P260" s="16"/>
      <c r="Q260" s="16"/>
      <c r="R260" s="16" t="str">
        <f t="shared" ref="R260" si="58">IF(Q260="","",R259-Q260)</f>
        <v/>
      </c>
      <c r="S260" s="7"/>
      <c r="T260" s="16" t="s">
        <v>33</v>
      </c>
      <c r="U260" s="29"/>
      <c r="V260" s="18"/>
      <c r="W260" s="29"/>
      <c r="X260" s="18"/>
      <c r="Y260" s="29"/>
      <c r="Z260" s="7"/>
    </row>
    <row r="261" spans="1:26" s="27" customFormat="1" ht="18" customHeight="1" thickBot="1" x14ac:dyDescent="0.25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s="5" customFormat="1" ht="18" customHeight="1" thickBot="1" x14ac:dyDescent="0.25">
      <c r="A262" s="138" t="s">
        <v>15</v>
      </c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40"/>
      <c r="M262" s="4"/>
      <c r="N262" s="8"/>
      <c r="O262" s="133" t="s">
        <v>17</v>
      </c>
      <c r="P262" s="134"/>
      <c r="Q262" s="134"/>
      <c r="R262" s="135"/>
      <c r="S262" s="9"/>
      <c r="T262" s="133" t="s">
        <v>18</v>
      </c>
      <c r="U262" s="134"/>
      <c r="V262" s="134"/>
      <c r="W262" s="134"/>
      <c r="X262" s="134"/>
      <c r="Y262" s="135"/>
      <c r="Z262" s="10"/>
    </row>
    <row r="263" spans="1:26" s="5" customFormat="1" ht="18" customHeight="1" x14ac:dyDescent="0.2">
      <c r="A263" s="47"/>
      <c r="B263" s="45"/>
      <c r="C263" s="147" t="s">
        <v>94</v>
      </c>
      <c r="D263" s="147"/>
      <c r="E263" s="147"/>
      <c r="F263" s="147"/>
      <c r="G263" s="48" t="str">
        <f>$J$1</f>
        <v>February</v>
      </c>
      <c r="H263" s="146">
        <f>$K$1</f>
        <v>2024</v>
      </c>
      <c r="I263" s="146"/>
      <c r="J263" s="45"/>
      <c r="K263" s="49"/>
      <c r="L263" s="50"/>
      <c r="M263" s="6"/>
      <c r="N263" s="11"/>
      <c r="O263" s="12" t="s">
        <v>28</v>
      </c>
      <c r="P263" s="12" t="s">
        <v>5</v>
      </c>
      <c r="Q263" s="12" t="s">
        <v>4</v>
      </c>
      <c r="R263" s="12" t="s">
        <v>29</v>
      </c>
      <c r="S263" s="13"/>
      <c r="T263" s="12" t="s">
        <v>28</v>
      </c>
      <c r="U263" s="12" t="s">
        <v>30</v>
      </c>
      <c r="V263" s="12" t="s">
        <v>10</v>
      </c>
      <c r="W263" s="12" t="s">
        <v>9</v>
      </c>
      <c r="X263" s="12" t="s">
        <v>11</v>
      </c>
      <c r="Y263" s="12" t="s">
        <v>34</v>
      </c>
      <c r="Z263" s="14"/>
    </row>
    <row r="264" spans="1:26" s="5" customFormat="1" ht="18" customHeight="1" x14ac:dyDescent="0.2">
      <c r="A264" s="47"/>
      <c r="B264" s="45"/>
      <c r="C264" s="45"/>
      <c r="D264" s="51"/>
      <c r="E264" s="51"/>
      <c r="F264" s="51"/>
      <c r="G264" s="51"/>
      <c r="H264" s="51"/>
      <c r="I264" s="45"/>
      <c r="J264" s="52" t="s">
        <v>1</v>
      </c>
      <c r="K264" s="53">
        <v>35000</v>
      </c>
      <c r="L264" s="54"/>
      <c r="N264" s="15"/>
      <c r="O264" s="16" t="s">
        <v>20</v>
      </c>
      <c r="P264" s="16">
        <v>31</v>
      </c>
      <c r="Q264" s="16">
        <v>0</v>
      </c>
      <c r="R264" s="16">
        <v>0</v>
      </c>
      <c r="S264" s="17"/>
      <c r="T264" s="16" t="s">
        <v>20</v>
      </c>
      <c r="U264" s="18"/>
      <c r="V264" s="18"/>
      <c r="W264" s="18">
        <f>V264+U264</f>
        <v>0</v>
      </c>
      <c r="X264" s="18"/>
      <c r="Y264" s="18">
        <f>W264-X264</f>
        <v>0</v>
      </c>
      <c r="Z264" s="14"/>
    </row>
    <row r="265" spans="1:26" s="5" customFormat="1" ht="18" customHeight="1" x14ac:dyDescent="0.2">
      <c r="A265" s="47"/>
      <c r="B265" s="45" t="s">
        <v>0</v>
      </c>
      <c r="C265" s="44" t="s">
        <v>84</v>
      </c>
      <c r="D265" s="45"/>
      <c r="E265" s="45"/>
      <c r="F265" s="45"/>
      <c r="G265" s="45"/>
      <c r="H265" s="55"/>
      <c r="I265" s="51"/>
      <c r="J265" s="45"/>
      <c r="K265" s="45"/>
      <c r="L265" s="56"/>
      <c r="M265" s="4"/>
      <c r="N265" s="19"/>
      <c r="O265" s="16" t="s">
        <v>46</v>
      </c>
      <c r="P265" s="16">
        <v>27</v>
      </c>
      <c r="Q265" s="16">
        <v>2</v>
      </c>
      <c r="R265" s="16">
        <v>0</v>
      </c>
      <c r="S265" s="7"/>
      <c r="T265" s="16" t="s">
        <v>46</v>
      </c>
      <c r="U265" s="29">
        <f t="shared" ref="U265:U271" si="59">Y264</f>
        <v>0</v>
      </c>
      <c r="V265" s="18"/>
      <c r="W265" s="29">
        <f>IF(U265="","",U265+V265)</f>
        <v>0</v>
      </c>
      <c r="X265" s="18"/>
      <c r="Y265" s="29">
        <f>IF(W265="","",W265-X265)</f>
        <v>0</v>
      </c>
      <c r="Z265" s="20"/>
    </row>
    <row r="266" spans="1:26" s="5" customFormat="1" ht="18" customHeight="1" x14ac:dyDescent="0.2">
      <c r="A266" s="47"/>
      <c r="B266" s="57" t="s">
        <v>16</v>
      </c>
      <c r="C266" s="58"/>
      <c r="D266" s="45"/>
      <c r="E266" s="45"/>
      <c r="F266" s="141" t="s">
        <v>18</v>
      </c>
      <c r="G266" s="143"/>
      <c r="H266" s="45"/>
      <c r="I266" s="141" t="s">
        <v>19</v>
      </c>
      <c r="J266" s="142"/>
      <c r="K266" s="143"/>
      <c r="L266" s="59"/>
      <c r="N266" s="15"/>
      <c r="O266" s="16" t="s">
        <v>21</v>
      </c>
      <c r="P266" s="16"/>
      <c r="Q266" s="16"/>
      <c r="R266" s="16">
        <v>0</v>
      </c>
      <c r="S266" s="7"/>
      <c r="T266" s="16" t="s">
        <v>21</v>
      </c>
      <c r="U266" s="29">
        <f t="shared" si="59"/>
        <v>0</v>
      </c>
      <c r="V266" s="18"/>
      <c r="W266" s="29">
        <f t="shared" ref="W266:W275" si="60">IF(U266="","",U266+V266)</f>
        <v>0</v>
      </c>
      <c r="X266" s="18"/>
      <c r="Y266" s="29">
        <f t="shared" ref="Y266:Y275" si="61">IF(W266="","",W266-X266)</f>
        <v>0</v>
      </c>
      <c r="Z266" s="20"/>
    </row>
    <row r="267" spans="1:26" s="5" customFormat="1" ht="18" customHeight="1" x14ac:dyDescent="0.2">
      <c r="A267" s="47"/>
      <c r="B267" s="45"/>
      <c r="C267" s="45"/>
      <c r="D267" s="45"/>
      <c r="E267" s="45"/>
      <c r="F267" s="45"/>
      <c r="G267" s="45"/>
      <c r="H267" s="60"/>
      <c r="I267" s="45"/>
      <c r="J267" s="45"/>
      <c r="K267" s="45"/>
      <c r="L267" s="61"/>
      <c r="N267" s="15"/>
      <c r="O267" s="16" t="s">
        <v>22</v>
      </c>
      <c r="P267" s="16"/>
      <c r="Q267" s="16"/>
      <c r="R267" s="16">
        <v>0</v>
      </c>
      <c r="S267" s="7"/>
      <c r="T267" s="16" t="s">
        <v>22</v>
      </c>
      <c r="U267" s="29">
        <f>Y266</f>
        <v>0</v>
      </c>
      <c r="V267" s="18"/>
      <c r="W267" s="29">
        <f t="shared" si="60"/>
        <v>0</v>
      </c>
      <c r="X267" s="18"/>
      <c r="Y267" s="29">
        <f t="shared" si="61"/>
        <v>0</v>
      </c>
      <c r="Z267" s="20"/>
    </row>
    <row r="268" spans="1:26" s="5" customFormat="1" ht="18" customHeight="1" x14ac:dyDescent="0.2">
      <c r="A268" s="47"/>
      <c r="B268" s="144" t="s">
        <v>17</v>
      </c>
      <c r="C268" s="145"/>
      <c r="D268" s="45"/>
      <c r="E268" s="45"/>
      <c r="F268" s="62" t="s">
        <v>39</v>
      </c>
      <c r="G268" s="6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60"/>
      <c r="I268" s="64">
        <f>IF(C272&gt;=C271,$K$2,C270+C272)</f>
        <v>27</v>
      </c>
      <c r="J268" s="65" t="s">
        <v>36</v>
      </c>
      <c r="K268" s="66">
        <f>K264/$K$2*I268</f>
        <v>32586.206896551725</v>
      </c>
      <c r="L268" s="67"/>
      <c r="N268" s="15"/>
      <c r="O268" s="16" t="s">
        <v>23</v>
      </c>
      <c r="P268" s="16"/>
      <c r="Q268" s="16"/>
      <c r="R268" s="16">
        <v>0</v>
      </c>
      <c r="S268" s="7"/>
      <c r="T268" s="16" t="s">
        <v>23</v>
      </c>
      <c r="U268" s="29">
        <v>0</v>
      </c>
      <c r="V268" s="18"/>
      <c r="W268" s="29">
        <f t="shared" si="60"/>
        <v>0</v>
      </c>
      <c r="X268" s="18"/>
      <c r="Y268" s="29">
        <f t="shared" si="61"/>
        <v>0</v>
      </c>
      <c r="Z268" s="20"/>
    </row>
    <row r="269" spans="1:26" s="5" customFormat="1" ht="18" customHeight="1" x14ac:dyDescent="0.2">
      <c r="A269" s="47"/>
      <c r="B269" s="68"/>
      <c r="C269" s="68"/>
      <c r="D269" s="45"/>
      <c r="E269" s="45"/>
      <c r="F269" s="62" t="s">
        <v>10</v>
      </c>
      <c r="G269" s="6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60"/>
      <c r="I269" s="64">
        <v>46</v>
      </c>
      <c r="J269" s="65" t="s">
        <v>37</v>
      </c>
      <c r="K269" s="69">
        <f>K264/$K$2/8*I269</f>
        <v>6939.6551724137926</v>
      </c>
      <c r="L269" s="70"/>
      <c r="N269" s="15"/>
      <c r="O269" s="16" t="s">
        <v>24</v>
      </c>
      <c r="P269" s="99"/>
      <c r="Q269" s="99"/>
      <c r="R269" s="16">
        <v>0</v>
      </c>
      <c r="S269" s="7"/>
      <c r="T269" s="16" t="s">
        <v>24</v>
      </c>
      <c r="U269" s="29">
        <f t="shared" si="59"/>
        <v>0</v>
      </c>
      <c r="V269" s="18"/>
      <c r="W269" s="29">
        <f t="shared" si="60"/>
        <v>0</v>
      </c>
      <c r="X269" s="18"/>
      <c r="Y269" s="29">
        <f t="shared" si="61"/>
        <v>0</v>
      </c>
      <c r="Z269" s="20"/>
    </row>
    <row r="270" spans="1:26" s="5" customFormat="1" ht="18" customHeight="1" x14ac:dyDescent="0.2">
      <c r="A270" s="47"/>
      <c r="B270" s="62" t="s">
        <v>5</v>
      </c>
      <c r="C270" s="6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45"/>
      <c r="E270" s="45"/>
      <c r="F270" s="62" t="s">
        <v>40</v>
      </c>
      <c r="G270" s="63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60"/>
      <c r="I270" s="136" t="s">
        <v>44</v>
      </c>
      <c r="J270" s="137"/>
      <c r="K270" s="69">
        <f>K268+K269</f>
        <v>39525.862068965514</v>
      </c>
      <c r="L270" s="70"/>
      <c r="N270" s="15"/>
      <c r="O270" s="16" t="s">
        <v>25</v>
      </c>
      <c r="P270" s="16"/>
      <c r="Q270" s="16"/>
      <c r="R270" s="16">
        <v>0</v>
      </c>
      <c r="S270" s="7"/>
      <c r="T270" s="16" t="s">
        <v>25</v>
      </c>
      <c r="U270" s="29">
        <f t="shared" si="59"/>
        <v>0</v>
      </c>
      <c r="V270" s="18"/>
      <c r="W270" s="29">
        <f t="shared" si="60"/>
        <v>0</v>
      </c>
      <c r="X270" s="18"/>
      <c r="Y270" s="29">
        <f t="shared" si="61"/>
        <v>0</v>
      </c>
      <c r="Z270" s="20"/>
    </row>
    <row r="271" spans="1:26" s="5" customFormat="1" ht="18" customHeight="1" x14ac:dyDescent="0.2">
      <c r="A271" s="47"/>
      <c r="B271" s="62" t="s">
        <v>4</v>
      </c>
      <c r="C271" s="6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45"/>
      <c r="E271" s="45"/>
      <c r="F271" s="62" t="s">
        <v>11</v>
      </c>
      <c r="G271" s="6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60"/>
      <c r="I271" s="136" t="s">
        <v>45</v>
      </c>
      <c r="J271" s="137"/>
      <c r="K271" s="63">
        <f>G271</f>
        <v>0</v>
      </c>
      <c r="L271" s="71"/>
      <c r="N271" s="15"/>
      <c r="O271" s="16" t="s">
        <v>26</v>
      </c>
      <c r="P271" s="16"/>
      <c r="Q271" s="16"/>
      <c r="R271" s="16">
        <v>0</v>
      </c>
      <c r="S271" s="7"/>
      <c r="T271" s="16" t="s">
        <v>26</v>
      </c>
      <c r="U271" s="29">
        <f t="shared" si="59"/>
        <v>0</v>
      </c>
      <c r="V271" s="18"/>
      <c r="W271" s="29">
        <f t="shared" si="60"/>
        <v>0</v>
      </c>
      <c r="X271" s="18"/>
      <c r="Y271" s="29">
        <f t="shared" si="61"/>
        <v>0</v>
      </c>
      <c r="Z271" s="20"/>
    </row>
    <row r="272" spans="1:26" s="5" customFormat="1" ht="18" customHeight="1" x14ac:dyDescent="0.2">
      <c r="A272" s="47"/>
      <c r="B272" s="77" t="s">
        <v>43</v>
      </c>
      <c r="C272" s="6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45"/>
      <c r="E272" s="45"/>
      <c r="F272" s="77" t="s">
        <v>86</v>
      </c>
      <c r="G272" s="63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45"/>
      <c r="I272" s="141" t="s">
        <v>38</v>
      </c>
      <c r="J272" s="143"/>
      <c r="K272" s="41">
        <f>K270-K271</f>
        <v>39525.862068965514</v>
      </c>
      <c r="L272" s="72"/>
      <c r="N272" s="15"/>
      <c r="O272" s="16" t="s">
        <v>31</v>
      </c>
      <c r="P272" s="16"/>
      <c r="Q272" s="16"/>
      <c r="R272" s="16">
        <v>0</v>
      </c>
      <c r="S272" s="7"/>
      <c r="T272" s="16" t="s">
        <v>31</v>
      </c>
      <c r="U272" s="29">
        <f>Y271</f>
        <v>0</v>
      </c>
      <c r="V272" s="18"/>
      <c r="W272" s="29">
        <f t="shared" si="60"/>
        <v>0</v>
      </c>
      <c r="X272" s="18"/>
      <c r="Y272" s="29">
        <f t="shared" si="61"/>
        <v>0</v>
      </c>
      <c r="Z272" s="20"/>
    </row>
    <row r="273" spans="1:27" s="5" customFormat="1" ht="18" customHeight="1" x14ac:dyDescent="0.2">
      <c r="A273" s="47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59"/>
      <c r="N273" s="15"/>
      <c r="O273" s="16" t="s">
        <v>27</v>
      </c>
      <c r="P273" s="16"/>
      <c r="Q273" s="16"/>
      <c r="R273" s="16">
        <v>0</v>
      </c>
      <c r="S273" s="7"/>
      <c r="T273" s="16" t="s">
        <v>27</v>
      </c>
      <c r="U273" s="29">
        <f>Y272</f>
        <v>0</v>
      </c>
      <c r="V273" s="18"/>
      <c r="W273" s="29">
        <f t="shared" si="60"/>
        <v>0</v>
      </c>
      <c r="X273" s="18"/>
      <c r="Y273" s="29">
        <f t="shared" si="61"/>
        <v>0</v>
      </c>
      <c r="Z273" s="20"/>
    </row>
    <row r="274" spans="1:27" s="5" customFormat="1" ht="18" customHeight="1" x14ac:dyDescent="0.3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59"/>
      <c r="N274" s="15"/>
      <c r="O274" s="16" t="s">
        <v>32</v>
      </c>
      <c r="P274" s="16"/>
      <c r="Q274" s="16"/>
      <c r="R274" s="16">
        <v>0</v>
      </c>
      <c r="S274" s="7"/>
      <c r="T274" s="16" t="s">
        <v>32</v>
      </c>
      <c r="U274" s="29">
        <f>Y273</f>
        <v>0</v>
      </c>
      <c r="V274" s="18"/>
      <c r="W274" s="29">
        <f t="shared" si="60"/>
        <v>0</v>
      </c>
      <c r="X274" s="18"/>
      <c r="Y274" s="29">
        <f t="shared" si="61"/>
        <v>0</v>
      </c>
      <c r="Z274" s="20"/>
    </row>
    <row r="275" spans="1:27" s="5" customFormat="1" ht="18" customHeight="1" thickBot="1" x14ac:dyDescent="0.35">
      <c r="A275" s="73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5"/>
      <c r="N275" s="15"/>
      <c r="O275" s="16" t="s">
        <v>33</v>
      </c>
      <c r="P275" s="16"/>
      <c r="Q275" s="16"/>
      <c r="R275" s="16">
        <v>0</v>
      </c>
      <c r="S275" s="7"/>
      <c r="T275" s="16" t="s">
        <v>33</v>
      </c>
      <c r="U275" s="29">
        <f>Y274</f>
        <v>0</v>
      </c>
      <c r="V275" s="18"/>
      <c r="W275" s="29">
        <f t="shared" si="60"/>
        <v>0</v>
      </c>
      <c r="X275" s="18"/>
      <c r="Y275" s="29">
        <f t="shared" si="61"/>
        <v>0</v>
      </c>
      <c r="Z275" s="20"/>
    </row>
    <row r="276" spans="1:27" s="27" customFormat="1" ht="18" customHeight="1" thickBot="1" x14ac:dyDescent="0.25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7" s="5" customFormat="1" ht="18" customHeight="1" thickBot="1" x14ac:dyDescent="0.25">
      <c r="A277" s="138" t="s">
        <v>15</v>
      </c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40"/>
      <c r="M277" s="4"/>
      <c r="N277" s="8"/>
      <c r="O277" s="133" t="s">
        <v>17</v>
      </c>
      <c r="P277" s="134"/>
      <c r="Q277" s="134"/>
      <c r="R277" s="135"/>
      <c r="S277" s="9"/>
      <c r="T277" s="133" t="s">
        <v>18</v>
      </c>
      <c r="U277" s="134"/>
      <c r="V277" s="134"/>
      <c r="W277" s="134"/>
      <c r="X277" s="134"/>
      <c r="Y277" s="135"/>
      <c r="Z277" s="10"/>
      <c r="AA277" s="4"/>
    </row>
    <row r="278" spans="1:27" s="5" customFormat="1" ht="18" customHeight="1" x14ac:dyDescent="0.2">
      <c r="A278" s="47"/>
      <c r="B278" s="45"/>
      <c r="C278" s="147" t="s">
        <v>94</v>
      </c>
      <c r="D278" s="147"/>
      <c r="E278" s="147"/>
      <c r="F278" s="147"/>
      <c r="G278" s="48" t="str">
        <f>$J$1</f>
        <v>February</v>
      </c>
      <c r="H278" s="146">
        <f>$K$1</f>
        <v>2024</v>
      </c>
      <c r="I278" s="146"/>
      <c r="J278" s="45"/>
      <c r="K278" s="49"/>
      <c r="L278" s="50"/>
      <c r="M278" s="6"/>
      <c r="N278" s="11"/>
      <c r="O278" s="12" t="s">
        <v>28</v>
      </c>
      <c r="P278" s="12" t="s">
        <v>5</v>
      </c>
      <c r="Q278" s="12" t="s">
        <v>4</v>
      </c>
      <c r="R278" s="12" t="s">
        <v>29</v>
      </c>
      <c r="S278" s="13"/>
      <c r="T278" s="12" t="s">
        <v>28</v>
      </c>
      <c r="U278" s="12" t="s">
        <v>30</v>
      </c>
      <c r="V278" s="12" t="s">
        <v>10</v>
      </c>
      <c r="W278" s="12" t="s">
        <v>9</v>
      </c>
      <c r="X278" s="12" t="s">
        <v>11</v>
      </c>
      <c r="Y278" s="12" t="s">
        <v>34</v>
      </c>
      <c r="Z278" s="14"/>
      <c r="AA278" s="6"/>
    </row>
    <row r="279" spans="1:27" s="5" customFormat="1" ht="18" customHeight="1" x14ac:dyDescent="0.2">
      <c r="A279" s="47"/>
      <c r="B279" s="45"/>
      <c r="C279" s="45"/>
      <c r="D279" s="51"/>
      <c r="E279" s="51"/>
      <c r="F279" s="51"/>
      <c r="G279" s="51"/>
      <c r="H279" s="51"/>
      <c r="I279" s="45"/>
      <c r="J279" s="52" t="s">
        <v>1</v>
      </c>
      <c r="K279" s="53">
        <f>32000+3000+15000</f>
        <v>50000</v>
      </c>
      <c r="L279" s="54"/>
      <c r="N279" s="15"/>
      <c r="O279" s="16" t="s">
        <v>20</v>
      </c>
      <c r="P279" s="16">
        <v>30</v>
      </c>
      <c r="Q279" s="16">
        <v>1</v>
      </c>
      <c r="R279" s="16">
        <f>9-Q279</f>
        <v>8</v>
      </c>
      <c r="S279" s="17"/>
      <c r="T279" s="16" t="s">
        <v>20</v>
      </c>
      <c r="U279" s="18">
        <v>61870</v>
      </c>
      <c r="V279" s="18"/>
      <c r="W279" s="18">
        <f>V279+U279</f>
        <v>61870</v>
      </c>
      <c r="X279" s="18">
        <v>5000</v>
      </c>
      <c r="Y279" s="18">
        <f>W279-X279</f>
        <v>56870</v>
      </c>
      <c r="Z279" s="14"/>
    </row>
    <row r="280" spans="1:27" s="5" customFormat="1" ht="18" customHeight="1" x14ac:dyDescent="0.2">
      <c r="A280" s="47"/>
      <c r="B280" s="45" t="s">
        <v>0</v>
      </c>
      <c r="C280" s="44" t="s">
        <v>69</v>
      </c>
      <c r="D280" s="45"/>
      <c r="E280" s="45"/>
      <c r="F280" s="45"/>
      <c r="G280" s="45"/>
      <c r="H280" s="55"/>
      <c r="I280" s="51"/>
      <c r="J280" s="45"/>
      <c r="K280" s="45"/>
      <c r="L280" s="56"/>
      <c r="M280" s="4"/>
      <c r="N280" s="19"/>
      <c r="O280" s="16" t="s">
        <v>46</v>
      </c>
      <c r="P280" s="16">
        <v>29</v>
      </c>
      <c r="Q280" s="16">
        <v>0</v>
      </c>
      <c r="R280" s="16">
        <f>R279-Q280</f>
        <v>8</v>
      </c>
      <c r="S280" s="7"/>
      <c r="T280" s="16" t="s">
        <v>46</v>
      </c>
      <c r="U280" s="29">
        <f>Y279</f>
        <v>56870</v>
      </c>
      <c r="V280" s="18">
        <v>4000</v>
      </c>
      <c r="W280" s="29">
        <f>IF(U280="","",U280+V280)</f>
        <v>60870</v>
      </c>
      <c r="X280" s="18">
        <v>5000</v>
      </c>
      <c r="Y280" s="29">
        <f>IF(W280="","",W280-X280)</f>
        <v>55870</v>
      </c>
      <c r="Z280" s="20"/>
      <c r="AA280" s="4"/>
    </row>
    <row r="281" spans="1:27" s="5" customFormat="1" ht="18" customHeight="1" x14ac:dyDescent="0.2">
      <c r="A281" s="47"/>
      <c r="B281" s="57" t="s">
        <v>16</v>
      </c>
      <c r="C281" s="58"/>
      <c r="D281" s="45"/>
      <c r="E281" s="45"/>
      <c r="F281" s="141" t="s">
        <v>18</v>
      </c>
      <c r="G281" s="143"/>
      <c r="H281" s="45"/>
      <c r="I281" s="141" t="s">
        <v>19</v>
      </c>
      <c r="J281" s="142"/>
      <c r="K281" s="143"/>
      <c r="L281" s="59"/>
      <c r="N281" s="15"/>
      <c r="O281" s="16" t="s">
        <v>21</v>
      </c>
      <c r="P281" s="16"/>
      <c r="Q281" s="16"/>
      <c r="R281" s="16">
        <f t="shared" ref="R281:R290" si="62">R280-Q281</f>
        <v>8</v>
      </c>
      <c r="S281" s="7"/>
      <c r="T281" s="16" t="s">
        <v>21</v>
      </c>
      <c r="U281" s="29"/>
      <c r="V281" s="18"/>
      <c r="W281" s="29" t="str">
        <f t="shared" ref="W281:W288" si="63">IF(U281="","",U281+V281)</f>
        <v/>
      </c>
      <c r="X281" s="18"/>
      <c r="Y281" s="29" t="str">
        <f t="shared" ref="Y281:Y288" si="64">IF(W281="","",W281-X281)</f>
        <v/>
      </c>
      <c r="Z281" s="20"/>
    </row>
    <row r="282" spans="1:27" s="5" customFormat="1" ht="18" customHeight="1" x14ac:dyDescent="0.2">
      <c r="A282" s="47"/>
      <c r="B282" s="45"/>
      <c r="C282" s="45"/>
      <c r="D282" s="45"/>
      <c r="E282" s="45"/>
      <c r="F282" s="45"/>
      <c r="G282" s="45"/>
      <c r="H282" s="60"/>
      <c r="I282" s="45"/>
      <c r="J282" s="45"/>
      <c r="K282" s="45"/>
      <c r="L282" s="61"/>
      <c r="N282" s="15"/>
      <c r="O282" s="16" t="s">
        <v>22</v>
      </c>
      <c r="P282" s="16"/>
      <c r="Q282" s="16"/>
      <c r="R282" s="16">
        <f t="shared" si="62"/>
        <v>8</v>
      </c>
      <c r="S282" s="7"/>
      <c r="T282" s="16" t="s">
        <v>22</v>
      </c>
      <c r="U282" s="29"/>
      <c r="V282" s="18"/>
      <c r="W282" s="29" t="str">
        <f t="shared" si="63"/>
        <v/>
      </c>
      <c r="X282" s="18"/>
      <c r="Y282" s="29" t="str">
        <f t="shared" si="64"/>
        <v/>
      </c>
      <c r="Z282" s="20"/>
    </row>
    <row r="283" spans="1:27" s="5" customFormat="1" ht="18" customHeight="1" x14ac:dyDescent="0.2">
      <c r="A283" s="47"/>
      <c r="B283" s="144" t="s">
        <v>17</v>
      </c>
      <c r="C283" s="145"/>
      <c r="D283" s="45"/>
      <c r="E283" s="45"/>
      <c r="F283" s="62" t="s">
        <v>39</v>
      </c>
      <c r="G283" s="63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60"/>
      <c r="I283" s="64">
        <f>IF(C287&gt;=C286,$K$2,C285+C287)</f>
        <v>29</v>
      </c>
      <c r="J283" s="65" t="s">
        <v>36</v>
      </c>
      <c r="K283" s="66">
        <f>K279/$K$2*I283</f>
        <v>50000</v>
      </c>
      <c r="L283" s="67"/>
      <c r="N283" s="15"/>
      <c r="O283" s="16" t="s">
        <v>23</v>
      </c>
      <c r="P283" s="16"/>
      <c r="Q283" s="16"/>
      <c r="R283" s="16">
        <f t="shared" si="62"/>
        <v>8</v>
      </c>
      <c r="S283" s="7"/>
      <c r="T283" s="16" t="s">
        <v>23</v>
      </c>
      <c r="U283" s="29"/>
      <c r="V283" s="18"/>
      <c r="W283" s="29" t="str">
        <f t="shared" si="63"/>
        <v/>
      </c>
      <c r="X283" s="18"/>
      <c r="Y283" s="29" t="str">
        <f t="shared" si="64"/>
        <v/>
      </c>
      <c r="Z283" s="20"/>
    </row>
    <row r="284" spans="1:27" s="5" customFormat="1" ht="18" customHeight="1" x14ac:dyDescent="0.2">
      <c r="A284" s="47"/>
      <c r="B284" s="68"/>
      <c r="C284" s="68"/>
      <c r="D284" s="45"/>
      <c r="E284" s="45"/>
      <c r="F284" s="62" t="s">
        <v>10</v>
      </c>
      <c r="G284" s="6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60"/>
      <c r="I284" s="82">
        <v>39</v>
      </c>
      <c r="J284" s="65" t="s">
        <v>37</v>
      </c>
      <c r="K284" s="69">
        <f>K279/$K$2/8*I284</f>
        <v>8405.1724137931033</v>
      </c>
      <c r="L284" s="70"/>
      <c r="N284" s="15"/>
      <c r="O284" s="16" t="s">
        <v>24</v>
      </c>
      <c r="P284" s="16"/>
      <c r="Q284" s="16"/>
      <c r="R284" s="16">
        <f t="shared" si="62"/>
        <v>8</v>
      </c>
      <c r="S284" s="7"/>
      <c r="T284" s="16" t="s">
        <v>24</v>
      </c>
      <c r="U284" s="29"/>
      <c r="V284" s="18"/>
      <c r="W284" s="29" t="str">
        <f t="shared" si="63"/>
        <v/>
      </c>
      <c r="X284" s="18"/>
      <c r="Y284" s="29" t="str">
        <f t="shared" si="64"/>
        <v/>
      </c>
      <c r="Z284" s="20"/>
    </row>
    <row r="285" spans="1:27" s="5" customFormat="1" ht="18" customHeight="1" x14ac:dyDescent="0.2">
      <c r="A285" s="47"/>
      <c r="B285" s="62" t="s">
        <v>5</v>
      </c>
      <c r="C285" s="68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45"/>
      <c r="E285" s="45"/>
      <c r="F285" s="62" t="s">
        <v>40</v>
      </c>
      <c r="G285" s="63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60"/>
      <c r="I285" s="136" t="s">
        <v>44</v>
      </c>
      <c r="J285" s="137"/>
      <c r="K285" s="69">
        <f>K283+K284</f>
        <v>58405.172413793101</v>
      </c>
      <c r="L285" s="70"/>
      <c r="N285" s="15"/>
      <c r="O285" s="16" t="s">
        <v>25</v>
      </c>
      <c r="P285" s="16"/>
      <c r="Q285" s="16"/>
      <c r="R285" s="16">
        <f t="shared" si="62"/>
        <v>8</v>
      </c>
      <c r="S285" s="7"/>
      <c r="T285" s="16" t="s">
        <v>25</v>
      </c>
      <c r="U285" s="29"/>
      <c r="V285" s="18"/>
      <c r="W285" s="29" t="str">
        <f t="shared" si="63"/>
        <v/>
      </c>
      <c r="X285" s="18"/>
      <c r="Y285" s="29" t="str">
        <f t="shared" si="64"/>
        <v/>
      </c>
      <c r="Z285" s="20"/>
    </row>
    <row r="286" spans="1:27" s="5" customFormat="1" ht="18" customHeight="1" x14ac:dyDescent="0.2">
      <c r="A286" s="47"/>
      <c r="B286" s="62" t="s">
        <v>4</v>
      </c>
      <c r="C286" s="68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45"/>
      <c r="E286" s="45"/>
      <c r="F286" s="62" t="s">
        <v>11</v>
      </c>
      <c r="G286" s="6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60"/>
      <c r="I286" s="136" t="s">
        <v>45</v>
      </c>
      <c r="J286" s="137"/>
      <c r="K286" s="63">
        <f>G286</f>
        <v>5000</v>
      </c>
      <c r="L286" s="71"/>
      <c r="N286" s="15"/>
      <c r="O286" s="16" t="s">
        <v>26</v>
      </c>
      <c r="P286" s="16"/>
      <c r="Q286" s="16"/>
      <c r="R286" s="16">
        <f t="shared" si="62"/>
        <v>8</v>
      </c>
      <c r="S286" s="7"/>
      <c r="T286" s="16" t="s">
        <v>26</v>
      </c>
      <c r="U286" s="29"/>
      <c r="V286" s="18"/>
      <c r="W286" s="29" t="str">
        <f t="shared" si="63"/>
        <v/>
      </c>
      <c r="X286" s="18"/>
      <c r="Y286" s="29" t="str">
        <f t="shared" si="64"/>
        <v/>
      </c>
      <c r="Z286" s="20"/>
    </row>
    <row r="287" spans="1:27" s="5" customFormat="1" ht="18" customHeight="1" x14ac:dyDescent="0.2">
      <c r="A287" s="47"/>
      <c r="B287" s="77" t="s">
        <v>43</v>
      </c>
      <c r="C287" s="68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45"/>
      <c r="E287" s="45"/>
      <c r="F287" s="77" t="s">
        <v>86</v>
      </c>
      <c r="G287" s="63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45"/>
      <c r="I287" s="141" t="s">
        <v>38</v>
      </c>
      <c r="J287" s="143"/>
      <c r="K287" s="41">
        <f>K285-K286</f>
        <v>53405.172413793101</v>
      </c>
      <c r="L287" s="72"/>
      <c r="N287" s="15"/>
      <c r="O287" s="16" t="s">
        <v>31</v>
      </c>
      <c r="P287" s="16"/>
      <c r="Q287" s="16"/>
      <c r="R287" s="16">
        <f t="shared" si="62"/>
        <v>8</v>
      </c>
      <c r="S287" s="7"/>
      <c r="T287" s="16" t="s">
        <v>31</v>
      </c>
      <c r="U287" s="29"/>
      <c r="V287" s="18"/>
      <c r="W287" s="29" t="str">
        <f t="shared" si="63"/>
        <v/>
      </c>
      <c r="X287" s="18"/>
      <c r="Y287" s="29" t="str">
        <f t="shared" si="64"/>
        <v/>
      </c>
      <c r="Z287" s="20"/>
    </row>
    <row r="288" spans="1:27" s="5" customFormat="1" ht="18" customHeight="1" x14ac:dyDescent="0.2">
      <c r="A288" s="47"/>
      <c r="B288" s="45"/>
      <c r="C288" s="45"/>
      <c r="D288" s="45"/>
      <c r="E288" s="45"/>
      <c r="F288" s="45"/>
      <c r="G288" s="45"/>
      <c r="H288" s="45"/>
      <c r="I288" s="45"/>
      <c r="J288" s="79"/>
      <c r="K288" s="79"/>
      <c r="L288" s="59"/>
      <c r="N288" s="15"/>
      <c r="O288" s="16" t="s">
        <v>27</v>
      </c>
      <c r="P288" s="99"/>
      <c r="Q288" s="99"/>
      <c r="R288" s="16">
        <f t="shared" si="62"/>
        <v>8</v>
      </c>
      <c r="S288" s="7"/>
      <c r="T288" s="16" t="s">
        <v>27</v>
      </c>
      <c r="U288" s="29"/>
      <c r="V288" s="18"/>
      <c r="W288" s="29" t="str">
        <f t="shared" si="63"/>
        <v/>
      </c>
      <c r="X288" s="18"/>
      <c r="Y288" s="29" t="str">
        <f t="shared" si="64"/>
        <v/>
      </c>
      <c r="Z288" s="20"/>
    </row>
    <row r="289" spans="1:27" s="5" customFormat="1" ht="18" customHeight="1" x14ac:dyDescent="0.3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59"/>
      <c r="N289" s="15"/>
      <c r="O289" s="16" t="s">
        <v>32</v>
      </c>
      <c r="P289" s="16"/>
      <c r="Q289" s="16"/>
      <c r="R289" s="16">
        <f t="shared" si="62"/>
        <v>8</v>
      </c>
      <c r="S289" s="7"/>
      <c r="T289" s="16" t="s">
        <v>32</v>
      </c>
      <c r="U289" s="29"/>
      <c r="V289" s="18"/>
      <c r="W289" s="29" t="str">
        <f t="shared" ref="W289:W290" si="65">IF(U289="","",U289+V289)</f>
        <v/>
      </c>
      <c r="X289" s="18"/>
      <c r="Y289" s="29" t="str">
        <f t="shared" ref="Y289:Y290" si="66">IF(W289="","",W289-X289)</f>
        <v/>
      </c>
      <c r="Z289" s="20"/>
    </row>
    <row r="290" spans="1:27" s="5" customFormat="1" ht="18" customHeight="1" thickBot="1" x14ac:dyDescent="0.35">
      <c r="A290" s="73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5"/>
      <c r="N290" s="15"/>
      <c r="O290" s="16" t="s">
        <v>33</v>
      </c>
      <c r="P290" s="16"/>
      <c r="Q290" s="16"/>
      <c r="R290" s="16">
        <f t="shared" si="62"/>
        <v>8</v>
      </c>
      <c r="S290" s="7"/>
      <c r="T290" s="16" t="s">
        <v>33</v>
      </c>
      <c r="U290" s="29"/>
      <c r="V290" s="18"/>
      <c r="W290" s="29" t="str">
        <f t="shared" si="65"/>
        <v/>
      </c>
      <c r="X290" s="18"/>
      <c r="Y290" s="29" t="str">
        <f t="shared" si="66"/>
        <v/>
      </c>
      <c r="Z290" s="20"/>
    </row>
    <row r="291" spans="1:27" s="27" customFormat="1" ht="18" customHeight="1" thickBot="1" x14ac:dyDescent="0.25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7" s="5" customFormat="1" ht="18" customHeight="1" thickBot="1" x14ac:dyDescent="0.25">
      <c r="A292" s="138" t="s">
        <v>15</v>
      </c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40"/>
      <c r="M292" s="4"/>
      <c r="N292" s="8"/>
      <c r="O292" s="133" t="s">
        <v>17</v>
      </c>
      <c r="P292" s="134"/>
      <c r="Q292" s="134"/>
      <c r="R292" s="135"/>
      <c r="S292" s="9"/>
      <c r="T292" s="133" t="s">
        <v>18</v>
      </c>
      <c r="U292" s="134"/>
      <c r="V292" s="134"/>
      <c r="W292" s="134"/>
      <c r="X292" s="134"/>
      <c r="Y292" s="135"/>
      <c r="Z292" s="10"/>
      <c r="AA292" s="4"/>
    </row>
    <row r="293" spans="1:27" s="5" customFormat="1" ht="18" customHeight="1" x14ac:dyDescent="0.2">
      <c r="A293" s="47"/>
      <c r="B293" s="45"/>
      <c r="C293" s="147" t="s">
        <v>94</v>
      </c>
      <c r="D293" s="147"/>
      <c r="E293" s="147"/>
      <c r="F293" s="147"/>
      <c r="G293" s="48" t="str">
        <f>$J$1</f>
        <v>February</v>
      </c>
      <c r="H293" s="146">
        <f>$K$1</f>
        <v>2024</v>
      </c>
      <c r="I293" s="146"/>
      <c r="J293" s="45"/>
      <c r="K293" s="49"/>
      <c r="L293" s="50"/>
      <c r="M293" s="6"/>
      <c r="N293" s="11"/>
      <c r="O293" s="12" t="s">
        <v>28</v>
      </c>
      <c r="P293" s="12" t="s">
        <v>5</v>
      </c>
      <c r="Q293" s="12" t="s">
        <v>4</v>
      </c>
      <c r="R293" s="12" t="s">
        <v>29</v>
      </c>
      <c r="S293" s="13"/>
      <c r="T293" s="12" t="s">
        <v>28</v>
      </c>
      <c r="U293" s="12" t="s">
        <v>30</v>
      </c>
      <c r="V293" s="12" t="s">
        <v>10</v>
      </c>
      <c r="W293" s="12" t="s">
        <v>9</v>
      </c>
      <c r="X293" s="12" t="s">
        <v>11</v>
      </c>
      <c r="Y293" s="12" t="s">
        <v>34</v>
      </c>
      <c r="Z293" s="14"/>
      <c r="AA293" s="6"/>
    </row>
    <row r="294" spans="1:27" s="5" customFormat="1" ht="18" customHeight="1" x14ac:dyDescent="0.2">
      <c r="A294" s="47"/>
      <c r="B294" s="45"/>
      <c r="C294" s="45"/>
      <c r="D294" s="51"/>
      <c r="E294" s="51"/>
      <c r="F294" s="51"/>
      <c r="G294" s="51"/>
      <c r="H294" s="51"/>
      <c r="I294" s="45"/>
      <c r="J294" s="52" t="s">
        <v>1</v>
      </c>
      <c r="K294" s="53">
        <f>45000+20000</f>
        <v>65000</v>
      </c>
      <c r="L294" s="54"/>
      <c r="N294" s="15"/>
      <c r="O294" s="16" t="s">
        <v>20</v>
      </c>
      <c r="P294" s="16">
        <v>25</v>
      </c>
      <c r="Q294" s="16">
        <v>6</v>
      </c>
      <c r="R294" s="16">
        <f>15-Q294+6</f>
        <v>15</v>
      </c>
      <c r="S294" s="17"/>
      <c r="T294" s="16" t="s">
        <v>20</v>
      </c>
      <c r="U294" s="18">
        <v>12000</v>
      </c>
      <c r="V294" s="18"/>
      <c r="W294" s="18">
        <f>V294+U294</f>
        <v>12000</v>
      </c>
      <c r="X294" s="18">
        <v>5000</v>
      </c>
      <c r="Y294" s="18">
        <f>W294-X294</f>
        <v>7000</v>
      </c>
      <c r="Z294" s="14"/>
    </row>
    <row r="295" spans="1:27" s="5" customFormat="1" ht="18" customHeight="1" x14ac:dyDescent="0.2">
      <c r="A295" s="47"/>
      <c r="B295" s="45" t="s">
        <v>0</v>
      </c>
      <c r="C295" s="44" t="s">
        <v>74</v>
      </c>
      <c r="D295" s="45"/>
      <c r="E295" s="45"/>
      <c r="F295" s="45"/>
      <c r="G295" s="45"/>
      <c r="H295" s="55"/>
      <c r="I295" s="51"/>
      <c r="J295" s="45"/>
      <c r="K295" s="45"/>
      <c r="L295" s="56"/>
      <c r="M295" s="4"/>
      <c r="N295" s="19"/>
      <c r="O295" s="16" t="s">
        <v>46</v>
      </c>
      <c r="P295" s="16">
        <v>1</v>
      </c>
      <c r="Q295" s="16"/>
      <c r="R295" s="16">
        <f>R294-Q295</f>
        <v>15</v>
      </c>
      <c r="S295" s="7"/>
      <c r="T295" s="16" t="s">
        <v>46</v>
      </c>
      <c r="U295" s="29">
        <f>Y294</f>
        <v>7000</v>
      </c>
      <c r="V295" s="18">
        <v>15000</v>
      </c>
      <c r="W295" s="18">
        <f>V295+U295</f>
        <v>22000</v>
      </c>
      <c r="X295" s="18"/>
      <c r="Y295" s="29">
        <f>IF(W295="","",W295-X295)</f>
        <v>22000</v>
      </c>
      <c r="Z295" s="20"/>
      <c r="AA295" s="4"/>
    </row>
    <row r="296" spans="1:27" s="5" customFormat="1" ht="18" customHeight="1" x14ac:dyDescent="0.2">
      <c r="A296" s="47"/>
      <c r="B296" s="57" t="s">
        <v>16</v>
      </c>
      <c r="C296" s="58"/>
      <c r="D296" s="45"/>
      <c r="E296" s="45"/>
      <c r="F296" s="141" t="s">
        <v>18</v>
      </c>
      <c r="G296" s="143"/>
      <c r="H296" s="45"/>
      <c r="I296" s="141" t="s">
        <v>19</v>
      </c>
      <c r="J296" s="142"/>
      <c r="K296" s="143"/>
      <c r="L296" s="59"/>
      <c r="N296" s="15"/>
      <c r="O296" s="16" t="s">
        <v>21</v>
      </c>
      <c r="P296" s="16"/>
      <c r="Q296" s="16"/>
      <c r="R296" s="16">
        <f t="shared" ref="R296:R304" si="67">R295-Q296</f>
        <v>15</v>
      </c>
      <c r="S296" s="7"/>
      <c r="T296" s="16" t="s">
        <v>21</v>
      </c>
      <c r="U296" s="29"/>
      <c r="V296" s="18"/>
      <c r="W296" s="18">
        <f>V296+U296</f>
        <v>0</v>
      </c>
      <c r="X296" s="18"/>
      <c r="Y296" s="29">
        <f t="shared" ref="Y296:Y305" si="68">IF(W296="","",W296-X296)</f>
        <v>0</v>
      </c>
      <c r="Z296" s="20"/>
    </row>
    <row r="297" spans="1:27" s="5" customFormat="1" ht="18" customHeight="1" x14ac:dyDescent="0.2">
      <c r="A297" s="47"/>
      <c r="B297" s="45"/>
      <c r="C297" s="45"/>
      <c r="D297" s="45"/>
      <c r="E297" s="45"/>
      <c r="F297" s="45"/>
      <c r="G297" s="45"/>
      <c r="H297" s="60"/>
      <c r="I297" s="45"/>
      <c r="J297" s="45"/>
      <c r="K297" s="45"/>
      <c r="L297" s="61"/>
      <c r="N297" s="15"/>
      <c r="O297" s="16" t="s">
        <v>22</v>
      </c>
      <c r="P297" s="16"/>
      <c r="Q297" s="16"/>
      <c r="R297" s="16">
        <f t="shared" si="67"/>
        <v>15</v>
      </c>
      <c r="S297" s="7"/>
      <c r="T297" s="16" t="s">
        <v>22</v>
      </c>
      <c r="U297" s="29"/>
      <c r="V297" s="18"/>
      <c r="W297" s="29" t="str">
        <f t="shared" ref="W297:W305" si="69">IF(U297="","",U297+V297)</f>
        <v/>
      </c>
      <c r="X297" s="18"/>
      <c r="Y297" s="29" t="str">
        <f t="shared" si="68"/>
        <v/>
      </c>
      <c r="Z297" s="20"/>
    </row>
    <row r="298" spans="1:27" s="5" customFormat="1" ht="18" customHeight="1" x14ac:dyDescent="0.2">
      <c r="A298" s="47"/>
      <c r="B298" s="144" t="s">
        <v>17</v>
      </c>
      <c r="C298" s="145"/>
      <c r="D298" s="45"/>
      <c r="E298" s="45"/>
      <c r="F298" s="62" t="s">
        <v>39</v>
      </c>
      <c r="G298" s="6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60"/>
      <c r="I298" s="64">
        <v>1</v>
      </c>
      <c r="J298" s="65" t="s">
        <v>36</v>
      </c>
      <c r="K298" s="66">
        <f>K294/$K$2*I298</f>
        <v>2241.3793103448274</v>
      </c>
      <c r="L298" s="67"/>
      <c r="N298" s="15"/>
      <c r="O298" s="16" t="s">
        <v>23</v>
      </c>
      <c r="P298" s="16"/>
      <c r="Q298" s="16"/>
      <c r="R298" s="16">
        <f t="shared" si="67"/>
        <v>15</v>
      </c>
      <c r="S298" s="7"/>
      <c r="T298" s="16" t="s">
        <v>23</v>
      </c>
      <c r="U298" s="29"/>
      <c r="V298" s="18"/>
      <c r="W298" s="29" t="str">
        <f>IF(U298="","",U298+V298)</f>
        <v/>
      </c>
      <c r="X298" s="18"/>
      <c r="Y298" s="29" t="str">
        <f t="shared" si="68"/>
        <v/>
      </c>
      <c r="Z298" s="20"/>
    </row>
    <row r="299" spans="1:27" s="5" customFormat="1" ht="18" customHeight="1" x14ac:dyDescent="0.2">
      <c r="A299" s="47"/>
      <c r="B299" s="68"/>
      <c r="C299" s="68"/>
      <c r="D299" s="45"/>
      <c r="E299" s="45"/>
      <c r="F299" s="62" t="s">
        <v>10</v>
      </c>
      <c r="G299" s="6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60"/>
      <c r="I299" s="82"/>
      <c r="J299" s="65" t="s">
        <v>37</v>
      </c>
      <c r="K299" s="69">
        <f>K294/$K$2/8*I299</f>
        <v>0</v>
      </c>
      <c r="L299" s="70"/>
      <c r="N299" s="15"/>
      <c r="O299" s="16" t="s">
        <v>24</v>
      </c>
      <c r="P299" s="16"/>
      <c r="Q299" s="16"/>
      <c r="R299" s="16">
        <f t="shared" si="67"/>
        <v>15</v>
      </c>
      <c r="S299" s="7"/>
      <c r="T299" s="16" t="s">
        <v>24</v>
      </c>
      <c r="U299" s="29"/>
      <c r="V299" s="18"/>
      <c r="W299" s="18">
        <f>V299</f>
        <v>0</v>
      </c>
      <c r="X299" s="18"/>
      <c r="Y299" s="29">
        <f t="shared" si="68"/>
        <v>0</v>
      </c>
      <c r="Z299" s="20"/>
    </row>
    <row r="300" spans="1:27" s="5" customFormat="1" ht="18" customHeight="1" x14ac:dyDescent="0.2">
      <c r="A300" s="47"/>
      <c r="B300" s="62" t="s">
        <v>5</v>
      </c>
      <c r="C300" s="68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45"/>
      <c r="E300" s="45"/>
      <c r="F300" s="62" t="s">
        <v>40</v>
      </c>
      <c r="G300" s="63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60"/>
      <c r="I300" s="136" t="s">
        <v>44</v>
      </c>
      <c r="J300" s="137"/>
      <c r="K300" s="69">
        <f>K298+K299</f>
        <v>2241.3793103448274</v>
      </c>
      <c r="L300" s="70"/>
      <c r="N300" s="15"/>
      <c r="O300" s="16" t="s">
        <v>25</v>
      </c>
      <c r="P300" s="16"/>
      <c r="Q300" s="16"/>
      <c r="R300" s="16">
        <f t="shared" si="67"/>
        <v>15</v>
      </c>
      <c r="S300" s="7"/>
      <c r="T300" s="16" t="s">
        <v>25</v>
      </c>
      <c r="U300" s="29"/>
      <c r="V300" s="18"/>
      <c r="W300" s="29" t="str">
        <f t="shared" si="69"/>
        <v/>
      </c>
      <c r="X300" s="18"/>
      <c r="Y300" s="29" t="str">
        <f t="shared" si="68"/>
        <v/>
      </c>
      <c r="Z300" s="20"/>
    </row>
    <row r="301" spans="1:27" s="5" customFormat="1" ht="18" customHeight="1" x14ac:dyDescent="0.2">
      <c r="A301" s="47"/>
      <c r="B301" s="62" t="s">
        <v>4</v>
      </c>
      <c r="C301" s="68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45"/>
      <c r="E301" s="45"/>
      <c r="F301" s="62" t="s">
        <v>11</v>
      </c>
      <c r="G301" s="6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60"/>
      <c r="I301" s="136" t="s">
        <v>45</v>
      </c>
      <c r="J301" s="137"/>
      <c r="K301" s="63">
        <f>G301</f>
        <v>0</v>
      </c>
      <c r="L301" s="71"/>
      <c r="N301" s="15"/>
      <c r="O301" s="16" t="s">
        <v>26</v>
      </c>
      <c r="P301" s="16"/>
      <c r="Q301" s="16"/>
      <c r="R301" s="16">
        <f t="shared" si="67"/>
        <v>15</v>
      </c>
      <c r="S301" s="7"/>
      <c r="T301" s="16" t="s">
        <v>26</v>
      </c>
      <c r="U301" s="29" t="str">
        <f t="shared" ref="U301" si="70">Y300</f>
        <v/>
      </c>
      <c r="V301" s="18"/>
      <c r="W301" s="29" t="str">
        <f t="shared" si="69"/>
        <v/>
      </c>
      <c r="X301" s="18"/>
      <c r="Y301" s="29" t="str">
        <f t="shared" si="68"/>
        <v/>
      </c>
      <c r="Z301" s="20"/>
    </row>
    <row r="302" spans="1:27" s="5" customFormat="1" ht="18" customHeight="1" x14ac:dyDescent="0.2">
      <c r="A302" s="47"/>
      <c r="B302" s="77" t="s">
        <v>43</v>
      </c>
      <c r="C302" s="68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45"/>
      <c r="E302" s="45"/>
      <c r="F302" s="77" t="s">
        <v>86</v>
      </c>
      <c r="G302" s="63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45"/>
      <c r="I302" s="141" t="s">
        <v>38</v>
      </c>
      <c r="J302" s="143"/>
      <c r="K302" s="41"/>
      <c r="L302" s="72"/>
      <c r="N302" s="15"/>
      <c r="O302" s="16" t="s">
        <v>31</v>
      </c>
      <c r="P302" s="16"/>
      <c r="Q302" s="16"/>
      <c r="R302" s="16">
        <f t="shared" si="67"/>
        <v>15</v>
      </c>
      <c r="S302" s="7"/>
      <c r="T302" s="16" t="s">
        <v>31</v>
      </c>
      <c r="U302" s="29" t="str">
        <f>Y301</f>
        <v/>
      </c>
      <c r="V302" s="18"/>
      <c r="W302" s="29" t="str">
        <f t="shared" ref="W302:W303" si="71">IF(U302="","",U302+V302)</f>
        <v/>
      </c>
      <c r="X302" s="18"/>
      <c r="Y302" s="29" t="str">
        <f t="shared" si="68"/>
        <v/>
      </c>
      <c r="Z302" s="20"/>
    </row>
    <row r="303" spans="1:27" s="5" customFormat="1" ht="18" customHeight="1" x14ac:dyDescent="0.2">
      <c r="A303" s="47"/>
      <c r="B303" s="45"/>
      <c r="C303" s="45"/>
      <c r="D303" s="45"/>
      <c r="E303" s="45"/>
      <c r="F303" s="45"/>
      <c r="G303" s="45"/>
      <c r="H303" s="45"/>
      <c r="I303" s="45"/>
      <c r="J303" s="45"/>
      <c r="K303" s="79"/>
      <c r="L303" s="59"/>
      <c r="N303" s="15"/>
      <c r="O303" s="16" t="s">
        <v>27</v>
      </c>
      <c r="P303" s="16"/>
      <c r="Q303" s="16"/>
      <c r="R303" s="16">
        <f t="shared" si="67"/>
        <v>15</v>
      </c>
      <c r="S303" s="7"/>
      <c r="T303" s="16" t="s">
        <v>27</v>
      </c>
      <c r="U303" s="29" t="str">
        <f>Y302</f>
        <v/>
      </c>
      <c r="V303" s="18"/>
      <c r="W303" s="29" t="str">
        <f t="shared" si="71"/>
        <v/>
      </c>
      <c r="X303" s="18"/>
      <c r="Y303" s="29" t="str">
        <f t="shared" si="68"/>
        <v/>
      </c>
      <c r="Z303" s="20"/>
    </row>
    <row r="304" spans="1:27" s="5" customFormat="1" ht="18" customHeight="1" x14ac:dyDescent="0.3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59"/>
      <c r="N304" s="15"/>
      <c r="O304" s="16" t="s">
        <v>32</v>
      </c>
      <c r="P304" s="16"/>
      <c r="Q304" s="16"/>
      <c r="R304" s="16">
        <f t="shared" si="67"/>
        <v>15</v>
      </c>
      <c r="S304" s="7"/>
      <c r="T304" s="16" t="s">
        <v>32</v>
      </c>
      <c r="U304" s="29" t="str">
        <f>Y303</f>
        <v/>
      </c>
      <c r="V304" s="18"/>
      <c r="W304" s="29" t="str">
        <f t="shared" si="69"/>
        <v/>
      </c>
      <c r="X304" s="18"/>
      <c r="Y304" s="29" t="str">
        <f t="shared" si="68"/>
        <v/>
      </c>
      <c r="Z304" s="20"/>
    </row>
    <row r="305" spans="1:27" s="5" customFormat="1" ht="18" customHeight="1" thickBot="1" x14ac:dyDescent="0.35">
      <c r="A305" s="73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5"/>
      <c r="N305" s="15"/>
      <c r="O305" s="16" t="s">
        <v>33</v>
      </c>
      <c r="P305" s="16"/>
      <c r="Q305" s="16"/>
      <c r="R305" s="16">
        <v>0</v>
      </c>
      <c r="S305" s="7"/>
      <c r="T305" s="16" t="s">
        <v>33</v>
      </c>
      <c r="U305" s="29" t="str">
        <f>Y304</f>
        <v/>
      </c>
      <c r="V305" s="18"/>
      <c r="W305" s="29" t="str">
        <f t="shared" si="69"/>
        <v/>
      </c>
      <c r="X305" s="18"/>
      <c r="Y305" s="29" t="str">
        <f t="shared" si="68"/>
        <v/>
      </c>
      <c r="Z305" s="20"/>
    </row>
    <row r="306" spans="1:27" s="27" customFormat="1" ht="18" customHeight="1" thickBot="1" x14ac:dyDescent="0.25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7" s="5" customFormat="1" ht="18" customHeight="1" thickBot="1" x14ac:dyDescent="0.25">
      <c r="A307" s="138" t="s">
        <v>15</v>
      </c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40"/>
      <c r="M307" s="4"/>
      <c r="N307" s="8"/>
      <c r="O307" s="133" t="s">
        <v>17</v>
      </c>
      <c r="P307" s="134"/>
      <c r="Q307" s="134"/>
      <c r="R307" s="135"/>
      <c r="S307" s="9"/>
      <c r="T307" s="133" t="s">
        <v>18</v>
      </c>
      <c r="U307" s="134"/>
      <c r="V307" s="134"/>
      <c r="W307" s="134"/>
      <c r="X307" s="134"/>
      <c r="Y307" s="135"/>
      <c r="Z307" s="10"/>
      <c r="AA307" s="4"/>
    </row>
    <row r="308" spans="1:27" s="5" customFormat="1" ht="18" customHeight="1" x14ac:dyDescent="0.2">
      <c r="A308" s="47"/>
      <c r="B308" s="45"/>
      <c r="C308" s="147" t="s">
        <v>94</v>
      </c>
      <c r="D308" s="147"/>
      <c r="E308" s="147"/>
      <c r="F308" s="147"/>
      <c r="G308" s="48" t="str">
        <f>$J$1</f>
        <v>February</v>
      </c>
      <c r="H308" s="146">
        <f>$K$1</f>
        <v>2024</v>
      </c>
      <c r="I308" s="146"/>
      <c r="J308" s="45"/>
      <c r="K308" s="49"/>
      <c r="L308" s="50"/>
      <c r="M308" s="6"/>
      <c r="N308" s="11"/>
      <c r="O308" s="12" t="s">
        <v>28</v>
      </c>
      <c r="P308" s="12" t="s">
        <v>5</v>
      </c>
      <c r="Q308" s="12" t="s">
        <v>4</v>
      </c>
      <c r="R308" s="12" t="s">
        <v>29</v>
      </c>
      <c r="S308" s="13"/>
      <c r="T308" s="12" t="s">
        <v>28</v>
      </c>
      <c r="U308" s="12" t="s">
        <v>30</v>
      </c>
      <c r="V308" s="12" t="s">
        <v>10</v>
      </c>
      <c r="W308" s="12" t="s">
        <v>9</v>
      </c>
      <c r="X308" s="12" t="s">
        <v>11</v>
      </c>
      <c r="Y308" s="12" t="s">
        <v>34</v>
      </c>
      <c r="Z308" s="14"/>
      <c r="AA308" s="6"/>
    </row>
    <row r="309" spans="1:27" s="5" customFormat="1" ht="18" customHeight="1" x14ac:dyDescent="0.2">
      <c r="A309" s="47"/>
      <c r="B309" s="45"/>
      <c r="C309" s="45"/>
      <c r="D309" s="51"/>
      <c r="E309" s="51"/>
      <c r="F309" s="51"/>
      <c r="G309" s="51"/>
      <c r="H309" s="51"/>
      <c r="I309" s="45"/>
      <c r="J309" s="52" t="s">
        <v>1</v>
      </c>
      <c r="K309" s="53">
        <f>22000+13000</f>
        <v>35000</v>
      </c>
      <c r="L309" s="54"/>
      <c r="N309" s="15"/>
      <c r="O309" s="16" t="s">
        <v>20</v>
      </c>
      <c r="P309" s="16">
        <v>31</v>
      </c>
      <c r="Q309" s="16">
        <v>0</v>
      </c>
      <c r="R309" s="16">
        <f>15-Q309</f>
        <v>15</v>
      </c>
      <c r="S309" s="17"/>
      <c r="T309" s="16" t="s">
        <v>20</v>
      </c>
      <c r="U309" s="18">
        <v>14760</v>
      </c>
      <c r="V309" s="18"/>
      <c r="W309" s="18">
        <f>V309+U309</f>
        <v>14760</v>
      </c>
      <c r="X309" s="18">
        <v>2000</v>
      </c>
      <c r="Y309" s="18">
        <f>W309-X309</f>
        <v>12760</v>
      </c>
      <c r="Z309" s="14"/>
    </row>
    <row r="310" spans="1:27" s="5" customFormat="1" ht="18" customHeight="1" x14ac:dyDescent="0.2">
      <c r="A310" s="47"/>
      <c r="B310" s="45" t="s">
        <v>0</v>
      </c>
      <c r="C310" s="44" t="s">
        <v>73</v>
      </c>
      <c r="D310" s="45"/>
      <c r="E310" s="45"/>
      <c r="F310" s="45"/>
      <c r="G310" s="45"/>
      <c r="H310" s="55"/>
      <c r="I310" s="51"/>
      <c r="J310" s="45"/>
      <c r="K310" s="45"/>
      <c r="L310" s="56"/>
      <c r="M310" s="4"/>
      <c r="N310" s="19"/>
      <c r="O310" s="16" t="s">
        <v>46</v>
      </c>
      <c r="P310" s="16">
        <v>28</v>
      </c>
      <c r="Q310" s="16">
        <v>1</v>
      </c>
      <c r="R310" s="16">
        <f>R309-Q310</f>
        <v>14</v>
      </c>
      <c r="S310" s="7"/>
      <c r="T310" s="16" t="s">
        <v>46</v>
      </c>
      <c r="U310" s="29">
        <f>Y309</f>
        <v>12760</v>
      </c>
      <c r="V310" s="18">
        <v>4000</v>
      </c>
      <c r="W310" s="29">
        <f>IF(U310="","",U310+V310)</f>
        <v>16760</v>
      </c>
      <c r="X310" s="18">
        <v>2000</v>
      </c>
      <c r="Y310" s="29">
        <f>IF(W310="","",W310-X310)</f>
        <v>14760</v>
      </c>
      <c r="Z310" s="20"/>
      <c r="AA310" s="4"/>
    </row>
    <row r="311" spans="1:27" s="5" customFormat="1" ht="18" customHeight="1" x14ac:dyDescent="0.2">
      <c r="A311" s="47"/>
      <c r="B311" s="57" t="s">
        <v>16</v>
      </c>
      <c r="C311" s="58"/>
      <c r="D311" s="45"/>
      <c r="E311" s="45"/>
      <c r="F311" s="141" t="s">
        <v>18</v>
      </c>
      <c r="G311" s="143"/>
      <c r="H311" s="45"/>
      <c r="I311" s="141" t="s">
        <v>19</v>
      </c>
      <c r="J311" s="142"/>
      <c r="K311" s="143"/>
      <c r="L311" s="59"/>
      <c r="N311" s="15"/>
      <c r="O311" s="16" t="s">
        <v>21</v>
      </c>
      <c r="P311" s="16"/>
      <c r="Q311" s="16"/>
      <c r="R311" s="16">
        <f t="shared" ref="R311:R320" si="72">R310-Q311</f>
        <v>14</v>
      </c>
      <c r="S311" s="7"/>
      <c r="T311" s="16" t="s">
        <v>21</v>
      </c>
      <c r="U311" s="29"/>
      <c r="V311" s="18"/>
      <c r="W311" s="29" t="str">
        <f t="shared" ref="W311:W320" si="73">IF(U311="","",U311+V311)</f>
        <v/>
      </c>
      <c r="X311" s="18"/>
      <c r="Y311" s="29" t="str">
        <f t="shared" ref="Y311:Y320" si="74">IF(W311="","",W311-X311)</f>
        <v/>
      </c>
      <c r="Z311" s="20"/>
    </row>
    <row r="312" spans="1:27" s="5" customFormat="1" ht="18" customHeight="1" x14ac:dyDescent="0.2">
      <c r="A312" s="47"/>
      <c r="B312" s="45"/>
      <c r="C312" s="45"/>
      <c r="D312" s="45"/>
      <c r="E312" s="45"/>
      <c r="F312" s="45"/>
      <c r="G312" s="45"/>
      <c r="H312" s="60"/>
      <c r="I312" s="45"/>
      <c r="J312" s="45"/>
      <c r="K312" s="45"/>
      <c r="L312" s="61"/>
      <c r="N312" s="15"/>
      <c r="O312" s="16" t="s">
        <v>22</v>
      </c>
      <c r="P312" s="16"/>
      <c r="Q312" s="16"/>
      <c r="R312" s="16">
        <f t="shared" si="72"/>
        <v>14</v>
      </c>
      <c r="S312" s="7"/>
      <c r="T312" s="16" t="s">
        <v>22</v>
      </c>
      <c r="U312" s="29"/>
      <c r="V312" s="18"/>
      <c r="W312" s="29" t="str">
        <f t="shared" si="73"/>
        <v/>
      </c>
      <c r="X312" s="18"/>
      <c r="Y312" s="29" t="str">
        <f t="shared" si="74"/>
        <v/>
      </c>
      <c r="Z312" s="20"/>
    </row>
    <row r="313" spans="1:27" s="5" customFormat="1" ht="18" customHeight="1" x14ac:dyDescent="0.2">
      <c r="A313" s="47"/>
      <c r="B313" s="144" t="s">
        <v>17</v>
      </c>
      <c r="C313" s="145"/>
      <c r="D313" s="45"/>
      <c r="E313" s="45"/>
      <c r="F313" s="62" t="s">
        <v>39</v>
      </c>
      <c r="G313" s="6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60"/>
      <c r="I313" s="64">
        <f>IF(C317&gt;=C316,$K$2,C315+C317)</f>
        <v>29</v>
      </c>
      <c r="J313" s="65" t="s">
        <v>36</v>
      </c>
      <c r="K313" s="66">
        <f>K309/$K$2*I313</f>
        <v>35000</v>
      </c>
      <c r="L313" s="67"/>
      <c r="N313" s="15"/>
      <c r="O313" s="16" t="s">
        <v>23</v>
      </c>
      <c r="P313" s="16"/>
      <c r="Q313" s="16"/>
      <c r="R313" s="16">
        <f t="shared" si="72"/>
        <v>14</v>
      </c>
      <c r="S313" s="7"/>
      <c r="T313" s="16" t="s">
        <v>23</v>
      </c>
      <c r="U313" s="29"/>
      <c r="V313" s="18"/>
      <c r="W313" s="29" t="str">
        <f t="shared" si="73"/>
        <v/>
      </c>
      <c r="X313" s="18"/>
      <c r="Y313" s="29" t="str">
        <f t="shared" si="74"/>
        <v/>
      </c>
      <c r="Z313" s="20"/>
    </row>
    <row r="314" spans="1:27" s="5" customFormat="1" ht="18" customHeight="1" x14ac:dyDescent="0.2">
      <c r="A314" s="47"/>
      <c r="B314" s="68"/>
      <c r="C314" s="68"/>
      <c r="D314" s="45"/>
      <c r="E314" s="45"/>
      <c r="F314" s="62" t="s">
        <v>10</v>
      </c>
      <c r="G314" s="6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60"/>
      <c r="I314" s="64">
        <v>68</v>
      </c>
      <c r="J314" s="65" t="s">
        <v>37</v>
      </c>
      <c r="K314" s="69">
        <f>K309/$K$2/8*I314</f>
        <v>10258.620689655172</v>
      </c>
      <c r="L314" s="70"/>
      <c r="N314" s="15"/>
      <c r="O314" s="16" t="s">
        <v>24</v>
      </c>
      <c r="P314" s="16"/>
      <c r="Q314" s="16"/>
      <c r="R314" s="16">
        <f t="shared" si="72"/>
        <v>14</v>
      </c>
      <c r="S314" s="7"/>
      <c r="T314" s="16" t="s">
        <v>24</v>
      </c>
      <c r="U314" s="29"/>
      <c r="V314" s="18"/>
      <c r="W314" s="29" t="str">
        <f t="shared" si="73"/>
        <v/>
      </c>
      <c r="X314" s="18"/>
      <c r="Y314" s="29" t="str">
        <f t="shared" si="74"/>
        <v/>
      </c>
      <c r="Z314" s="20"/>
    </row>
    <row r="315" spans="1:27" s="5" customFormat="1" ht="18" customHeight="1" x14ac:dyDescent="0.2">
      <c r="A315" s="47"/>
      <c r="B315" s="62" t="s">
        <v>5</v>
      </c>
      <c r="C315" s="68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45"/>
      <c r="E315" s="45"/>
      <c r="F315" s="62" t="s">
        <v>40</v>
      </c>
      <c r="G315" s="63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60"/>
      <c r="I315" s="136" t="s">
        <v>44</v>
      </c>
      <c r="J315" s="137"/>
      <c r="K315" s="69">
        <f>K313+K314</f>
        <v>45258.620689655174</v>
      </c>
      <c r="L315" s="70"/>
      <c r="N315" s="15"/>
      <c r="O315" s="16" t="s">
        <v>25</v>
      </c>
      <c r="P315" s="16"/>
      <c r="Q315" s="16"/>
      <c r="R315" s="16">
        <f t="shared" si="72"/>
        <v>14</v>
      </c>
      <c r="S315" s="7"/>
      <c r="T315" s="16" t="s">
        <v>25</v>
      </c>
      <c r="U315" s="29"/>
      <c r="V315" s="18"/>
      <c r="W315" s="29" t="str">
        <f t="shared" si="73"/>
        <v/>
      </c>
      <c r="X315" s="18"/>
      <c r="Y315" s="29" t="str">
        <f t="shared" si="74"/>
        <v/>
      </c>
      <c r="Z315" s="20"/>
    </row>
    <row r="316" spans="1:27" s="5" customFormat="1" ht="18" customHeight="1" x14ac:dyDescent="0.2">
      <c r="A316" s="47"/>
      <c r="B316" s="62" t="s">
        <v>4</v>
      </c>
      <c r="C316" s="68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45"/>
      <c r="E316" s="45"/>
      <c r="F316" s="62" t="s">
        <v>11</v>
      </c>
      <c r="G316" s="6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60"/>
      <c r="I316" s="136" t="s">
        <v>45</v>
      </c>
      <c r="J316" s="137"/>
      <c r="K316" s="63">
        <f>G316</f>
        <v>2000</v>
      </c>
      <c r="L316" s="71"/>
      <c r="N316" s="15"/>
      <c r="O316" s="16" t="s">
        <v>26</v>
      </c>
      <c r="P316" s="16"/>
      <c r="Q316" s="16"/>
      <c r="R316" s="16">
        <f t="shared" si="72"/>
        <v>14</v>
      </c>
      <c r="S316" s="7"/>
      <c r="T316" s="16" t="s">
        <v>26</v>
      </c>
      <c r="U316" s="29"/>
      <c r="V316" s="18"/>
      <c r="W316" s="29" t="str">
        <f t="shared" si="73"/>
        <v/>
      </c>
      <c r="X316" s="18"/>
      <c r="Y316" s="29" t="str">
        <f t="shared" si="74"/>
        <v/>
      </c>
      <c r="Z316" s="20"/>
    </row>
    <row r="317" spans="1:27" s="5" customFormat="1" ht="18" customHeight="1" x14ac:dyDescent="0.2">
      <c r="A317" s="47"/>
      <c r="B317" s="77" t="s">
        <v>43</v>
      </c>
      <c r="C317" s="68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45"/>
      <c r="E317" s="45"/>
      <c r="F317" s="77" t="s">
        <v>86</v>
      </c>
      <c r="G317" s="63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45"/>
      <c r="I317" s="141" t="s">
        <v>38</v>
      </c>
      <c r="J317" s="143"/>
      <c r="K317" s="41">
        <f>K315-K316</f>
        <v>43258.620689655174</v>
      </c>
      <c r="L317" s="72"/>
      <c r="N317" s="15"/>
      <c r="O317" s="16" t="s">
        <v>31</v>
      </c>
      <c r="P317" s="16"/>
      <c r="Q317" s="16"/>
      <c r="R317" s="16">
        <f t="shared" si="72"/>
        <v>14</v>
      </c>
      <c r="S317" s="7"/>
      <c r="T317" s="16" t="s">
        <v>31</v>
      </c>
      <c r="U317" s="29"/>
      <c r="V317" s="18"/>
      <c r="W317" s="29" t="str">
        <f t="shared" si="73"/>
        <v/>
      </c>
      <c r="X317" s="18"/>
      <c r="Y317" s="29" t="str">
        <f t="shared" si="74"/>
        <v/>
      </c>
      <c r="Z317" s="20"/>
    </row>
    <row r="318" spans="1:27" s="5" customFormat="1" ht="18" customHeight="1" x14ac:dyDescent="0.2">
      <c r="A318" s="47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59"/>
      <c r="N318" s="15"/>
      <c r="O318" s="16" t="s">
        <v>27</v>
      </c>
      <c r="P318" s="16"/>
      <c r="Q318" s="16"/>
      <c r="R318" s="16">
        <f t="shared" si="72"/>
        <v>14</v>
      </c>
      <c r="S318" s="7"/>
      <c r="T318" s="16" t="s">
        <v>27</v>
      </c>
      <c r="U318" s="29"/>
      <c r="V318" s="18"/>
      <c r="W318" s="29" t="str">
        <f t="shared" si="73"/>
        <v/>
      </c>
      <c r="X318" s="18"/>
      <c r="Y318" s="29" t="str">
        <f t="shared" si="74"/>
        <v/>
      </c>
      <c r="Z318" s="20"/>
    </row>
    <row r="319" spans="1:27" s="5" customFormat="1" ht="18" customHeight="1" x14ac:dyDescent="0.3">
      <c r="A319" s="47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59"/>
      <c r="N319" s="15"/>
      <c r="O319" s="16" t="s">
        <v>32</v>
      </c>
      <c r="P319" s="16"/>
      <c r="Q319" s="16"/>
      <c r="R319" s="16">
        <f t="shared" si="72"/>
        <v>14</v>
      </c>
      <c r="S319" s="7"/>
      <c r="T319" s="16" t="s">
        <v>32</v>
      </c>
      <c r="U319" s="29"/>
      <c r="V319" s="18"/>
      <c r="W319" s="29" t="str">
        <f t="shared" si="73"/>
        <v/>
      </c>
      <c r="X319" s="18"/>
      <c r="Y319" s="29" t="str">
        <f t="shared" si="74"/>
        <v/>
      </c>
      <c r="Z319" s="20"/>
    </row>
    <row r="320" spans="1:27" s="5" customFormat="1" ht="18" customHeight="1" thickBot="1" x14ac:dyDescent="0.35">
      <c r="A320" s="73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5"/>
      <c r="N320" s="15"/>
      <c r="O320" s="16" t="s">
        <v>33</v>
      </c>
      <c r="P320" s="16"/>
      <c r="Q320" s="16"/>
      <c r="R320" s="16">
        <f t="shared" si="72"/>
        <v>14</v>
      </c>
      <c r="S320" s="7"/>
      <c r="T320" s="16" t="s">
        <v>33</v>
      </c>
      <c r="U320" s="29"/>
      <c r="V320" s="18"/>
      <c r="W320" s="29" t="str">
        <f t="shared" si="73"/>
        <v/>
      </c>
      <c r="X320" s="18"/>
      <c r="Y320" s="29" t="str">
        <f t="shared" si="74"/>
        <v/>
      </c>
      <c r="Z320" s="20"/>
    </row>
    <row r="321" spans="1:27" s="27" customFormat="1" ht="18" customHeight="1" thickBot="1" x14ac:dyDescent="0.25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7" s="5" customFormat="1" ht="18" customHeight="1" thickBot="1" x14ac:dyDescent="0.25">
      <c r="A322" s="138" t="s">
        <v>15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40"/>
      <c r="M322" s="4"/>
      <c r="N322" s="8"/>
      <c r="O322" s="133" t="s">
        <v>17</v>
      </c>
      <c r="P322" s="134"/>
      <c r="Q322" s="134"/>
      <c r="R322" s="135"/>
      <c r="S322" s="9"/>
      <c r="T322" s="133" t="s">
        <v>18</v>
      </c>
      <c r="U322" s="134"/>
      <c r="V322" s="134"/>
      <c r="W322" s="134"/>
      <c r="X322" s="134"/>
      <c r="Y322" s="135"/>
      <c r="Z322" s="10"/>
      <c r="AA322" s="4"/>
    </row>
    <row r="323" spans="1:27" s="5" customFormat="1" ht="18" customHeight="1" x14ac:dyDescent="0.2">
      <c r="A323" s="47"/>
      <c r="B323" s="45"/>
      <c r="C323" s="147" t="s">
        <v>94</v>
      </c>
      <c r="D323" s="147"/>
      <c r="E323" s="147"/>
      <c r="F323" s="147"/>
      <c r="G323" s="48" t="str">
        <f>$J$1</f>
        <v>February</v>
      </c>
      <c r="H323" s="146">
        <f>$K$1</f>
        <v>2024</v>
      </c>
      <c r="I323" s="146"/>
      <c r="J323" s="45"/>
      <c r="K323" s="49"/>
      <c r="L323" s="50"/>
      <c r="M323" s="6"/>
      <c r="N323" s="11"/>
      <c r="O323" s="12" t="s">
        <v>28</v>
      </c>
      <c r="P323" s="12" t="s">
        <v>5</v>
      </c>
      <c r="Q323" s="12" t="s">
        <v>4</v>
      </c>
      <c r="R323" s="12" t="s">
        <v>29</v>
      </c>
      <c r="S323" s="13"/>
      <c r="T323" s="12" t="s">
        <v>28</v>
      </c>
      <c r="U323" s="12" t="s">
        <v>30</v>
      </c>
      <c r="V323" s="12" t="s">
        <v>10</v>
      </c>
      <c r="W323" s="12" t="s">
        <v>9</v>
      </c>
      <c r="X323" s="12" t="s">
        <v>11</v>
      </c>
      <c r="Y323" s="12" t="s">
        <v>34</v>
      </c>
      <c r="Z323" s="14"/>
      <c r="AA323" s="6"/>
    </row>
    <row r="324" spans="1:27" s="5" customFormat="1" ht="18" customHeight="1" x14ac:dyDescent="0.2">
      <c r="A324" s="47"/>
      <c r="B324" s="45"/>
      <c r="C324" s="45"/>
      <c r="D324" s="51"/>
      <c r="E324" s="51"/>
      <c r="F324" s="51"/>
      <c r="G324" s="51"/>
      <c r="H324" s="51"/>
      <c r="I324" s="45"/>
      <c r="J324" s="52" t="s">
        <v>1</v>
      </c>
      <c r="K324" s="53">
        <f>19000+3000+5000</f>
        <v>27000</v>
      </c>
      <c r="L324" s="54"/>
      <c r="N324" s="15"/>
      <c r="O324" s="16" t="s">
        <v>20</v>
      </c>
      <c r="P324" s="16">
        <v>29</v>
      </c>
      <c r="Q324" s="16">
        <v>2</v>
      </c>
      <c r="R324" s="16">
        <f>15-Q324</f>
        <v>13</v>
      </c>
      <c r="S324" s="17"/>
      <c r="T324" s="16" t="s">
        <v>20</v>
      </c>
      <c r="U324" s="18">
        <v>18000</v>
      </c>
      <c r="V324" s="18"/>
      <c r="W324" s="18">
        <f>V324+U324</f>
        <v>18000</v>
      </c>
      <c r="X324" s="18">
        <v>3000</v>
      </c>
      <c r="Y324" s="18">
        <f>W324-X324</f>
        <v>15000</v>
      </c>
      <c r="Z324" s="14"/>
    </row>
    <row r="325" spans="1:27" s="5" customFormat="1" ht="18" customHeight="1" x14ac:dyDescent="0.2">
      <c r="A325" s="47"/>
      <c r="B325" s="45" t="s">
        <v>0</v>
      </c>
      <c r="C325" s="44" t="s">
        <v>64</v>
      </c>
      <c r="D325" s="45"/>
      <c r="E325" s="45"/>
      <c r="F325" s="45"/>
      <c r="G325" s="45"/>
      <c r="H325" s="55"/>
      <c r="I325" s="51"/>
      <c r="J325" s="45"/>
      <c r="K325" s="45"/>
      <c r="L325" s="56"/>
      <c r="M325" s="4"/>
      <c r="N325" s="19"/>
      <c r="O325" s="16" t="s">
        <v>46</v>
      </c>
      <c r="P325" s="16">
        <v>28</v>
      </c>
      <c r="Q325" s="16">
        <v>1</v>
      </c>
      <c r="R325" s="16">
        <f t="shared" ref="R325:R335" si="75">IF(Q325="","",R324-Q325)</f>
        <v>12</v>
      </c>
      <c r="S325" s="7"/>
      <c r="T325" s="16" t="s">
        <v>46</v>
      </c>
      <c r="U325" s="29">
        <f>Y324</f>
        <v>15000</v>
      </c>
      <c r="V325" s="18"/>
      <c r="W325" s="29">
        <f>IF(U325="","",U325+V325)</f>
        <v>15000</v>
      </c>
      <c r="X325" s="18">
        <v>3000</v>
      </c>
      <c r="Y325" s="29">
        <f>IF(W325="","",W325-X325)</f>
        <v>12000</v>
      </c>
      <c r="Z325" s="20"/>
      <c r="AA325" s="4"/>
    </row>
    <row r="326" spans="1:27" s="5" customFormat="1" ht="18" customHeight="1" x14ac:dyDescent="0.2">
      <c r="A326" s="47"/>
      <c r="B326" s="57" t="s">
        <v>16</v>
      </c>
      <c r="C326" s="58"/>
      <c r="D326" s="45"/>
      <c r="E326" s="45"/>
      <c r="F326" s="141" t="s">
        <v>18</v>
      </c>
      <c r="G326" s="143"/>
      <c r="H326" s="45"/>
      <c r="I326" s="141" t="s">
        <v>19</v>
      </c>
      <c r="J326" s="142"/>
      <c r="K326" s="143"/>
      <c r="L326" s="59"/>
      <c r="N326" s="15"/>
      <c r="O326" s="16" t="s">
        <v>21</v>
      </c>
      <c r="P326" s="16"/>
      <c r="Q326" s="16"/>
      <c r="R326" s="16" t="str">
        <f t="shared" si="75"/>
        <v/>
      </c>
      <c r="S326" s="7"/>
      <c r="T326" s="16" t="s">
        <v>21</v>
      </c>
      <c r="U326" s="29"/>
      <c r="V326" s="18"/>
      <c r="W326" s="29" t="str">
        <f t="shared" ref="W326:W335" si="76">IF(U326="","",U326+V326)</f>
        <v/>
      </c>
      <c r="X326" s="18"/>
      <c r="Y326" s="29" t="str">
        <f t="shared" ref="Y326:Y335" si="77">IF(W326="","",W326-X326)</f>
        <v/>
      </c>
      <c r="Z326" s="20"/>
    </row>
    <row r="327" spans="1:27" s="5" customFormat="1" ht="18" customHeight="1" x14ac:dyDescent="0.2">
      <c r="A327" s="47"/>
      <c r="B327" s="45"/>
      <c r="C327" s="45"/>
      <c r="D327" s="45"/>
      <c r="E327" s="45"/>
      <c r="F327" s="45"/>
      <c r="G327" s="45"/>
      <c r="H327" s="60"/>
      <c r="I327" s="45"/>
      <c r="J327" s="45"/>
      <c r="K327" s="45"/>
      <c r="L327" s="61"/>
      <c r="N327" s="15"/>
      <c r="O327" s="16" t="s">
        <v>22</v>
      </c>
      <c r="P327" s="16"/>
      <c r="Q327" s="16"/>
      <c r="R327" s="16" t="str">
        <f t="shared" si="75"/>
        <v/>
      </c>
      <c r="S327" s="7"/>
      <c r="T327" s="16" t="s">
        <v>22</v>
      </c>
      <c r="U327" s="29" t="str">
        <f>IF($J$1="March","",Y326)</f>
        <v/>
      </c>
      <c r="V327" s="18"/>
      <c r="W327" s="29" t="str">
        <f t="shared" si="76"/>
        <v/>
      </c>
      <c r="X327" s="18"/>
      <c r="Y327" s="29" t="str">
        <f t="shared" si="77"/>
        <v/>
      </c>
      <c r="Z327" s="20"/>
    </row>
    <row r="328" spans="1:27" s="5" customFormat="1" ht="18" customHeight="1" x14ac:dyDescent="0.2">
      <c r="A328" s="47"/>
      <c r="B328" s="144" t="s">
        <v>17</v>
      </c>
      <c r="C328" s="145"/>
      <c r="D328" s="45"/>
      <c r="E328" s="45"/>
      <c r="F328" s="62" t="s">
        <v>39</v>
      </c>
      <c r="G328" s="6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60"/>
      <c r="I328" s="64">
        <f>IF(C332&gt;=C331,$K$2,C330+C332)</f>
        <v>29</v>
      </c>
      <c r="J328" s="65" t="s">
        <v>36</v>
      </c>
      <c r="K328" s="66">
        <f>K324/$K$2*I328</f>
        <v>27000</v>
      </c>
      <c r="L328" s="67"/>
      <c r="N328" s="15"/>
      <c r="O328" s="16" t="s">
        <v>23</v>
      </c>
      <c r="P328" s="16"/>
      <c r="Q328" s="16"/>
      <c r="R328" s="16" t="str">
        <f t="shared" si="75"/>
        <v/>
      </c>
      <c r="S328" s="7"/>
      <c r="T328" s="16" t="s">
        <v>23</v>
      </c>
      <c r="U328" s="29" t="str">
        <f>IF($J$1="April","",Y327)</f>
        <v/>
      </c>
      <c r="V328" s="18"/>
      <c r="W328" s="29" t="str">
        <f t="shared" si="76"/>
        <v/>
      </c>
      <c r="X328" s="18"/>
      <c r="Y328" s="29" t="str">
        <f t="shared" si="77"/>
        <v/>
      </c>
      <c r="Z328" s="20"/>
    </row>
    <row r="329" spans="1:27" s="5" customFormat="1" ht="18" customHeight="1" x14ac:dyDescent="0.2">
      <c r="A329" s="47"/>
      <c r="B329" s="68"/>
      <c r="C329" s="68"/>
      <c r="D329" s="45"/>
      <c r="E329" s="45"/>
      <c r="F329" s="62" t="s">
        <v>10</v>
      </c>
      <c r="G329" s="6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60"/>
      <c r="I329" s="64">
        <v>11</v>
      </c>
      <c r="J329" s="65" t="s">
        <v>37</v>
      </c>
      <c r="K329" s="69">
        <f>K324/$K$2/8*I329</f>
        <v>1280.1724137931035</v>
      </c>
      <c r="L329" s="70"/>
      <c r="N329" s="15"/>
      <c r="O329" s="16" t="s">
        <v>24</v>
      </c>
      <c r="P329" s="16"/>
      <c r="Q329" s="16"/>
      <c r="R329" s="16" t="str">
        <f t="shared" si="75"/>
        <v/>
      </c>
      <c r="S329" s="7"/>
      <c r="T329" s="16" t="s">
        <v>24</v>
      </c>
      <c r="U329" s="29" t="str">
        <f t="shared" ref="U329" si="78">Y328</f>
        <v/>
      </c>
      <c r="V329" s="18"/>
      <c r="W329" s="29" t="str">
        <f t="shared" si="76"/>
        <v/>
      </c>
      <c r="X329" s="18"/>
      <c r="Y329" s="29" t="str">
        <f t="shared" si="77"/>
        <v/>
      </c>
      <c r="Z329" s="20"/>
    </row>
    <row r="330" spans="1:27" s="5" customFormat="1" ht="18" customHeight="1" x14ac:dyDescent="0.2">
      <c r="A330" s="47"/>
      <c r="B330" s="62" t="s">
        <v>5</v>
      </c>
      <c r="C330" s="68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45"/>
      <c r="E330" s="45"/>
      <c r="F330" s="62" t="s">
        <v>40</v>
      </c>
      <c r="G330" s="63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60"/>
      <c r="I330" s="136" t="s">
        <v>44</v>
      </c>
      <c r="J330" s="137"/>
      <c r="K330" s="69">
        <f>K328+K329</f>
        <v>28280.172413793105</v>
      </c>
      <c r="L330" s="70"/>
      <c r="N330" s="15"/>
      <c r="O330" s="16" t="s">
        <v>25</v>
      </c>
      <c r="P330" s="16"/>
      <c r="Q330" s="16"/>
      <c r="R330" s="16" t="str">
        <f t="shared" si="75"/>
        <v/>
      </c>
      <c r="S330" s="7"/>
      <c r="T330" s="16" t="s">
        <v>25</v>
      </c>
      <c r="U330" s="29"/>
      <c r="V330" s="18"/>
      <c r="W330" s="29" t="str">
        <f t="shared" ref="W330:W333" si="79">IF(U330="","",U330+V330)</f>
        <v/>
      </c>
      <c r="X330" s="18"/>
      <c r="Y330" s="29" t="str">
        <f t="shared" ref="Y330:Y333" si="80">IF(W330="","",W330-X330)</f>
        <v/>
      </c>
      <c r="Z330" s="20"/>
    </row>
    <row r="331" spans="1:27" s="5" customFormat="1" ht="18" customHeight="1" x14ac:dyDescent="0.2">
      <c r="A331" s="47"/>
      <c r="B331" s="62" t="s">
        <v>4</v>
      </c>
      <c r="C331" s="68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45"/>
      <c r="E331" s="45"/>
      <c r="F331" s="62" t="s">
        <v>11</v>
      </c>
      <c r="G331" s="6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60"/>
      <c r="I331" s="136" t="s">
        <v>45</v>
      </c>
      <c r="J331" s="137"/>
      <c r="K331" s="63">
        <f>G331</f>
        <v>3000</v>
      </c>
      <c r="L331" s="71"/>
      <c r="N331" s="15"/>
      <c r="O331" s="16" t="s">
        <v>26</v>
      </c>
      <c r="P331" s="16"/>
      <c r="Q331" s="16"/>
      <c r="R331" s="16" t="str">
        <f t="shared" si="75"/>
        <v/>
      </c>
      <c r="S331" s="7"/>
      <c r="T331" s="16" t="s">
        <v>26</v>
      </c>
      <c r="U331" s="29"/>
      <c r="V331" s="18"/>
      <c r="W331" s="29" t="str">
        <f t="shared" si="79"/>
        <v/>
      </c>
      <c r="X331" s="18"/>
      <c r="Y331" s="29" t="str">
        <f t="shared" si="80"/>
        <v/>
      </c>
      <c r="Z331" s="20"/>
    </row>
    <row r="332" spans="1:27" s="5" customFormat="1" ht="18" customHeight="1" x14ac:dyDescent="0.2">
      <c r="A332" s="47"/>
      <c r="B332" s="77" t="s">
        <v>43</v>
      </c>
      <c r="C332" s="68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45"/>
      <c r="E332" s="45"/>
      <c r="F332" s="77" t="s">
        <v>86</v>
      </c>
      <c r="G332" s="63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45"/>
      <c r="I332" s="141" t="s">
        <v>38</v>
      </c>
      <c r="J332" s="143"/>
      <c r="K332" s="41">
        <f>K330-K331</f>
        <v>25280.172413793105</v>
      </c>
      <c r="L332" s="72"/>
      <c r="N332" s="15"/>
      <c r="O332" s="16" t="s">
        <v>31</v>
      </c>
      <c r="P332" s="16"/>
      <c r="Q332" s="16"/>
      <c r="R332" s="16" t="str">
        <f t="shared" si="75"/>
        <v/>
      </c>
      <c r="S332" s="7"/>
      <c r="T332" s="16" t="s">
        <v>31</v>
      </c>
      <c r="U332" s="29"/>
      <c r="V332" s="18"/>
      <c r="W332" s="29" t="str">
        <f t="shared" si="79"/>
        <v/>
      </c>
      <c r="X332" s="18"/>
      <c r="Y332" s="29" t="str">
        <f t="shared" si="80"/>
        <v/>
      </c>
      <c r="Z332" s="20"/>
    </row>
    <row r="333" spans="1:27" s="5" customFormat="1" ht="18" customHeight="1" x14ac:dyDescent="0.2">
      <c r="A333" s="47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59"/>
      <c r="N333" s="15"/>
      <c r="O333" s="16" t="s">
        <v>27</v>
      </c>
      <c r="P333" s="16"/>
      <c r="Q333" s="16"/>
      <c r="R333" s="16" t="str">
        <f t="shared" si="75"/>
        <v/>
      </c>
      <c r="S333" s="7"/>
      <c r="T333" s="16" t="s">
        <v>27</v>
      </c>
      <c r="U333" s="29"/>
      <c r="V333" s="18"/>
      <c r="W333" s="29" t="str">
        <f t="shared" si="79"/>
        <v/>
      </c>
      <c r="X333" s="18"/>
      <c r="Y333" s="29" t="str">
        <f t="shared" si="80"/>
        <v/>
      </c>
      <c r="Z333" s="20"/>
    </row>
    <row r="334" spans="1:27" s="5" customFormat="1" ht="18" customHeight="1" x14ac:dyDescent="0.3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59"/>
      <c r="N334" s="15"/>
      <c r="O334" s="16" t="s">
        <v>32</v>
      </c>
      <c r="P334" s="16"/>
      <c r="Q334" s="16"/>
      <c r="R334" s="16" t="str">
        <f t="shared" si="75"/>
        <v/>
      </c>
      <c r="S334" s="7"/>
      <c r="T334" s="16" t="s">
        <v>32</v>
      </c>
      <c r="U334" s="29"/>
      <c r="V334" s="18"/>
      <c r="W334" s="29" t="str">
        <f t="shared" si="76"/>
        <v/>
      </c>
      <c r="X334" s="18"/>
      <c r="Y334" s="29" t="str">
        <f t="shared" si="77"/>
        <v/>
      </c>
      <c r="Z334" s="20"/>
    </row>
    <row r="335" spans="1:27" s="5" customFormat="1" ht="18" customHeight="1" thickBot="1" x14ac:dyDescent="0.35">
      <c r="A335" s="73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5"/>
      <c r="N335" s="15"/>
      <c r="O335" s="16" t="s">
        <v>33</v>
      </c>
      <c r="P335" s="16"/>
      <c r="Q335" s="16"/>
      <c r="R335" s="16" t="str">
        <f t="shared" si="75"/>
        <v/>
      </c>
      <c r="S335" s="7"/>
      <c r="T335" s="16" t="s">
        <v>33</v>
      </c>
      <c r="U335" s="29"/>
      <c r="V335" s="18"/>
      <c r="W335" s="29" t="str">
        <f t="shared" si="76"/>
        <v/>
      </c>
      <c r="X335" s="18"/>
      <c r="Y335" s="29" t="str">
        <f t="shared" si="77"/>
        <v/>
      </c>
      <c r="Z335" s="20"/>
    </row>
    <row r="336" spans="1:27" s="27" customFormat="1" ht="18" customHeight="1" thickBot="1" x14ac:dyDescent="0.25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7" s="5" customFormat="1" ht="18" customHeight="1" thickBot="1" x14ac:dyDescent="0.25">
      <c r="A337" s="138" t="s">
        <v>15</v>
      </c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40"/>
      <c r="M337" s="4"/>
      <c r="N337" s="8"/>
      <c r="O337" s="133" t="s">
        <v>17</v>
      </c>
      <c r="P337" s="134"/>
      <c r="Q337" s="134"/>
      <c r="R337" s="135"/>
      <c r="S337" s="9"/>
      <c r="T337" s="133" t="s">
        <v>18</v>
      </c>
      <c r="U337" s="134"/>
      <c r="V337" s="134"/>
      <c r="W337" s="134"/>
      <c r="X337" s="134"/>
      <c r="Y337" s="135"/>
      <c r="Z337" s="10"/>
    </row>
    <row r="338" spans="1:27" s="5" customFormat="1" ht="18" customHeight="1" x14ac:dyDescent="0.2">
      <c r="A338" s="47"/>
      <c r="B338" s="45"/>
      <c r="C338" s="147" t="s">
        <v>94</v>
      </c>
      <c r="D338" s="147"/>
      <c r="E338" s="147"/>
      <c r="F338" s="147"/>
      <c r="G338" s="48" t="str">
        <f>$J$1</f>
        <v>February</v>
      </c>
      <c r="H338" s="146">
        <f>$K$1</f>
        <v>2024</v>
      </c>
      <c r="I338" s="146"/>
      <c r="J338" s="45"/>
      <c r="K338" s="49"/>
      <c r="L338" s="50"/>
      <c r="M338" s="6"/>
      <c r="N338" s="11"/>
      <c r="O338" s="12" t="s">
        <v>28</v>
      </c>
      <c r="P338" s="12" t="s">
        <v>5</v>
      </c>
      <c r="Q338" s="12" t="s">
        <v>4</v>
      </c>
      <c r="R338" s="12" t="s">
        <v>29</v>
      </c>
      <c r="S338" s="13"/>
      <c r="T338" s="12" t="s">
        <v>28</v>
      </c>
      <c r="U338" s="12" t="s">
        <v>30</v>
      </c>
      <c r="V338" s="12" t="s">
        <v>10</v>
      </c>
      <c r="W338" s="12" t="s">
        <v>9</v>
      </c>
      <c r="X338" s="12" t="s">
        <v>11</v>
      </c>
      <c r="Y338" s="12" t="s">
        <v>34</v>
      </c>
      <c r="Z338" s="14"/>
    </row>
    <row r="339" spans="1:27" s="5" customFormat="1" ht="18" customHeight="1" x14ac:dyDescent="0.2">
      <c r="A339" s="47"/>
      <c r="B339" s="45"/>
      <c r="C339" s="45"/>
      <c r="D339" s="51"/>
      <c r="E339" s="51"/>
      <c r="F339" s="51"/>
      <c r="G339" s="51"/>
      <c r="H339" s="51"/>
      <c r="I339" s="45"/>
      <c r="J339" s="52" t="s">
        <v>1</v>
      </c>
      <c r="K339" s="53">
        <f>27000+8000</f>
        <v>35000</v>
      </c>
      <c r="L339" s="54"/>
      <c r="N339" s="15"/>
      <c r="O339" s="16" t="s">
        <v>20</v>
      </c>
      <c r="P339" s="16">
        <v>30</v>
      </c>
      <c r="Q339" s="16">
        <v>1</v>
      </c>
      <c r="R339" s="16">
        <f>15-Q339</f>
        <v>14</v>
      </c>
      <c r="S339" s="17"/>
      <c r="T339" s="16" t="s">
        <v>20</v>
      </c>
      <c r="U339" s="18"/>
      <c r="V339" s="18">
        <v>20000</v>
      </c>
      <c r="W339" s="18">
        <f>V339+U339</f>
        <v>20000</v>
      </c>
      <c r="X339" s="18">
        <v>2000</v>
      </c>
      <c r="Y339" s="18">
        <f>W339-X339-15000</f>
        <v>3000</v>
      </c>
      <c r="Z339" s="14"/>
      <c r="AA339" s="5" t="s">
        <v>105</v>
      </c>
    </row>
    <row r="340" spans="1:27" s="5" customFormat="1" ht="18" customHeight="1" x14ac:dyDescent="0.2">
      <c r="A340" s="47"/>
      <c r="B340" s="45" t="s">
        <v>0</v>
      </c>
      <c r="C340" s="44" t="s">
        <v>72</v>
      </c>
      <c r="D340" s="45"/>
      <c r="E340" s="45"/>
      <c r="F340" s="45"/>
      <c r="G340" s="45"/>
      <c r="H340" s="55"/>
      <c r="I340" s="51"/>
      <c r="J340" s="45"/>
      <c r="K340" s="45"/>
      <c r="L340" s="56"/>
      <c r="M340" s="4"/>
      <c r="N340" s="19"/>
      <c r="O340" s="16" t="s">
        <v>46</v>
      </c>
      <c r="P340" s="16">
        <v>28</v>
      </c>
      <c r="Q340" s="16">
        <v>1</v>
      </c>
      <c r="R340" s="16">
        <f t="shared" ref="R340:R350" si="81">IF(Q340="","",R339-Q340)</f>
        <v>13</v>
      </c>
      <c r="S340" s="7"/>
      <c r="T340" s="16" t="s">
        <v>46</v>
      </c>
      <c r="U340" s="29">
        <f>Y339</f>
        <v>3000</v>
      </c>
      <c r="V340" s="18"/>
      <c r="W340" s="29">
        <f>IF(U340="","",U340+V340)</f>
        <v>3000</v>
      </c>
      <c r="X340" s="18">
        <v>1500</v>
      </c>
      <c r="Y340" s="29">
        <f>IF(W340="","",W340-X340)</f>
        <v>1500</v>
      </c>
      <c r="Z340" s="20"/>
    </row>
    <row r="341" spans="1:27" s="5" customFormat="1" ht="18" customHeight="1" x14ac:dyDescent="0.2">
      <c r="A341" s="47"/>
      <c r="B341" s="57" t="s">
        <v>16</v>
      </c>
      <c r="C341" s="58"/>
      <c r="D341" s="45"/>
      <c r="E341" s="45"/>
      <c r="F341" s="141" t="s">
        <v>18</v>
      </c>
      <c r="G341" s="143"/>
      <c r="H341" s="45"/>
      <c r="I341" s="141" t="s">
        <v>19</v>
      </c>
      <c r="J341" s="142"/>
      <c r="K341" s="143"/>
      <c r="L341" s="59"/>
      <c r="N341" s="15"/>
      <c r="O341" s="16" t="s">
        <v>21</v>
      </c>
      <c r="P341" s="16"/>
      <c r="Q341" s="16"/>
      <c r="R341" s="16" t="str">
        <f t="shared" si="81"/>
        <v/>
      </c>
      <c r="S341" s="7"/>
      <c r="T341" s="16" t="s">
        <v>21</v>
      </c>
      <c r="U341" s="29"/>
      <c r="V341" s="18"/>
      <c r="W341" s="29" t="str">
        <f t="shared" ref="W341:W344" si="82">IF(U341="","",U341+V341)</f>
        <v/>
      </c>
      <c r="X341" s="18"/>
      <c r="Y341" s="29" t="str">
        <f t="shared" ref="Y341:Y344" si="83">IF(W341="","",W341-X341)</f>
        <v/>
      </c>
      <c r="Z341" s="20"/>
    </row>
    <row r="342" spans="1:27" s="5" customFormat="1" ht="18" customHeight="1" x14ac:dyDescent="0.2">
      <c r="A342" s="47"/>
      <c r="B342" s="45"/>
      <c r="C342" s="45"/>
      <c r="D342" s="45"/>
      <c r="E342" s="45"/>
      <c r="F342" s="45"/>
      <c r="G342" s="45"/>
      <c r="H342" s="60"/>
      <c r="I342" s="45"/>
      <c r="J342" s="45"/>
      <c r="K342" s="45"/>
      <c r="L342" s="61"/>
      <c r="N342" s="15"/>
      <c r="O342" s="16" t="s">
        <v>22</v>
      </c>
      <c r="P342" s="16"/>
      <c r="Q342" s="16"/>
      <c r="R342" s="16" t="str">
        <f t="shared" si="81"/>
        <v/>
      </c>
      <c r="S342" s="7"/>
      <c r="T342" s="16" t="s">
        <v>22</v>
      </c>
      <c r="U342" s="29" t="str">
        <f>IF($J$1="March","",Y341)</f>
        <v/>
      </c>
      <c r="V342" s="18"/>
      <c r="W342" s="29" t="str">
        <f t="shared" si="82"/>
        <v/>
      </c>
      <c r="X342" s="18"/>
      <c r="Y342" s="29" t="str">
        <f t="shared" si="83"/>
        <v/>
      </c>
      <c r="Z342" s="20"/>
    </row>
    <row r="343" spans="1:27" s="5" customFormat="1" ht="18" customHeight="1" x14ac:dyDescent="0.2">
      <c r="A343" s="47"/>
      <c r="B343" s="144" t="s">
        <v>17</v>
      </c>
      <c r="C343" s="145"/>
      <c r="D343" s="45"/>
      <c r="E343" s="45"/>
      <c r="F343" s="62" t="s">
        <v>39</v>
      </c>
      <c r="G343" s="6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60"/>
      <c r="I343" s="64">
        <f>IF(C347&gt;=C346,$K$2,C345+C347)</f>
        <v>29</v>
      </c>
      <c r="J343" s="65" t="s">
        <v>36</v>
      </c>
      <c r="K343" s="66">
        <f>K339/$K$2*I343</f>
        <v>35000</v>
      </c>
      <c r="L343" s="67"/>
      <c r="N343" s="15"/>
      <c r="O343" s="16" t="s">
        <v>23</v>
      </c>
      <c r="P343" s="16"/>
      <c r="Q343" s="16"/>
      <c r="R343" s="16" t="str">
        <f t="shared" si="81"/>
        <v/>
      </c>
      <c r="S343" s="7"/>
      <c r="T343" s="16" t="s">
        <v>23</v>
      </c>
      <c r="U343" s="29" t="str">
        <f>IF($J$1="April","",Y342)</f>
        <v/>
      </c>
      <c r="V343" s="18"/>
      <c r="W343" s="29" t="str">
        <f t="shared" si="82"/>
        <v/>
      </c>
      <c r="X343" s="18"/>
      <c r="Y343" s="29" t="str">
        <f t="shared" si="83"/>
        <v/>
      </c>
      <c r="Z343" s="20"/>
    </row>
    <row r="344" spans="1:27" s="5" customFormat="1" ht="18" customHeight="1" x14ac:dyDescent="0.2">
      <c r="A344" s="47"/>
      <c r="B344" s="68"/>
      <c r="C344" s="68"/>
      <c r="D344" s="45"/>
      <c r="E344" s="45"/>
      <c r="F344" s="62" t="s">
        <v>10</v>
      </c>
      <c r="G344" s="6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60"/>
      <c r="I344" s="64">
        <v>35</v>
      </c>
      <c r="J344" s="65" t="s">
        <v>37</v>
      </c>
      <c r="K344" s="69">
        <f>K339/$K$2/8*I344</f>
        <v>5280.1724137931033</v>
      </c>
      <c r="L344" s="70"/>
      <c r="N344" s="15"/>
      <c r="O344" s="16" t="s">
        <v>24</v>
      </c>
      <c r="P344" s="16"/>
      <c r="Q344" s="16"/>
      <c r="R344" s="16" t="str">
        <f t="shared" si="81"/>
        <v/>
      </c>
      <c r="S344" s="7"/>
      <c r="T344" s="16" t="s">
        <v>24</v>
      </c>
      <c r="U344" s="29" t="str">
        <f>Y343</f>
        <v/>
      </c>
      <c r="V344" s="18"/>
      <c r="W344" s="29" t="str">
        <f t="shared" si="82"/>
        <v/>
      </c>
      <c r="X344" s="18"/>
      <c r="Y344" s="29" t="str">
        <f t="shared" si="83"/>
        <v/>
      </c>
      <c r="Z344" s="20"/>
    </row>
    <row r="345" spans="1:27" s="5" customFormat="1" ht="18" customHeight="1" x14ac:dyDescent="0.2">
      <c r="A345" s="47"/>
      <c r="B345" s="62" t="s">
        <v>5</v>
      </c>
      <c r="C345" s="68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45"/>
      <c r="E345" s="45"/>
      <c r="F345" s="62" t="s">
        <v>40</v>
      </c>
      <c r="G345" s="63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60"/>
      <c r="I345" s="136" t="s">
        <v>44</v>
      </c>
      <c r="J345" s="137"/>
      <c r="K345" s="69">
        <f>K343+K344</f>
        <v>40280.172413793101</v>
      </c>
      <c r="L345" s="70"/>
      <c r="N345" s="15"/>
      <c r="O345" s="16" t="s">
        <v>25</v>
      </c>
      <c r="P345" s="16"/>
      <c r="Q345" s="16"/>
      <c r="R345" s="16" t="str">
        <f t="shared" si="81"/>
        <v/>
      </c>
      <c r="S345" s="7"/>
      <c r="T345" s="16" t="s">
        <v>25</v>
      </c>
      <c r="U345" s="29" t="str">
        <f>IF($J$1="June","",Y344)</f>
        <v/>
      </c>
      <c r="V345" s="18"/>
      <c r="W345" s="29" t="str">
        <f t="shared" ref="W345:W350" si="84">IF(U345="","",U345+V345)</f>
        <v/>
      </c>
      <c r="X345" s="18"/>
      <c r="Y345" s="29" t="str">
        <f t="shared" ref="Y345:Y350" si="85">IF(W345="","",W345-X345)</f>
        <v/>
      </c>
      <c r="Z345" s="20"/>
    </row>
    <row r="346" spans="1:27" s="5" customFormat="1" ht="18" customHeight="1" x14ac:dyDescent="0.2">
      <c r="A346" s="47"/>
      <c r="B346" s="62" t="s">
        <v>4</v>
      </c>
      <c r="C346" s="68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45"/>
      <c r="E346" s="45"/>
      <c r="F346" s="62" t="s">
        <v>11</v>
      </c>
      <c r="G346" s="6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60"/>
      <c r="I346" s="136" t="s">
        <v>45</v>
      </c>
      <c r="J346" s="137"/>
      <c r="K346" s="63">
        <f>G346</f>
        <v>1500</v>
      </c>
      <c r="L346" s="71"/>
      <c r="N346" s="15"/>
      <c r="O346" s="16" t="s">
        <v>26</v>
      </c>
      <c r="P346" s="16"/>
      <c r="Q346" s="16"/>
      <c r="R346" s="16" t="str">
        <f t="shared" si="81"/>
        <v/>
      </c>
      <c r="S346" s="7"/>
      <c r="T346" s="16" t="s">
        <v>26</v>
      </c>
      <c r="U346" s="29" t="str">
        <f>IF($J$1="July","",Y345)</f>
        <v/>
      </c>
      <c r="V346" s="18"/>
      <c r="W346" s="29" t="str">
        <f t="shared" si="84"/>
        <v/>
      </c>
      <c r="X346" s="18"/>
      <c r="Y346" s="29" t="str">
        <f t="shared" si="85"/>
        <v/>
      </c>
      <c r="Z346" s="20"/>
    </row>
    <row r="347" spans="1:27" s="5" customFormat="1" ht="18" customHeight="1" x14ac:dyDescent="0.2">
      <c r="A347" s="47"/>
      <c r="B347" s="77" t="s">
        <v>43</v>
      </c>
      <c r="C347" s="68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45"/>
      <c r="E347" s="45"/>
      <c r="F347" s="77" t="s">
        <v>86</v>
      </c>
      <c r="G347" s="63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45"/>
      <c r="I347" s="141" t="s">
        <v>38</v>
      </c>
      <c r="J347" s="143"/>
      <c r="K347" s="41">
        <f>K345-K346</f>
        <v>38780.172413793101</v>
      </c>
      <c r="L347" s="72"/>
      <c r="N347" s="15"/>
      <c r="O347" s="16" t="s">
        <v>31</v>
      </c>
      <c r="P347" s="16"/>
      <c r="Q347" s="16"/>
      <c r="R347" s="16" t="str">
        <f t="shared" si="81"/>
        <v/>
      </c>
      <c r="S347" s="7"/>
      <c r="T347" s="16" t="s">
        <v>31</v>
      </c>
      <c r="U347" s="29" t="str">
        <f>Y346</f>
        <v/>
      </c>
      <c r="V347" s="18"/>
      <c r="W347" s="29" t="str">
        <f t="shared" si="84"/>
        <v/>
      </c>
      <c r="X347" s="18"/>
      <c r="Y347" s="29" t="str">
        <f t="shared" si="85"/>
        <v/>
      </c>
      <c r="Z347" s="20"/>
    </row>
    <row r="348" spans="1:27" s="5" customFormat="1" ht="18" customHeight="1" x14ac:dyDescent="0.2">
      <c r="A348" s="47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59"/>
      <c r="N348" s="15"/>
      <c r="O348" s="16" t="s">
        <v>27</v>
      </c>
      <c r="P348" s="16"/>
      <c r="Q348" s="16"/>
      <c r="R348" s="16" t="str">
        <f t="shared" si="81"/>
        <v/>
      </c>
      <c r="S348" s="7"/>
      <c r="T348" s="16" t="s">
        <v>27</v>
      </c>
      <c r="U348" s="29" t="str">
        <f>Y347</f>
        <v/>
      </c>
      <c r="V348" s="18"/>
      <c r="W348" s="29" t="str">
        <f t="shared" si="84"/>
        <v/>
      </c>
      <c r="X348" s="18"/>
      <c r="Y348" s="29" t="str">
        <f t="shared" si="85"/>
        <v/>
      </c>
      <c r="Z348" s="20"/>
    </row>
    <row r="349" spans="1:27" s="5" customFormat="1" ht="18" customHeight="1" x14ac:dyDescent="0.3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59"/>
      <c r="N349" s="15"/>
      <c r="O349" s="16" t="s">
        <v>32</v>
      </c>
      <c r="P349" s="16"/>
      <c r="Q349" s="16"/>
      <c r="R349" s="16" t="str">
        <f t="shared" si="81"/>
        <v/>
      </c>
      <c r="S349" s="7"/>
      <c r="T349" s="16" t="s">
        <v>32</v>
      </c>
      <c r="U349" s="29" t="str">
        <f>Y348</f>
        <v/>
      </c>
      <c r="V349" s="18"/>
      <c r="W349" s="29" t="str">
        <f t="shared" si="84"/>
        <v/>
      </c>
      <c r="X349" s="18"/>
      <c r="Y349" s="29" t="str">
        <f t="shared" si="85"/>
        <v/>
      </c>
      <c r="Z349" s="20"/>
    </row>
    <row r="350" spans="1:27" s="5" customFormat="1" ht="18" customHeight="1" thickBot="1" x14ac:dyDescent="0.35">
      <c r="A350" s="73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5"/>
      <c r="N350" s="15"/>
      <c r="O350" s="16" t="s">
        <v>33</v>
      </c>
      <c r="P350" s="16"/>
      <c r="Q350" s="16"/>
      <c r="R350" s="16" t="str">
        <f t="shared" si="81"/>
        <v/>
      </c>
      <c r="S350" s="7"/>
      <c r="T350" s="16" t="s">
        <v>33</v>
      </c>
      <c r="U350" s="29">
        <v>0</v>
      </c>
      <c r="V350" s="18"/>
      <c r="W350" s="29">
        <f t="shared" si="84"/>
        <v>0</v>
      </c>
      <c r="X350" s="18"/>
      <c r="Y350" s="29">
        <f t="shared" si="85"/>
        <v>0</v>
      </c>
      <c r="Z350" s="20"/>
    </row>
    <row r="351" spans="1:27" s="27" customFormat="1" ht="18" customHeight="1" thickBot="1" x14ac:dyDescent="0.25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7" s="5" customFormat="1" ht="18" customHeight="1" thickBot="1" x14ac:dyDescent="0.25">
      <c r="A352" s="138" t="s">
        <v>15</v>
      </c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40"/>
      <c r="M352" s="4"/>
      <c r="N352" s="8"/>
      <c r="O352" s="133" t="s">
        <v>17</v>
      </c>
      <c r="P352" s="134"/>
      <c r="Q352" s="134"/>
      <c r="R352" s="135"/>
      <c r="S352" s="9"/>
      <c r="T352" s="133" t="s">
        <v>18</v>
      </c>
      <c r="U352" s="134"/>
      <c r="V352" s="134"/>
      <c r="W352" s="134"/>
      <c r="X352" s="134"/>
      <c r="Y352" s="135"/>
      <c r="Z352" s="10"/>
    </row>
    <row r="353" spans="1:26" s="5" customFormat="1" ht="18" customHeight="1" x14ac:dyDescent="0.2">
      <c r="A353" s="47"/>
      <c r="B353" s="45"/>
      <c r="C353" s="147" t="s">
        <v>94</v>
      </c>
      <c r="D353" s="147"/>
      <c r="E353" s="147"/>
      <c r="F353" s="147"/>
      <c r="G353" s="48" t="str">
        <f>$J$1</f>
        <v>February</v>
      </c>
      <c r="H353" s="146">
        <f>$K$1</f>
        <v>2024</v>
      </c>
      <c r="I353" s="146"/>
      <c r="J353" s="45"/>
      <c r="K353" s="49"/>
      <c r="L353" s="50"/>
      <c r="M353" s="6"/>
      <c r="N353" s="11"/>
      <c r="O353" s="12" t="s">
        <v>28</v>
      </c>
      <c r="P353" s="12" t="s">
        <v>5</v>
      </c>
      <c r="Q353" s="12" t="s">
        <v>4</v>
      </c>
      <c r="R353" s="12" t="s">
        <v>29</v>
      </c>
      <c r="S353" s="13"/>
      <c r="T353" s="12" t="s">
        <v>28</v>
      </c>
      <c r="U353" s="12" t="s">
        <v>30</v>
      </c>
      <c r="V353" s="12" t="s">
        <v>10</v>
      </c>
      <c r="W353" s="12" t="s">
        <v>9</v>
      </c>
      <c r="X353" s="12" t="s">
        <v>11</v>
      </c>
      <c r="Y353" s="12" t="s">
        <v>34</v>
      </c>
      <c r="Z353" s="14"/>
    </row>
    <row r="354" spans="1:26" s="5" customFormat="1" ht="18" customHeight="1" x14ac:dyDescent="0.2">
      <c r="A354" s="47"/>
      <c r="B354" s="45"/>
      <c r="C354" s="45"/>
      <c r="D354" s="51"/>
      <c r="E354" s="51"/>
      <c r="F354" s="51"/>
      <c r="G354" s="51"/>
      <c r="H354" s="51"/>
      <c r="I354" s="45"/>
      <c r="J354" s="52" t="s">
        <v>1</v>
      </c>
      <c r="K354" s="53">
        <f>21000+6000</f>
        <v>27000</v>
      </c>
      <c r="L354" s="54"/>
      <c r="N354" s="15"/>
      <c r="O354" s="16" t="s">
        <v>20</v>
      </c>
      <c r="P354" s="16">
        <v>30</v>
      </c>
      <c r="Q354" s="16">
        <v>1</v>
      </c>
      <c r="R354" s="16">
        <f>15-Q354</f>
        <v>14</v>
      </c>
      <c r="S354" s="17"/>
      <c r="T354" s="16" t="s">
        <v>20</v>
      </c>
      <c r="U354" s="18"/>
      <c r="V354" s="18"/>
      <c r="W354" s="18">
        <f>V354+U354</f>
        <v>0</v>
      </c>
      <c r="X354" s="18"/>
      <c r="Y354" s="18">
        <f>W354-X354</f>
        <v>0</v>
      </c>
      <c r="Z354" s="14"/>
    </row>
    <row r="355" spans="1:26" s="5" customFormat="1" ht="18" customHeight="1" x14ac:dyDescent="0.2">
      <c r="A355" s="47"/>
      <c r="B355" s="45" t="s">
        <v>0</v>
      </c>
      <c r="C355" s="44" t="s">
        <v>58</v>
      </c>
      <c r="D355" s="45"/>
      <c r="E355" s="45"/>
      <c r="F355" s="45"/>
      <c r="G355" s="45"/>
      <c r="H355" s="55"/>
      <c r="I355" s="51"/>
      <c r="J355" s="45"/>
      <c r="K355" s="45"/>
      <c r="L355" s="56"/>
      <c r="M355" s="4"/>
      <c r="N355" s="19"/>
      <c r="O355" s="16" t="s">
        <v>46</v>
      </c>
      <c r="P355" s="16">
        <v>27</v>
      </c>
      <c r="Q355" s="16">
        <v>2</v>
      </c>
      <c r="R355" s="16">
        <f t="shared" ref="R355:R364" si="86">IF(Q355="","",R354-Q355)</f>
        <v>12</v>
      </c>
      <c r="S355" s="7"/>
      <c r="T355" s="16" t="s">
        <v>46</v>
      </c>
      <c r="U355" s="29">
        <f>IF($J$1="January","",Y354)</f>
        <v>0</v>
      </c>
      <c r="V355" s="18"/>
      <c r="W355" s="29">
        <f>IF(U355="","",U355+V355)</f>
        <v>0</v>
      </c>
      <c r="X355" s="18"/>
      <c r="Y355" s="29">
        <f>IF(W355="","",W355-X355)</f>
        <v>0</v>
      </c>
      <c r="Z355" s="20"/>
    </row>
    <row r="356" spans="1:26" s="5" customFormat="1" ht="18" customHeight="1" x14ac:dyDescent="0.2">
      <c r="A356" s="47"/>
      <c r="B356" s="57" t="s">
        <v>16</v>
      </c>
      <c r="C356" s="58"/>
      <c r="D356" s="45"/>
      <c r="E356" s="45"/>
      <c r="F356" s="141" t="s">
        <v>18</v>
      </c>
      <c r="G356" s="143"/>
      <c r="H356" s="45"/>
      <c r="I356" s="141" t="s">
        <v>19</v>
      </c>
      <c r="J356" s="142"/>
      <c r="K356" s="143"/>
      <c r="L356" s="59"/>
      <c r="N356" s="15"/>
      <c r="O356" s="16" t="s">
        <v>21</v>
      </c>
      <c r="P356" s="16"/>
      <c r="Q356" s="16"/>
      <c r="R356" s="16" t="str">
        <f t="shared" si="86"/>
        <v/>
      </c>
      <c r="S356" s="7"/>
      <c r="T356" s="16" t="s">
        <v>21</v>
      </c>
      <c r="U356" s="29" t="str">
        <f>IF($J$1="February","",Y355)</f>
        <v/>
      </c>
      <c r="V356" s="18"/>
      <c r="W356" s="29" t="str">
        <f t="shared" ref="W356:W359" si="87">IF(U356="","",U356+V356)</f>
        <v/>
      </c>
      <c r="X356" s="18"/>
      <c r="Y356" s="29" t="str">
        <f t="shared" ref="Y356:Y359" si="88">IF(W356="","",W356-X356)</f>
        <v/>
      </c>
      <c r="Z356" s="20"/>
    </row>
    <row r="357" spans="1:26" s="5" customFormat="1" ht="18" customHeight="1" x14ac:dyDescent="0.2">
      <c r="A357" s="47"/>
      <c r="B357" s="45"/>
      <c r="C357" s="45"/>
      <c r="D357" s="45"/>
      <c r="E357" s="45"/>
      <c r="F357" s="45"/>
      <c r="G357" s="45"/>
      <c r="H357" s="60"/>
      <c r="I357" s="45"/>
      <c r="J357" s="45"/>
      <c r="K357" s="45"/>
      <c r="L357" s="61"/>
      <c r="N357" s="15"/>
      <c r="O357" s="16" t="s">
        <v>22</v>
      </c>
      <c r="P357" s="16"/>
      <c r="Q357" s="16"/>
      <c r="R357" s="16" t="str">
        <f t="shared" si="86"/>
        <v/>
      </c>
      <c r="S357" s="7"/>
      <c r="T357" s="16" t="s">
        <v>22</v>
      </c>
      <c r="U357" s="29" t="str">
        <f>IF($J$1="March","",Y356)</f>
        <v/>
      </c>
      <c r="V357" s="18"/>
      <c r="W357" s="29" t="str">
        <f t="shared" si="87"/>
        <v/>
      </c>
      <c r="X357" s="18"/>
      <c r="Y357" s="29" t="str">
        <f t="shared" si="88"/>
        <v/>
      </c>
      <c r="Z357" s="20"/>
    </row>
    <row r="358" spans="1:26" s="5" customFormat="1" ht="18" customHeight="1" x14ac:dyDescent="0.2">
      <c r="A358" s="47"/>
      <c r="B358" s="144" t="s">
        <v>17</v>
      </c>
      <c r="C358" s="145"/>
      <c r="D358" s="45"/>
      <c r="E358" s="45"/>
      <c r="F358" s="62" t="s">
        <v>39</v>
      </c>
      <c r="G358" s="63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60"/>
      <c r="I358" s="64">
        <f>IF(C362&gt;=C361,$K$2,C360+C362)</f>
        <v>29</v>
      </c>
      <c r="J358" s="65" t="s">
        <v>36</v>
      </c>
      <c r="K358" s="66">
        <f>K354/$K$2*I358</f>
        <v>27000</v>
      </c>
      <c r="L358" s="67"/>
      <c r="N358" s="15"/>
      <c r="O358" s="16" t="s">
        <v>23</v>
      </c>
      <c r="P358" s="16"/>
      <c r="Q358" s="16"/>
      <c r="R358" s="16" t="str">
        <f t="shared" si="86"/>
        <v/>
      </c>
      <c r="S358" s="7"/>
      <c r="T358" s="16" t="s">
        <v>23</v>
      </c>
      <c r="U358" s="29" t="str">
        <f>IF($J$1="April","",Y357)</f>
        <v/>
      </c>
      <c r="V358" s="18"/>
      <c r="W358" s="29" t="str">
        <f t="shared" si="87"/>
        <v/>
      </c>
      <c r="X358" s="18"/>
      <c r="Y358" s="29" t="str">
        <f t="shared" si="88"/>
        <v/>
      </c>
      <c r="Z358" s="20"/>
    </row>
    <row r="359" spans="1:26" s="5" customFormat="1" ht="18" customHeight="1" x14ac:dyDescent="0.2">
      <c r="A359" s="47"/>
      <c r="B359" s="68"/>
      <c r="C359" s="68"/>
      <c r="D359" s="45"/>
      <c r="E359" s="45"/>
      <c r="F359" s="62" t="s">
        <v>10</v>
      </c>
      <c r="G359" s="6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60"/>
      <c r="I359" s="64">
        <v>6</v>
      </c>
      <c r="J359" s="65" t="s">
        <v>37</v>
      </c>
      <c r="K359" s="69">
        <f>K354/$K$2/8*I359</f>
        <v>698.27586206896558</v>
      </c>
      <c r="L359" s="70"/>
      <c r="N359" s="15"/>
      <c r="O359" s="16" t="s">
        <v>24</v>
      </c>
      <c r="P359" s="16"/>
      <c r="Q359" s="16"/>
      <c r="R359" s="16" t="str">
        <f t="shared" si="86"/>
        <v/>
      </c>
      <c r="S359" s="7"/>
      <c r="T359" s="16" t="s">
        <v>24</v>
      </c>
      <c r="U359" s="29" t="str">
        <f>Y358</f>
        <v/>
      </c>
      <c r="V359" s="18"/>
      <c r="W359" s="29" t="str">
        <f t="shared" si="87"/>
        <v/>
      </c>
      <c r="X359" s="18"/>
      <c r="Y359" s="29" t="str">
        <f t="shared" si="88"/>
        <v/>
      </c>
      <c r="Z359" s="20"/>
    </row>
    <row r="360" spans="1:26" s="5" customFormat="1" ht="18" customHeight="1" x14ac:dyDescent="0.2">
      <c r="A360" s="47"/>
      <c r="B360" s="62" t="s">
        <v>5</v>
      </c>
      <c r="C360" s="68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45"/>
      <c r="E360" s="45"/>
      <c r="F360" s="62" t="s">
        <v>40</v>
      </c>
      <c r="G360" s="63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60"/>
      <c r="I360" s="136" t="s">
        <v>44</v>
      </c>
      <c r="J360" s="137"/>
      <c r="K360" s="69">
        <f>K358+K359</f>
        <v>27698.275862068964</v>
      </c>
      <c r="L360" s="70"/>
      <c r="N360" s="15"/>
      <c r="O360" s="16" t="s">
        <v>25</v>
      </c>
      <c r="P360" s="16"/>
      <c r="Q360" s="16"/>
      <c r="R360" s="16" t="str">
        <f t="shared" si="86"/>
        <v/>
      </c>
      <c r="S360" s="7"/>
      <c r="T360" s="16" t="s">
        <v>25</v>
      </c>
      <c r="U360" s="29" t="str">
        <f>Y359</f>
        <v/>
      </c>
      <c r="V360" s="18"/>
      <c r="W360" s="29" t="str">
        <f t="shared" ref="W360:W363" si="89">IF(U360="","",U360+V360)</f>
        <v/>
      </c>
      <c r="X360" s="18"/>
      <c r="Y360" s="29" t="str">
        <f t="shared" ref="Y360:Y363" si="90">IF(W360="","",W360-X360)</f>
        <v/>
      </c>
      <c r="Z360" s="20"/>
    </row>
    <row r="361" spans="1:26" s="5" customFormat="1" ht="18" customHeight="1" x14ac:dyDescent="0.2">
      <c r="A361" s="47"/>
      <c r="B361" s="62" t="s">
        <v>4</v>
      </c>
      <c r="C361" s="68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45"/>
      <c r="E361" s="45"/>
      <c r="F361" s="62" t="s">
        <v>11</v>
      </c>
      <c r="G361" s="6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60"/>
      <c r="I361" s="136" t="s">
        <v>45</v>
      </c>
      <c r="J361" s="137"/>
      <c r="K361" s="63">
        <f>G361</f>
        <v>0</v>
      </c>
      <c r="L361" s="71"/>
      <c r="N361" s="15"/>
      <c r="O361" s="16" t="s">
        <v>26</v>
      </c>
      <c r="P361" s="16"/>
      <c r="Q361" s="16"/>
      <c r="R361" s="16" t="str">
        <f t="shared" si="86"/>
        <v/>
      </c>
      <c r="S361" s="7"/>
      <c r="T361" s="16" t="s">
        <v>26</v>
      </c>
      <c r="U361" s="29"/>
      <c r="V361" s="18"/>
      <c r="W361" s="29" t="str">
        <f t="shared" si="89"/>
        <v/>
      </c>
      <c r="X361" s="18"/>
      <c r="Y361" s="29" t="str">
        <f t="shared" si="90"/>
        <v/>
      </c>
      <c r="Z361" s="20"/>
    </row>
    <row r="362" spans="1:26" s="5" customFormat="1" ht="18" customHeight="1" x14ac:dyDescent="0.2">
      <c r="A362" s="47"/>
      <c r="B362" s="77" t="s">
        <v>43</v>
      </c>
      <c r="C362" s="68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45"/>
      <c r="E362" s="45"/>
      <c r="F362" s="77" t="s">
        <v>86</v>
      </c>
      <c r="G362" s="63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45"/>
      <c r="I362" s="141" t="s">
        <v>38</v>
      </c>
      <c r="J362" s="143"/>
      <c r="K362" s="41">
        <f>K360-K361</f>
        <v>27698.275862068964</v>
      </c>
      <c r="L362" s="72"/>
      <c r="N362" s="15"/>
      <c r="O362" s="16" t="s">
        <v>31</v>
      </c>
      <c r="P362" s="16"/>
      <c r="Q362" s="16"/>
      <c r="R362" s="16" t="str">
        <f t="shared" si="86"/>
        <v/>
      </c>
      <c r="S362" s="7"/>
      <c r="T362" s="16" t="s">
        <v>31</v>
      </c>
      <c r="U362" s="29" t="str">
        <f>IF($J$1="September",Y361,"")</f>
        <v/>
      </c>
      <c r="V362" s="18"/>
      <c r="W362" s="29" t="str">
        <f t="shared" si="89"/>
        <v/>
      </c>
      <c r="X362" s="18"/>
      <c r="Y362" s="29" t="str">
        <f t="shared" si="90"/>
        <v/>
      </c>
      <c r="Z362" s="20"/>
    </row>
    <row r="363" spans="1:26" s="5" customFormat="1" ht="18" customHeight="1" x14ac:dyDescent="0.2">
      <c r="A363" s="47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59"/>
      <c r="N363" s="15"/>
      <c r="O363" s="16" t="s">
        <v>27</v>
      </c>
      <c r="P363" s="16"/>
      <c r="Q363" s="16"/>
      <c r="R363" s="16" t="str">
        <f t="shared" si="86"/>
        <v/>
      </c>
      <c r="S363" s="7"/>
      <c r="T363" s="16" t="s">
        <v>27</v>
      </c>
      <c r="U363" s="29" t="str">
        <f>Y362</f>
        <v/>
      </c>
      <c r="V363" s="18"/>
      <c r="W363" s="29" t="str">
        <f t="shared" si="89"/>
        <v/>
      </c>
      <c r="X363" s="18"/>
      <c r="Y363" s="29" t="str">
        <f t="shared" si="90"/>
        <v/>
      </c>
      <c r="Z363" s="20"/>
    </row>
    <row r="364" spans="1:26" s="5" customFormat="1" ht="18" customHeight="1" x14ac:dyDescent="0.3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59"/>
      <c r="N364" s="15"/>
      <c r="O364" s="16" t="s">
        <v>32</v>
      </c>
      <c r="P364" s="16"/>
      <c r="Q364" s="16"/>
      <c r="R364" s="16" t="str">
        <f t="shared" si="86"/>
        <v/>
      </c>
      <c r="S364" s="7"/>
      <c r="T364" s="16" t="s">
        <v>32</v>
      </c>
      <c r="U364" s="29" t="str">
        <f>Y363</f>
        <v/>
      </c>
      <c r="V364" s="18"/>
      <c r="W364" s="29" t="str">
        <f t="shared" ref="W364:W365" si="91">IF(U364="","",U364+V364)</f>
        <v/>
      </c>
      <c r="X364" s="18"/>
      <c r="Y364" s="29" t="str">
        <f t="shared" ref="Y364:Y365" si="92">IF(W364="","",W364-X364)</f>
        <v/>
      </c>
      <c r="Z364" s="20"/>
    </row>
    <row r="365" spans="1:26" s="5" customFormat="1" ht="18" customHeight="1" thickBot="1" x14ac:dyDescent="0.35">
      <c r="A365" s="73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5"/>
      <c r="N365" s="15"/>
      <c r="O365" s="16" t="s">
        <v>33</v>
      </c>
      <c r="P365" s="16"/>
      <c r="Q365" s="16"/>
      <c r="R365" s="16">
        <v>0</v>
      </c>
      <c r="S365" s="7"/>
      <c r="T365" s="16" t="s">
        <v>33</v>
      </c>
      <c r="U365" s="29">
        <v>0</v>
      </c>
      <c r="V365" s="18"/>
      <c r="W365" s="29">
        <f t="shared" si="91"/>
        <v>0</v>
      </c>
      <c r="X365" s="18"/>
      <c r="Y365" s="29">
        <f t="shared" si="92"/>
        <v>0</v>
      </c>
      <c r="Z365" s="20"/>
    </row>
    <row r="366" spans="1:26" s="27" customFormat="1" ht="18" customHeight="1" thickBot="1" x14ac:dyDescent="0.25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s="5" customFormat="1" ht="18" customHeight="1" thickBot="1" x14ac:dyDescent="0.25">
      <c r="A367" s="138" t="s">
        <v>15</v>
      </c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40"/>
      <c r="M367" s="4"/>
      <c r="N367" s="8"/>
      <c r="O367" s="133" t="s">
        <v>17</v>
      </c>
      <c r="P367" s="134"/>
      <c r="Q367" s="134"/>
      <c r="R367" s="135"/>
      <c r="S367" s="9"/>
      <c r="T367" s="133" t="s">
        <v>18</v>
      </c>
      <c r="U367" s="134"/>
      <c r="V367" s="134"/>
      <c r="W367" s="134"/>
      <c r="X367" s="134"/>
      <c r="Y367" s="135"/>
      <c r="Z367" s="10"/>
    </row>
    <row r="368" spans="1:26" s="5" customFormat="1" ht="18" customHeight="1" x14ac:dyDescent="0.2">
      <c r="A368" s="47"/>
      <c r="B368" s="45"/>
      <c r="C368" s="147" t="s">
        <v>94</v>
      </c>
      <c r="D368" s="147"/>
      <c r="E368" s="147"/>
      <c r="F368" s="147"/>
      <c r="G368" s="48" t="str">
        <f>$J$1</f>
        <v>February</v>
      </c>
      <c r="H368" s="146">
        <f>$K$1</f>
        <v>2024</v>
      </c>
      <c r="I368" s="146"/>
      <c r="J368" s="45"/>
      <c r="K368" s="49"/>
      <c r="L368" s="50"/>
      <c r="M368" s="6"/>
      <c r="N368" s="11"/>
      <c r="O368" s="12" t="s">
        <v>28</v>
      </c>
      <c r="P368" s="12" t="s">
        <v>5</v>
      </c>
      <c r="Q368" s="12" t="s">
        <v>4</v>
      </c>
      <c r="R368" s="12" t="s">
        <v>29</v>
      </c>
      <c r="S368" s="13"/>
      <c r="T368" s="12" t="s">
        <v>28</v>
      </c>
      <c r="U368" s="12" t="s">
        <v>30</v>
      </c>
      <c r="V368" s="12" t="s">
        <v>10</v>
      </c>
      <c r="W368" s="12" t="s">
        <v>9</v>
      </c>
      <c r="X368" s="12" t="s">
        <v>11</v>
      </c>
      <c r="Y368" s="12" t="s">
        <v>34</v>
      </c>
      <c r="Z368" s="14"/>
    </row>
    <row r="369" spans="1:27" s="5" customFormat="1" ht="18" customHeight="1" x14ac:dyDescent="0.2">
      <c r="A369" s="47"/>
      <c r="B369" s="45"/>
      <c r="C369" s="45"/>
      <c r="D369" s="51"/>
      <c r="E369" s="51"/>
      <c r="F369" s="51"/>
      <c r="G369" s="51"/>
      <c r="H369" s="51"/>
      <c r="I369" s="45"/>
      <c r="J369" s="52" t="s">
        <v>1</v>
      </c>
      <c r="K369" s="53">
        <v>25000</v>
      </c>
      <c r="L369" s="54"/>
      <c r="N369" s="15"/>
      <c r="O369" s="16" t="s">
        <v>20</v>
      </c>
      <c r="P369" s="16">
        <v>31</v>
      </c>
      <c r="Q369" s="16">
        <v>0</v>
      </c>
      <c r="R369" s="16">
        <v>0</v>
      </c>
      <c r="S369" s="17"/>
      <c r="T369" s="16" t="s">
        <v>20</v>
      </c>
      <c r="U369" s="18"/>
      <c r="V369" s="18"/>
      <c r="W369" s="18">
        <f>V369+U369</f>
        <v>0</v>
      </c>
      <c r="X369" s="18"/>
      <c r="Y369" s="18">
        <f>W369-X369</f>
        <v>0</v>
      </c>
      <c r="Z369" s="14"/>
    </row>
    <row r="370" spans="1:27" s="5" customFormat="1" ht="18" customHeight="1" x14ac:dyDescent="0.2">
      <c r="A370" s="47"/>
      <c r="B370" s="45" t="s">
        <v>0</v>
      </c>
      <c r="C370" s="44" t="s">
        <v>101</v>
      </c>
      <c r="D370" s="45"/>
      <c r="E370" s="45"/>
      <c r="F370" s="45"/>
      <c r="G370" s="45"/>
      <c r="H370" s="55"/>
      <c r="I370" s="51"/>
      <c r="J370" s="45"/>
      <c r="K370" s="45"/>
      <c r="L370" s="56"/>
      <c r="M370" s="4"/>
      <c r="N370" s="19"/>
      <c r="O370" s="16" t="s">
        <v>46</v>
      </c>
      <c r="P370" s="16">
        <v>29</v>
      </c>
      <c r="Q370" s="16">
        <v>0</v>
      </c>
      <c r="R370" s="16">
        <v>0</v>
      </c>
      <c r="S370" s="7"/>
      <c r="T370" s="16" t="s">
        <v>46</v>
      </c>
      <c r="U370" s="29">
        <f>IF($J$1="January","",Y369)</f>
        <v>0</v>
      </c>
      <c r="V370" s="18">
        <v>2000</v>
      </c>
      <c r="W370" s="29">
        <f>IF(U370="","",U370+V370)</f>
        <v>2000</v>
      </c>
      <c r="X370" s="18">
        <v>2000</v>
      </c>
      <c r="Y370" s="29">
        <f>IF(W370="","",W370-X370)</f>
        <v>0</v>
      </c>
      <c r="Z370" s="20"/>
    </row>
    <row r="371" spans="1:27" s="5" customFormat="1" ht="18" customHeight="1" x14ac:dyDescent="0.2">
      <c r="A371" s="47"/>
      <c r="B371" s="57" t="s">
        <v>16</v>
      </c>
      <c r="C371" s="58"/>
      <c r="D371" s="45"/>
      <c r="E371" s="45"/>
      <c r="F371" s="141" t="s">
        <v>18</v>
      </c>
      <c r="G371" s="143"/>
      <c r="H371" s="45"/>
      <c r="I371" s="141" t="s">
        <v>19</v>
      </c>
      <c r="J371" s="142"/>
      <c r="K371" s="143"/>
      <c r="L371" s="59"/>
      <c r="N371" s="15"/>
      <c r="O371" s="16" t="s">
        <v>21</v>
      </c>
      <c r="P371" s="16"/>
      <c r="Q371" s="16"/>
      <c r="R371" s="16">
        <v>0</v>
      </c>
      <c r="S371" s="7"/>
      <c r="T371" s="16" t="s">
        <v>21</v>
      </c>
      <c r="U371" s="29" t="str">
        <f>IF($J$1="February","",Y370)</f>
        <v/>
      </c>
      <c r="V371" s="18"/>
      <c r="W371" s="29" t="str">
        <f t="shared" ref="W371:W374" si="93">IF(U371="","",U371+V371)</f>
        <v/>
      </c>
      <c r="X371" s="18"/>
      <c r="Y371" s="29" t="str">
        <f t="shared" ref="Y371:Y374" si="94">IF(W371="","",W371-X371)</f>
        <v/>
      </c>
      <c r="Z371" s="20"/>
    </row>
    <row r="372" spans="1:27" s="5" customFormat="1" ht="18" customHeight="1" x14ac:dyDescent="0.2">
      <c r="A372" s="47"/>
      <c r="B372" s="45"/>
      <c r="C372" s="45"/>
      <c r="D372" s="45"/>
      <c r="E372" s="45"/>
      <c r="F372" s="45"/>
      <c r="G372" s="45"/>
      <c r="H372" s="60"/>
      <c r="I372" s="45"/>
      <c r="J372" s="45"/>
      <c r="K372" s="45"/>
      <c r="L372" s="61"/>
      <c r="N372" s="15"/>
      <c r="O372" s="16" t="s">
        <v>22</v>
      </c>
      <c r="P372" s="16"/>
      <c r="Q372" s="16"/>
      <c r="R372" s="16">
        <v>0</v>
      </c>
      <c r="S372" s="7"/>
      <c r="T372" s="16" t="s">
        <v>22</v>
      </c>
      <c r="U372" s="29" t="str">
        <f>IF($J$1="March","",Y371)</f>
        <v/>
      </c>
      <c r="V372" s="18"/>
      <c r="W372" s="29" t="str">
        <f t="shared" si="93"/>
        <v/>
      </c>
      <c r="X372" s="18"/>
      <c r="Y372" s="29" t="str">
        <f t="shared" si="94"/>
        <v/>
      </c>
      <c r="Z372" s="20"/>
    </row>
    <row r="373" spans="1:27" s="5" customFormat="1" ht="18" customHeight="1" x14ac:dyDescent="0.2">
      <c r="A373" s="47"/>
      <c r="B373" s="144" t="s">
        <v>17</v>
      </c>
      <c r="C373" s="145"/>
      <c r="D373" s="45"/>
      <c r="E373" s="45"/>
      <c r="F373" s="62" t="s">
        <v>39</v>
      </c>
      <c r="G373" s="63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60"/>
      <c r="I373" s="64">
        <f>IF(C377&gt;=C376,$K$2,C375+C377)</f>
        <v>29</v>
      </c>
      <c r="J373" s="65" t="s">
        <v>36</v>
      </c>
      <c r="K373" s="66">
        <f>K369/$K$2*I373</f>
        <v>25000</v>
      </c>
      <c r="L373" s="67"/>
      <c r="N373" s="15"/>
      <c r="O373" s="16" t="s">
        <v>23</v>
      </c>
      <c r="P373" s="16"/>
      <c r="Q373" s="16"/>
      <c r="R373" s="16">
        <v>0</v>
      </c>
      <c r="S373" s="7"/>
      <c r="T373" s="16" t="s">
        <v>23</v>
      </c>
      <c r="U373" s="29" t="str">
        <f>IF($J$1="April","",Y372)</f>
        <v/>
      </c>
      <c r="V373" s="18"/>
      <c r="W373" s="29" t="str">
        <f t="shared" si="93"/>
        <v/>
      </c>
      <c r="X373" s="18"/>
      <c r="Y373" s="29" t="str">
        <f t="shared" si="94"/>
        <v/>
      </c>
      <c r="Z373" s="20"/>
    </row>
    <row r="374" spans="1:27" s="5" customFormat="1" ht="18" customHeight="1" x14ac:dyDescent="0.2">
      <c r="A374" s="47"/>
      <c r="B374" s="68"/>
      <c r="C374" s="68"/>
      <c r="D374" s="45"/>
      <c r="E374" s="45"/>
      <c r="F374" s="62" t="s">
        <v>10</v>
      </c>
      <c r="G374" s="63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60"/>
      <c r="I374" s="64">
        <v>8</v>
      </c>
      <c r="J374" s="65" t="s">
        <v>37</v>
      </c>
      <c r="K374" s="69">
        <f>K369/$K$2/8*I374</f>
        <v>862.06896551724139</v>
      </c>
      <c r="L374" s="70"/>
      <c r="N374" s="15"/>
      <c r="O374" s="16" t="s">
        <v>24</v>
      </c>
      <c r="P374" s="16"/>
      <c r="Q374" s="16"/>
      <c r="R374" s="16">
        <v>0</v>
      </c>
      <c r="S374" s="7"/>
      <c r="T374" s="16" t="s">
        <v>24</v>
      </c>
      <c r="U374" s="29" t="str">
        <f>Y373</f>
        <v/>
      </c>
      <c r="V374" s="18"/>
      <c r="W374" s="29" t="str">
        <f t="shared" si="93"/>
        <v/>
      </c>
      <c r="X374" s="18"/>
      <c r="Y374" s="29" t="str">
        <f t="shared" si="94"/>
        <v/>
      </c>
      <c r="Z374" s="20"/>
    </row>
    <row r="375" spans="1:27" s="5" customFormat="1" ht="18" customHeight="1" x14ac:dyDescent="0.2">
      <c r="A375" s="47"/>
      <c r="B375" s="62" t="s">
        <v>5</v>
      </c>
      <c r="C375" s="68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45"/>
      <c r="E375" s="45"/>
      <c r="F375" s="62" t="s">
        <v>40</v>
      </c>
      <c r="G375" s="63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60"/>
      <c r="I375" s="136" t="s">
        <v>44</v>
      </c>
      <c r="J375" s="137"/>
      <c r="K375" s="69">
        <f>K373+K374</f>
        <v>25862.068965517243</v>
      </c>
      <c r="L375" s="70"/>
      <c r="N375" s="15"/>
      <c r="O375" s="16" t="s">
        <v>25</v>
      </c>
      <c r="P375" s="16"/>
      <c r="Q375" s="16"/>
      <c r="R375" s="16">
        <v>0</v>
      </c>
      <c r="S375" s="7"/>
      <c r="T375" s="16" t="s">
        <v>25</v>
      </c>
      <c r="U375" s="29" t="str">
        <f>Y374</f>
        <v/>
      </c>
      <c r="V375" s="18"/>
      <c r="W375" s="29" t="str">
        <f t="shared" ref="W375:W380" si="95">IF(U375="","",U375+V375)</f>
        <v/>
      </c>
      <c r="X375" s="18"/>
      <c r="Y375" s="29" t="str">
        <f t="shared" ref="Y375:Y380" si="96">IF(W375="","",W375-X375)</f>
        <v/>
      </c>
      <c r="Z375" s="20"/>
    </row>
    <row r="376" spans="1:27" s="5" customFormat="1" ht="18" customHeight="1" x14ac:dyDescent="0.2">
      <c r="A376" s="47"/>
      <c r="B376" s="62" t="s">
        <v>4</v>
      </c>
      <c r="C376" s="68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45"/>
      <c r="E376" s="45"/>
      <c r="F376" s="62" t="s">
        <v>11</v>
      </c>
      <c r="G376" s="63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60"/>
      <c r="I376" s="136" t="s">
        <v>45</v>
      </c>
      <c r="J376" s="137"/>
      <c r="K376" s="63">
        <f>G376</f>
        <v>2000</v>
      </c>
      <c r="L376" s="71"/>
      <c r="N376" s="15"/>
      <c r="O376" s="16" t="s">
        <v>26</v>
      </c>
      <c r="P376" s="16"/>
      <c r="Q376" s="16"/>
      <c r="R376" s="16">
        <v>0</v>
      </c>
      <c r="S376" s="7"/>
      <c r="T376" s="16" t="s">
        <v>26</v>
      </c>
      <c r="U376" s="29"/>
      <c r="V376" s="18"/>
      <c r="W376" s="29" t="str">
        <f t="shared" si="95"/>
        <v/>
      </c>
      <c r="X376" s="18"/>
      <c r="Y376" s="29" t="str">
        <f t="shared" si="96"/>
        <v/>
      </c>
      <c r="Z376" s="20"/>
    </row>
    <row r="377" spans="1:27" s="5" customFormat="1" ht="18" customHeight="1" x14ac:dyDescent="0.2">
      <c r="A377" s="47"/>
      <c r="B377" s="77" t="s">
        <v>43</v>
      </c>
      <c r="C377" s="68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45"/>
      <c r="E377" s="45"/>
      <c r="F377" s="77" t="s">
        <v>86</v>
      </c>
      <c r="G377" s="63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45"/>
      <c r="I377" s="141" t="s">
        <v>38</v>
      </c>
      <c r="J377" s="143"/>
      <c r="K377" s="41">
        <f>K375-K376</f>
        <v>23862.068965517243</v>
      </c>
      <c r="L377" s="72"/>
      <c r="N377" s="15"/>
      <c r="O377" s="16" t="s">
        <v>31</v>
      </c>
      <c r="P377" s="16"/>
      <c r="Q377" s="16"/>
      <c r="R377" s="16">
        <v>0</v>
      </c>
      <c r="S377" s="7"/>
      <c r="T377" s="16" t="s">
        <v>31</v>
      </c>
      <c r="U377" s="29" t="str">
        <f>IF($J$1="September",Y376,"")</f>
        <v/>
      </c>
      <c r="V377" s="18"/>
      <c r="W377" s="29" t="str">
        <f t="shared" si="95"/>
        <v/>
      </c>
      <c r="X377" s="18"/>
      <c r="Y377" s="29" t="str">
        <f t="shared" si="96"/>
        <v/>
      </c>
      <c r="Z377" s="20"/>
    </row>
    <row r="378" spans="1:27" s="5" customFormat="1" ht="18" customHeight="1" x14ac:dyDescent="0.2">
      <c r="A378" s="47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59"/>
      <c r="N378" s="15"/>
      <c r="O378" s="16" t="s">
        <v>27</v>
      </c>
      <c r="P378" s="16"/>
      <c r="Q378" s="16"/>
      <c r="R378" s="16">
        <v>12</v>
      </c>
      <c r="S378" s="7"/>
      <c r="T378" s="16" t="s">
        <v>27</v>
      </c>
      <c r="U378" s="29" t="str">
        <f>Y377</f>
        <v/>
      </c>
      <c r="V378" s="18"/>
      <c r="W378" s="29" t="str">
        <f t="shared" si="95"/>
        <v/>
      </c>
      <c r="X378" s="18"/>
      <c r="Y378" s="29" t="str">
        <f t="shared" si="96"/>
        <v/>
      </c>
      <c r="Z378" s="20"/>
    </row>
    <row r="379" spans="1:27" s="5" customFormat="1" ht="18" customHeight="1" x14ac:dyDescent="0.3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59"/>
      <c r="N379" s="15"/>
      <c r="O379" s="16" t="s">
        <v>32</v>
      </c>
      <c r="P379" s="16"/>
      <c r="Q379" s="16"/>
      <c r="R379" s="16">
        <f>R378-Q379</f>
        <v>12</v>
      </c>
      <c r="S379" s="7"/>
      <c r="T379" s="16" t="s">
        <v>32</v>
      </c>
      <c r="U379" s="29" t="str">
        <f>Y378</f>
        <v/>
      </c>
      <c r="V379" s="18"/>
      <c r="W379" s="29" t="str">
        <f t="shared" si="95"/>
        <v/>
      </c>
      <c r="X379" s="18"/>
      <c r="Y379" s="29" t="str">
        <f t="shared" si="96"/>
        <v/>
      </c>
      <c r="Z379" s="20"/>
    </row>
    <row r="380" spans="1:27" s="5" customFormat="1" ht="18" customHeight="1" thickBot="1" x14ac:dyDescent="0.35">
      <c r="A380" s="73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5"/>
      <c r="N380" s="15"/>
      <c r="O380" s="16" t="s">
        <v>33</v>
      </c>
      <c r="P380" s="16"/>
      <c r="Q380" s="16"/>
      <c r="R380" s="16">
        <v>0</v>
      </c>
      <c r="S380" s="7"/>
      <c r="T380" s="16" t="s">
        <v>33</v>
      </c>
      <c r="U380" s="29">
        <v>0</v>
      </c>
      <c r="V380" s="18"/>
      <c r="W380" s="29">
        <f t="shared" si="95"/>
        <v>0</v>
      </c>
      <c r="X380" s="18"/>
      <c r="Y380" s="29">
        <f t="shared" si="96"/>
        <v>0</v>
      </c>
      <c r="Z380" s="20"/>
    </row>
    <row r="381" spans="1:27" s="27" customFormat="1" ht="18" customHeight="1" thickBot="1" x14ac:dyDescent="0.25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7" s="5" customFormat="1" ht="18" customHeight="1" thickBot="1" x14ac:dyDescent="0.25">
      <c r="A382" s="138" t="s">
        <v>15</v>
      </c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40"/>
      <c r="M382" s="4"/>
      <c r="N382" s="8"/>
      <c r="O382" s="133" t="s">
        <v>17</v>
      </c>
      <c r="P382" s="134"/>
      <c r="Q382" s="134"/>
      <c r="R382" s="135"/>
      <c r="S382" s="9"/>
      <c r="T382" s="133" t="s">
        <v>18</v>
      </c>
      <c r="U382" s="134"/>
      <c r="V382" s="134"/>
      <c r="W382" s="134"/>
      <c r="X382" s="134"/>
      <c r="Y382" s="135"/>
      <c r="Z382" s="10"/>
      <c r="AA382" s="4"/>
    </row>
    <row r="383" spans="1:27" s="5" customFormat="1" ht="18" customHeight="1" x14ac:dyDescent="0.2">
      <c r="A383" s="47"/>
      <c r="B383" s="45"/>
      <c r="C383" s="147" t="s">
        <v>94</v>
      </c>
      <c r="D383" s="147"/>
      <c r="E383" s="147"/>
      <c r="F383" s="147"/>
      <c r="G383" s="48" t="str">
        <f>$J$1</f>
        <v>February</v>
      </c>
      <c r="H383" s="146">
        <f>$K$1</f>
        <v>2024</v>
      </c>
      <c r="I383" s="146"/>
      <c r="J383" s="45"/>
      <c r="K383" s="49"/>
      <c r="L383" s="50"/>
      <c r="M383" s="6"/>
      <c r="N383" s="11"/>
      <c r="O383" s="12" t="s">
        <v>28</v>
      </c>
      <c r="P383" s="12" t="s">
        <v>5</v>
      </c>
      <c r="Q383" s="12" t="s">
        <v>4</v>
      </c>
      <c r="R383" s="12" t="s">
        <v>29</v>
      </c>
      <c r="S383" s="13"/>
      <c r="T383" s="12" t="s">
        <v>28</v>
      </c>
      <c r="U383" s="12" t="s">
        <v>30</v>
      </c>
      <c r="V383" s="12" t="s">
        <v>10</v>
      </c>
      <c r="W383" s="12" t="s">
        <v>9</v>
      </c>
      <c r="X383" s="12" t="s">
        <v>11</v>
      </c>
      <c r="Y383" s="12" t="s">
        <v>34</v>
      </c>
      <c r="Z383" s="14"/>
      <c r="AA383" s="6"/>
    </row>
    <row r="384" spans="1:27" s="5" customFormat="1" ht="18" customHeight="1" x14ac:dyDescent="0.2">
      <c r="A384" s="47"/>
      <c r="B384" s="45"/>
      <c r="C384" s="45"/>
      <c r="D384" s="51"/>
      <c r="E384" s="51"/>
      <c r="F384" s="51"/>
      <c r="G384" s="51"/>
      <c r="H384" s="51"/>
      <c r="I384" s="45"/>
      <c r="J384" s="52" t="s">
        <v>1</v>
      </c>
      <c r="K384" s="53">
        <f>20000+5000</f>
        <v>25000</v>
      </c>
      <c r="L384" s="54"/>
      <c r="N384" s="15"/>
      <c r="O384" s="16" t="s">
        <v>20</v>
      </c>
      <c r="P384" s="16">
        <v>30</v>
      </c>
      <c r="Q384" s="16">
        <v>1</v>
      </c>
      <c r="R384" s="16">
        <f>15-Q384</f>
        <v>14</v>
      </c>
      <c r="S384" s="17"/>
      <c r="T384" s="16" t="s">
        <v>20</v>
      </c>
      <c r="U384" s="18">
        <v>20000</v>
      </c>
      <c r="V384" s="18"/>
      <c r="W384" s="18">
        <f>V384+U384</f>
        <v>20000</v>
      </c>
      <c r="X384" s="18">
        <v>2000</v>
      </c>
      <c r="Y384" s="18">
        <f>W384-X384</f>
        <v>18000</v>
      </c>
      <c r="Z384" s="14"/>
    </row>
    <row r="385" spans="1:27" s="5" customFormat="1" ht="18" customHeight="1" x14ac:dyDescent="0.2">
      <c r="A385" s="47"/>
      <c r="B385" s="45" t="s">
        <v>0</v>
      </c>
      <c r="C385" s="44" t="s">
        <v>50</v>
      </c>
      <c r="D385" s="45"/>
      <c r="E385" s="45"/>
      <c r="F385" s="45"/>
      <c r="G385" s="45"/>
      <c r="H385" s="55"/>
      <c r="I385" s="51"/>
      <c r="J385" s="45"/>
      <c r="K385" s="45"/>
      <c r="L385" s="56"/>
      <c r="M385" s="4"/>
      <c r="N385" s="19"/>
      <c r="O385" s="16" t="s">
        <v>46</v>
      </c>
      <c r="P385" s="16">
        <v>28</v>
      </c>
      <c r="Q385" s="16">
        <v>1</v>
      </c>
      <c r="R385" s="16">
        <f t="shared" ref="R385:R395" si="97">IF(Q385="","",R384-Q385)</f>
        <v>13</v>
      </c>
      <c r="S385" s="7"/>
      <c r="T385" s="16" t="s">
        <v>46</v>
      </c>
      <c r="U385" s="29">
        <f>Y384</f>
        <v>18000</v>
      </c>
      <c r="V385" s="18"/>
      <c r="W385" s="29">
        <f>IF(U385="","",U385+V385)</f>
        <v>18000</v>
      </c>
      <c r="X385" s="18">
        <v>2000</v>
      </c>
      <c r="Y385" s="18">
        <f>W385-X385</f>
        <v>16000</v>
      </c>
      <c r="Z385" s="20"/>
      <c r="AA385" s="4"/>
    </row>
    <row r="386" spans="1:27" s="5" customFormat="1" ht="18" customHeight="1" x14ac:dyDescent="0.2">
      <c r="A386" s="47"/>
      <c r="B386" s="57" t="s">
        <v>16</v>
      </c>
      <c r="C386" s="58"/>
      <c r="D386" s="45"/>
      <c r="E386" s="45"/>
      <c r="F386" s="141" t="s">
        <v>18</v>
      </c>
      <c r="G386" s="143"/>
      <c r="H386" s="45"/>
      <c r="I386" s="141" t="s">
        <v>19</v>
      </c>
      <c r="J386" s="142"/>
      <c r="K386" s="143"/>
      <c r="L386" s="59"/>
      <c r="N386" s="15"/>
      <c r="O386" s="16" t="s">
        <v>21</v>
      </c>
      <c r="P386" s="16"/>
      <c r="Q386" s="16"/>
      <c r="R386" s="16" t="str">
        <f t="shared" si="97"/>
        <v/>
      </c>
      <c r="S386" s="7"/>
      <c r="T386" s="16" t="s">
        <v>21</v>
      </c>
      <c r="U386" s="29"/>
      <c r="V386" s="18"/>
      <c r="W386" s="29" t="str">
        <f t="shared" ref="W386:W395" si="98">IF(U386="","",U386+V386)</f>
        <v/>
      </c>
      <c r="X386" s="18"/>
      <c r="Y386" s="29" t="str">
        <f t="shared" ref="Y386:Y395" si="99">IF(W386="","",W386-X386)</f>
        <v/>
      </c>
      <c r="Z386" s="20"/>
    </row>
    <row r="387" spans="1:27" s="5" customFormat="1" ht="18" customHeight="1" x14ac:dyDescent="0.2">
      <c r="A387" s="47"/>
      <c r="B387" s="45"/>
      <c r="C387" s="45"/>
      <c r="D387" s="45"/>
      <c r="E387" s="45"/>
      <c r="F387" s="45"/>
      <c r="G387" s="45"/>
      <c r="H387" s="60"/>
      <c r="I387" s="45"/>
      <c r="J387" s="45"/>
      <c r="K387" s="45"/>
      <c r="L387" s="61"/>
      <c r="N387" s="15"/>
      <c r="O387" s="16" t="s">
        <v>22</v>
      </c>
      <c r="P387" s="16"/>
      <c r="Q387" s="16"/>
      <c r="R387" s="16" t="str">
        <f t="shared" si="97"/>
        <v/>
      </c>
      <c r="S387" s="7"/>
      <c r="T387" s="16" t="s">
        <v>22</v>
      </c>
      <c r="U387" s="29"/>
      <c r="V387" s="18"/>
      <c r="W387" s="29" t="str">
        <f t="shared" si="98"/>
        <v/>
      </c>
      <c r="X387" s="18"/>
      <c r="Y387" s="29" t="str">
        <f t="shared" si="99"/>
        <v/>
      </c>
      <c r="Z387" s="20"/>
    </row>
    <row r="388" spans="1:27" s="5" customFormat="1" ht="18" customHeight="1" x14ac:dyDescent="0.2">
      <c r="A388" s="47"/>
      <c r="B388" s="144" t="s">
        <v>17</v>
      </c>
      <c r="C388" s="145"/>
      <c r="D388" s="45"/>
      <c r="E388" s="45"/>
      <c r="F388" s="62" t="s">
        <v>39</v>
      </c>
      <c r="G388" s="63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60"/>
      <c r="I388" s="64">
        <f>IF(C392&gt;=C391,$K$2,C390+C392)</f>
        <v>29</v>
      </c>
      <c r="J388" s="65" t="s">
        <v>36</v>
      </c>
      <c r="K388" s="66">
        <f>K384/$K$2*I388</f>
        <v>25000</v>
      </c>
      <c r="L388" s="67"/>
      <c r="N388" s="15"/>
      <c r="O388" s="16" t="s">
        <v>23</v>
      </c>
      <c r="P388" s="16"/>
      <c r="Q388" s="16"/>
      <c r="R388" s="16" t="str">
        <f t="shared" si="97"/>
        <v/>
      </c>
      <c r="S388" s="7"/>
      <c r="T388" s="16" t="s">
        <v>23</v>
      </c>
      <c r="U388" s="29"/>
      <c r="V388" s="18"/>
      <c r="W388" s="29" t="str">
        <f t="shared" si="98"/>
        <v/>
      </c>
      <c r="X388" s="18"/>
      <c r="Y388" s="29" t="str">
        <f t="shared" si="99"/>
        <v/>
      </c>
      <c r="Z388" s="20"/>
    </row>
    <row r="389" spans="1:27" s="5" customFormat="1" ht="18" customHeight="1" x14ac:dyDescent="0.2">
      <c r="A389" s="47"/>
      <c r="B389" s="68"/>
      <c r="C389" s="68"/>
      <c r="D389" s="45"/>
      <c r="E389" s="45"/>
      <c r="F389" s="62" t="s">
        <v>10</v>
      </c>
      <c r="G389" s="63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60"/>
      <c r="I389" s="64">
        <v>4</v>
      </c>
      <c r="J389" s="65" t="s">
        <v>37</v>
      </c>
      <c r="K389" s="69">
        <f>K384/$K$2/8*I389</f>
        <v>431.0344827586207</v>
      </c>
      <c r="L389" s="70"/>
      <c r="N389" s="15"/>
      <c r="O389" s="16" t="s">
        <v>24</v>
      </c>
      <c r="P389" s="16"/>
      <c r="Q389" s="16"/>
      <c r="R389" s="16" t="str">
        <f t="shared" si="97"/>
        <v/>
      </c>
      <c r="S389" s="7"/>
      <c r="T389" s="16" t="s">
        <v>24</v>
      </c>
      <c r="U389" s="29"/>
      <c r="V389" s="18"/>
      <c r="W389" s="29" t="str">
        <f t="shared" si="98"/>
        <v/>
      </c>
      <c r="X389" s="18"/>
      <c r="Y389" s="29" t="str">
        <f t="shared" si="99"/>
        <v/>
      </c>
      <c r="Z389" s="20"/>
    </row>
    <row r="390" spans="1:27" s="5" customFormat="1" ht="18" customHeight="1" x14ac:dyDescent="0.2">
      <c r="A390" s="47"/>
      <c r="B390" s="62" t="s">
        <v>5</v>
      </c>
      <c r="C390" s="68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45"/>
      <c r="E390" s="45"/>
      <c r="F390" s="62" t="s">
        <v>40</v>
      </c>
      <c r="G390" s="63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60"/>
      <c r="I390" s="136" t="s">
        <v>44</v>
      </c>
      <c r="J390" s="137"/>
      <c r="K390" s="69">
        <f>K388+K389</f>
        <v>25431.03448275862</v>
      </c>
      <c r="L390" s="70"/>
      <c r="N390" s="15"/>
      <c r="O390" s="16" t="s">
        <v>25</v>
      </c>
      <c r="P390" s="16"/>
      <c r="Q390" s="16"/>
      <c r="R390" s="16" t="str">
        <f t="shared" si="97"/>
        <v/>
      </c>
      <c r="S390" s="7"/>
      <c r="T390" s="16" t="s">
        <v>25</v>
      </c>
      <c r="U390" s="29"/>
      <c r="V390" s="18"/>
      <c r="W390" s="29" t="str">
        <f t="shared" si="98"/>
        <v/>
      </c>
      <c r="X390" s="18"/>
      <c r="Y390" s="29" t="str">
        <f t="shared" si="99"/>
        <v/>
      </c>
      <c r="Z390" s="20"/>
    </row>
    <row r="391" spans="1:27" s="5" customFormat="1" ht="18" customHeight="1" x14ac:dyDescent="0.2">
      <c r="A391" s="47"/>
      <c r="B391" s="62" t="s">
        <v>4</v>
      </c>
      <c r="C391" s="68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45"/>
      <c r="E391" s="45"/>
      <c r="F391" s="62" t="s">
        <v>11</v>
      </c>
      <c r="G391" s="63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60"/>
      <c r="I391" s="136" t="s">
        <v>45</v>
      </c>
      <c r="J391" s="137"/>
      <c r="K391" s="63">
        <f>G391</f>
        <v>2000</v>
      </c>
      <c r="L391" s="71"/>
      <c r="N391" s="15"/>
      <c r="O391" s="16" t="s">
        <v>26</v>
      </c>
      <c r="P391" s="16"/>
      <c r="Q391" s="16"/>
      <c r="R391" s="16" t="str">
        <f t="shared" si="97"/>
        <v/>
      </c>
      <c r="S391" s="7"/>
      <c r="T391" s="16" t="s">
        <v>26</v>
      </c>
      <c r="U391" s="29"/>
      <c r="V391" s="18"/>
      <c r="W391" s="29" t="str">
        <f t="shared" si="98"/>
        <v/>
      </c>
      <c r="X391" s="18"/>
      <c r="Y391" s="29" t="str">
        <f t="shared" si="99"/>
        <v/>
      </c>
      <c r="Z391" s="20"/>
    </row>
    <row r="392" spans="1:27" s="5" customFormat="1" ht="18" customHeight="1" x14ac:dyDescent="0.2">
      <c r="A392" s="47"/>
      <c r="B392" s="77" t="s">
        <v>43</v>
      </c>
      <c r="C392" s="68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45"/>
      <c r="E392" s="45"/>
      <c r="F392" s="77" t="s">
        <v>86</v>
      </c>
      <c r="G392" s="63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45"/>
      <c r="I392" s="141" t="s">
        <v>38</v>
      </c>
      <c r="J392" s="143"/>
      <c r="K392" s="41">
        <f>K390-K391</f>
        <v>23431.03448275862</v>
      </c>
      <c r="L392" s="72"/>
      <c r="N392" s="15"/>
      <c r="O392" s="16" t="s">
        <v>31</v>
      </c>
      <c r="P392" s="16"/>
      <c r="Q392" s="16"/>
      <c r="R392" s="16" t="str">
        <f t="shared" si="97"/>
        <v/>
      </c>
      <c r="S392" s="7"/>
      <c r="T392" s="16" t="s">
        <v>31</v>
      </c>
      <c r="U392" s="29"/>
      <c r="V392" s="18"/>
      <c r="W392" s="29" t="str">
        <f t="shared" si="98"/>
        <v/>
      </c>
      <c r="X392" s="18"/>
      <c r="Y392" s="29" t="str">
        <f t="shared" si="99"/>
        <v/>
      </c>
      <c r="Z392" s="20"/>
    </row>
    <row r="393" spans="1:27" s="5" customFormat="1" ht="18" customHeight="1" x14ac:dyDescent="0.2">
      <c r="A393" s="47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59"/>
      <c r="N393" s="15"/>
      <c r="O393" s="16" t="s">
        <v>27</v>
      </c>
      <c r="P393" s="16"/>
      <c r="Q393" s="16"/>
      <c r="R393" s="16" t="str">
        <f t="shared" si="97"/>
        <v/>
      </c>
      <c r="S393" s="7"/>
      <c r="T393" s="16" t="s">
        <v>27</v>
      </c>
      <c r="U393" s="29"/>
      <c r="V393" s="18"/>
      <c r="W393" s="29" t="str">
        <f t="shared" si="98"/>
        <v/>
      </c>
      <c r="X393" s="18"/>
      <c r="Y393" s="29" t="str">
        <f t="shared" si="99"/>
        <v/>
      </c>
      <c r="Z393" s="20"/>
    </row>
    <row r="394" spans="1:27" s="5" customFormat="1" ht="18" customHeight="1" x14ac:dyDescent="0.3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59"/>
      <c r="N394" s="15"/>
      <c r="O394" s="16" t="s">
        <v>32</v>
      </c>
      <c r="P394" s="16"/>
      <c r="Q394" s="16"/>
      <c r="R394" s="16" t="str">
        <f t="shared" si="97"/>
        <v/>
      </c>
      <c r="S394" s="7"/>
      <c r="T394" s="16" t="s">
        <v>32</v>
      </c>
      <c r="U394" s="29"/>
      <c r="V394" s="18"/>
      <c r="W394" s="29" t="str">
        <f t="shared" si="98"/>
        <v/>
      </c>
      <c r="X394" s="18"/>
      <c r="Y394" s="29" t="str">
        <f t="shared" si="99"/>
        <v/>
      </c>
      <c r="Z394" s="20"/>
    </row>
    <row r="395" spans="1:27" s="5" customFormat="1" ht="18" customHeight="1" thickBot="1" x14ac:dyDescent="0.35">
      <c r="A395" s="73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5"/>
      <c r="N395" s="15"/>
      <c r="O395" s="16" t="s">
        <v>33</v>
      </c>
      <c r="P395" s="16"/>
      <c r="Q395" s="16"/>
      <c r="R395" s="16" t="str">
        <f t="shared" si="97"/>
        <v/>
      </c>
      <c r="S395" s="7"/>
      <c r="T395" s="16" t="s">
        <v>33</v>
      </c>
      <c r="U395" s="29"/>
      <c r="V395" s="18"/>
      <c r="W395" s="29" t="str">
        <f t="shared" si="98"/>
        <v/>
      </c>
      <c r="X395" s="18"/>
      <c r="Y395" s="29" t="str">
        <f t="shared" si="99"/>
        <v/>
      </c>
      <c r="Z395" s="20"/>
    </row>
    <row r="396" spans="1:27" s="27" customFormat="1" ht="18" customHeight="1" thickBot="1" x14ac:dyDescent="0.25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7" s="5" customFormat="1" ht="18" customHeight="1" x14ac:dyDescent="0.2">
      <c r="A397" s="171" t="s">
        <v>15</v>
      </c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3"/>
      <c r="M397" s="4"/>
      <c r="N397" s="8"/>
      <c r="O397" s="133" t="s">
        <v>17</v>
      </c>
      <c r="P397" s="134"/>
      <c r="Q397" s="134"/>
      <c r="R397" s="135"/>
      <c r="S397" s="9"/>
      <c r="T397" s="133" t="s">
        <v>18</v>
      </c>
      <c r="U397" s="134"/>
      <c r="V397" s="134"/>
      <c r="W397" s="134"/>
      <c r="X397" s="134"/>
      <c r="Y397" s="135"/>
      <c r="Z397" s="7"/>
    </row>
    <row r="398" spans="1:27" s="5" customFormat="1" ht="18" customHeight="1" x14ac:dyDescent="0.2">
      <c r="A398" s="47"/>
      <c r="B398" s="45"/>
      <c r="C398" s="147" t="s">
        <v>94</v>
      </c>
      <c r="D398" s="147"/>
      <c r="E398" s="147"/>
      <c r="F398" s="147"/>
      <c r="G398" s="48" t="str">
        <f>$J$1</f>
        <v>February</v>
      </c>
      <c r="H398" s="146">
        <f>$K$1</f>
        <v>2024</v>
      </c>
      <c r="I398" s="146"/>
      <c r="J398" s="45"/>
      <c r="K398" s="49"/>
      <c r="L398" s="50"/>
      <c r="M398" s="6"/>
      <c r="N398" s="11"/>
      <c r="O398" s="12" t="s">
        <v>28</v>
      </c>
      <c r="P398" s="12" t="s">
        <v>5</v>
      </c>
      <c r="Q398" s="12" t="s">
        <v>4</v>
      </c>
      <c r="R398" s="12" t="s">
        <v>29</v>
      </c>
      <c r="S398" s="13"/>
      <c r="T398" s="12" t="s">
        <v>28</v>
      </c>
      <c r="U398" s="12" t="s">
        <v>30</v>
      </c>
      <c r="V398" s="12" t="s">
        <v>10</v>
      </c>
      <c r="W398" s="12" t="s">
        <v>9</v>
      </c>
      <c r="X398" s="12" t="s">
        <v>11</v>
      </c>
      <c r="Y398" s="12" t="s">
        <v>34</v>
      </c>
      <c r="Z398" s="7"/>
    </row>
    <row r="399" spans="1:27" s="5" customFormat="1" ht="18" customHeight="1" x14ac:dyDescent="0.2">
      <c r="A399" s="47"/>
      <c r="B399" s="45"/>
      <c r="C399" s="45"/>
      <c r="D399" s="51"/>
      <c r="E399" s="51"/>
      <c r="F399" s="51"/>
      <c r="G399" s="51"/>
      <c r="H399" s="51"/>
      <c r="I399" s="45"/>
      <c r="J399" s="52" t="s">
        <v>1</v>
      </c>
      <c r="K399" s="53">
        <v>25000</v>
      </c>
      <c r="L399" s="54"/>
      <c r="N399" s="15"/>
      <c r="O399" s="16" t="s">
        <v>20</v>
      </c>
      <c r="P399" s="16">
        <v>31</v>
      </c>
      <c r="Q399" s="16">
        <v>0</v>
      </c>
      <c r="R399" s="16">
        <v>0</v>
      </c>
      <c r="S399" s="17"/>
      <c r="T399" s="16" t="s">
        <v>20</v>
      </c>
      <c r="U399" s="18"/>
      <c r="V399" s="18"/>
      <c r="W399" s="18">
        <f>V399+U399</f>
        <v>0</v>
      </c>
      <c r="X399" s="18"/>
      <c r="Y399" s="18">
        <f>W399-X399</f>
        <v>0</v>
      </c>
      <c r="Z399" s="7"/>
    </row>
    <row r="400" spans="1:27" s="5" customFormat="1" ht="18" customHeight="1" x14ac:dyDescent="0.2">
      <c r="A400" s="47"/>
      <c r="B400" s="45" t="s">
        <v>0</v>
      </c>
      <c r="C400" s="44" t="s">
        <v>102</v>
      </c>
      <c r="D400" s="45"/>
      <c r="E400" s="45"/>
      <c r="F400" s="45"/>
      <c r="G400" s="45"/>
      <c r="H400" s="55"/>
      <c r="I400" s="51"/>
      <c r="J400" s="45"/>
      <c r="K400" s="45"/>
      <c r="L400" s="56"/>
      <c r="M400" s="4"/>
      <c r="N400" s="19"/>
      <c r="O400" s="16" t="s">
        <v>46</v>
      </c>
      <c r="P400" s="16">
        <v>29</v>
      </c>
      <c r="Q400" s="16">
        <v>0</v>
      </c>
      <c r="R400" s="16">
        <v>0</v>
      </c>
      <c r="S400" s="7"/>
      <c r="T400" s="16" t="s">
        <v>46</v>
      </c>
      <c r="U400" s="29">
        <f>Y399</f>
        <v>0</v>
      </c>
      <c r="V400" s="18"/>
      <c r="W400" s="29">
        <f>IF(U400="","",U400+V400)</f>
        <v>0</v>
      </c>
      <c r="X400" s="18"/>
      <c r="Y400" s="29">
        <f>IF(W400="","",W400-X400)</f>
        <v>0</v>
      </c>
      <c r="Z400" s="7"/>
    </row>
    <row r="401" spans="1:27" s="5" customFormat="1" ht="18" customHeight="1" x14ac:dyDescent="0.2">
      <c r="A401" s="47"/>
      <c r="B401" s="57" t="s">
        <v>16</v>
      </c>
      <c r="C401" s="58"/>
      <c r="D401" s="45"/>
      <c r="E401" s="45"/>
      <c r="F401" s="148" t="s">
        <v>18</v>
      </c>
      <c r="G401" s="148"/>
      <c r="H401" s="45"/>
      <c r="I401" s="148" t="s">
        <v>19</v>
      </c>
      <c r="J401" s="148"/>
      <c r="K401" s="148"/>
      <c r="L401" s="59"/>
      <c r="N401" s="15"/>
      <c r="O401" s="16" t="s">
        <v>21</v>
      </c>
      <c r="P401" s="16"/>
      <c r="Q401" s="16"/>
      <c r="R401" s="16">
        <v>0</v>
      </c>
      <c r="S401" s="7"/>
      <c r="T401" s="16" t="s">
        <v>21</v>
      </c>
      <c r="U401" s="29">
        <f>IF($J$1="April",Y400,Y400)</f>
        <v>0</v>
      </c>
      <c r="V401" s="18"/>
      <c r="W401" s="29">
        <f t="shared" ref="W401:W410" si="100">IF(U401="","",U401+V401)</f>
        <v>0</v>
      </c>
      <c r="X401" s="18"/>
      <c r="Y401" s="29">
        <f t="shared" ref="Y401:Y410" si="101">IF(W401="","",W401-X401)</f>
        <v>0</v>
      </c>
      <c r="Z401" s="7"/>
    </row>
    <row r="402" spans="1:27" s="5" customFormat="1" ht="18" customHeight="1" x14ac:dyDescent="0.2">
      <c r="A402" s="47"/>
      <c r="B402" s="45"/>
      <c r="C402" s="45"/>
      <c r="D402" s="45"/>
      <c r="E402" s="45"/>
      <c r="F402" s="45"/>
      <c r="G402" s="45"/>
      <c r="H402" s="60"/>
      <c r="I402" s="45"/>
      <c r="J402" s="45"/>
      <c r="K402" s="45"/>
      <c r="L402" s="61"/>
      <c r="N402" s="15"/>
      <c r="O402" s="16" t="s">
        <v>22</v>
      </c>
      <c r="P402" s="16"/>
      <c r="Q402" s="16"/>
      <c r="R402" s="16" t="str">
        <f t="shared" ref="R402:R410" si="102">IF(Q402="","",R401-Q402)</f>
        <v/>
      </c>
      <c r="S402" s="7"/>
      <c r="T402" s="16" t="s">
        <v>22</v>
      </c>
      <c r="U402" s="29">
        <f>IF($J$1="April",Y401,Y401)</f>
        <v>0</v>
      </c>
      <c r="V402" s="18"/>
      <c r="W402" s="29">
        <f t="shared" si="100"/>
        <v>0</v>
      </c>
      <c r="X402" s="18"/>
      <c r="Y402" s="29">
        <f t="shared" si="101"/>
        <v>0</v>
      </c>
      <c r="Z402" s="7"/>
    </row>
    <row r="403" spans="1:27" s="5" customFormat="1" ht="18" customHeight="1" x14ac:dyDescent="0.2">
      <c r="A403" s="47"/>
      <c r="B403" s="144" t="s">
        <v>17</v>
      </c>
      <c r="C403" s="145"/>
      <c r="D403" s="45"/>
      <c r="E403" s="45"/>
      <c r="F403" s="62" t="s">
        <v>39</v>
      </c>
      <c r="G403" s="63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60"/>
      <c r="I403" s="64">
        <f>IF(C407&gt;0,$K$2,C405)</f>
        <v>29</v>
      </c>
      <c r="J403" s="65" t="s">
        <v>36</v>
      </c>
      <c r="K403" s="66">
        <f>K399/$K$2*I403</f>
        <v>25000</v>
      </c>
      <c r="L403" s="67"/>
      <c r="N403" s="15"/>
      <c r="O403" s="16" t="s">
        <v>23</v>
      </c>
      <c r="P403" s="16"/>
      <c r="Q403" s="16"/>
      <c r="R403" s="16" t="str">
        <f t="shared" si="102"/>
        <v/>
      </c>
      <c r="S403" s="7"/>
      <c r="T403" s="16" t="s">
        <v>23</v>
      </c>
      <c r="U403" s="29">
        <f>IF($J$1="May",Y402,Y402)</f>
        <v>0</v>
      </c>
      <c r="V403" s="18"/>
      <c r="W403" s="29">
        <f t="shared" si="100"/>
        <v>0</v>
      </c>
      <c r="X403" s="18"/>
      <c r="Y403" s="29">
        <f t="shared" si="101"/>
        <v>0</v>
      </c>
      <c r="Z403" s="7"/>
    </row>
    <row r="404" spans="1:27" s="5" customFormat="1" ht="18" customHeight="1" x14ac:dyDescent="0.2">
      <c r="A404" s="47"/>
      <c r="B404" s="68"/>
      <c r="C404" s="68"/>
      <c r="D404" s="45"/>
      <c r="E404" s="45"/>
      <c r="F404" s="62" t="s">
        <v>10</v>
      </c>
      <c r="G404" s="63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60"/>
      <c r="I404" s="64">
        <v>6</v>
      </c>
      <c r="J404" s="65" t="s">
        <v>37</v>
      </c>
      <c r="K404" s="69">
        <f>K399/$K$2/8*I404</f>
        <v>646.55172413793105</v>
      </c>
      <c r="L404" s="70"/>
      <c r="N404" s="15"/>
      <c r="O404" s="16" t="s">
        <v>24</v>
      </c>
      <c r="P404" s="16"/>
      <c r="Q404" s="16"/>
      <c r="R404" s="16" t="str">
        <f t="shared" si="102"/>
        <v/>
      </c>
      <c r="S404" s="7"/>
      <c r="T404" s="16" t="s">
        <v>24</v>
      </c>
      <c r="U404" s="29">
        <f>IF($J$1="May",Y403,Y403)</f>
        <v>0</v>
      </c>
      <c r="V404" s="18"/>
      <c r="W404" s="29">
        <f t="shared" si="100"/>
        <v>0</v>
      </c>
      <c r="X404" s="18"/>
      <c r="Y404" s="29">
        <f t="shared" si="101"/>
        <v>0</v>
      </c>
      <c r="Z404" s="7"/>
    </row>
    <row r="405" spans="1:27" s="5" customFormat="1" ht="18" customHeight="1" x14ac:dyDescent="0.2">
      <c r="A405" s="47"/>
      <c r="B405" s="62" t="s">
        <v>5</v>
      </c>
      <c r="C405" s="68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45"/>
      <c r="E405" s="45"/>
      <c r="F405" s="62" t="s">
        <v>40</v>
      </c>
      <c r="G405" s="63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60"/>
      <c r="I405" s="136" t="s">
        <v>44</v>
      </c>
      <c r="J405" s="137"/>
      <c r="K405" s="69">
        <f>K403+K404</f>
        <v>25646.551724137931</v>
      </c>
      <c r="L405" s="70"/>
      <c r="N405" s="15"/>
      <c r="O405" s="16" t="s">
        <v>25</v>
      </c>
      <c r="P405" s="16"/>
      <c r="Q405" s="16"/>
      <c r="R405" s="16" t="str">
        <f t="shared" si="102"/>
        <v/>
      </c>
      <c r="S405" s="7"/>
      <c r="T405" s="16" t="s">
        <v>25</v>
      </c>
      <c r="U405" s="29" t="str">
        <f>IF($J$1="July",Y404,"")</f>
        <v/>
      </c>
      <c r="V405" s="18"/>
      <c r="W405" s="29" t="str">
        <f t="shared" si="100"/>
        <v/>
      </c>
      <c r="X405" s="18"/>
      <c r="Y405" s="29" t="str">
        <f t="shared" si="101"/>
        <v/>
      </c>
      <c r="Z405" s="7"/>
    </row>
    <row r="406" spans="1:27" s="5" customFormat="1" ht="18" customHeight="1" x14ac:dyDescent="0.2">
      <c r="A406" s="47"/>
      <c r="B406" s="62" t="s">
        <v>4</v>
      </c>
      <c r="C406" s="68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45"/>
      <c r="E406" s="45"/>
      <c r="F406" s="62" t="s">
        <v>11</v>
      </c>
      <c r="G406" s="63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60"/>
      <c r="I406" s="136" t="s">
        <v>45</v>
      </c>
      <c r="J406" s="137"/>
      <c r="K406" s="63">
        <f>G406</f>
        <v>0</v>
      </c>
      <c r="L406" s="71"/>
      <c r="N406" s="15"/>
      <c r="O406" s="16" t="s">
        <v>26</v>
      </c>
      <c r="P406" s="16"/>
      <c r="Q406" s="16"/>
      <c r="R406" s="16" t="str">
        <f t="shared" si="102"/>
        <v/>
      </c>
      <c r="S406" s="7"/>
      <c r="T406" s="16" t="s">
        <v>26</v>
      </c>
      <c r="U406" s="29" t="str">
        <f>IF($J$1="August",Y405,"")</f>
        <v/>
      </c>
      <c r="V406" s="18"/>
      <c r="W406" s="29" t="str">
        <f t="shared" si="100"/>
        <v/>
      </c>
      <c r="X406" s="18"/>
      <c r="Y406" s="29" t="str">
        <f t="shared" si="101"/>
        <v/>
      </c>
      <c r="Z406" s="7"/>
    </row>
    <row r="407" spans="1:27" s="5" customFormat="1" ht="18" customHeight="1" x14ac:dyDescent="0.2">
      <c r="A407" s="47"/>
      <c r="B407" s="80" t="s">
        <v>43</v>
      </c>
      <c r="C407" s="68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45"/>
      <c r="E407" s="45"/>
      <c r="F407" s="62" t="s">
        <v>42</v>
      </c>
      <c r="G407" s="63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45"/>
      <c r="I407" s="141" t="s">
        <v>38</v>
      </c>
      <c r="J407" s="143"/>
      <c r="K407" s="41">
        <f>K405-K406</f>
        <v>25646.551724137931</v>
      </c>
      <c r="L407" s="72"/>
      <c r="N407" s="15"/>
      <c r="O407" s="16" t="s">
        <v>31</v>
      </c>
      <c r="P407" s="16"/>
      <c r="Q407" s="16"/>
      <c r="R407" s="16" t="str">
        <f t="shared" si="102"/>
        <v/>
      </c>
      <c r="S407" s="7"/>
      <c r="T407" s="16" t="s">
        <v>31</v>
      </c>
      <c r="U407" s="29" t="str">
        <f>IF($J$1="Sept",Y406,"")</f>
        <v/>
      </c>
      <c r="V407" s="18"/>
      <c r="W407" s="29" t="str">
        <f t="shared" si="100"/>
        <v/>
      </c>
      <c r="X407" s="18"/>
      <c r="Y407" s="29" t="str">
        <f t="shared" si="101"/>
        <v/>
      </c>
      <c r="Z407" s="7"/>
    </row>
    <row r="408" spans="1:27" s="5" customFormat="1" ht="18" customHeight="1" x14ac:dyDescent="0.2">
      <c r="A408" s="47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59"/>
      <c r="N408" s="15"/>
      <c r="O408" s="16" t="s">
        <v>27</v>
      </c>
      <c r="P408" s="16"/>
      <c r="Q408" s="16"/>
      <c r="R408" s="16" t="str">
        <f t="shared" si="102"/>
        <v/>
      </c>
      <c r="S408" s="7"/>
      <c r="T408" s="16" t="s">
        <v>27</v>
      </c>
      <c r="U408" s="29" t="str">
        <f>IF($J$1="October",Y407,"")</f>
        <v/>
      </c>
      <c r="V408" s="18"/>
      <c r="W408" s="29" t="str">
        <f t="shared" si="100"/>
        <v/>
      </c>
      <c r="X408" s="18"/>
      <c r="Y408" s="29" t="str">
        <f t="shared" si="101"/>
        <v/>
      </c>
      <c r="Z408" s="7"/>
    </row>
    <row r="409" spans="1:27" s="5" customFormat="1" ht="18" customHeight="1" x14ac:dyDescent="0.2">
      <c r="A409" s="47"/>
      <c r="B409" s="152" t="s">
        <v>57</v>
      </c>
      <c r="C409" s="152"/>
      <c r="D409" s="152"/>
      <c r="E409" s="152"/>
      <c r="F409" s="152"/>
      <c r="G409" s="152"/>
      <c r="H409" s="152"/>
      <c r="I409" s="152"/>
      <c r="J409" s="152"/>
      <c r="K409" s="152"/>
      <c r="L409" s="59"/>
      <c r="N409" s="15"/>
      <c r="O409" s="16" t="s">
        <v>32</v>
      </c>
      <c r="P409" s="16"/>
      <c r="Q409" s="16"/>
      <c r="R409" s="16" t="str">
        <f t="shared" si="102"/>
        <v/>
      </c>
      <c r="S409" s="7"/>
      <c r="T409" s="16" t="s">
        <v>32</v>
      </c>
      <c r="U409" s="29" t="str">
        <f>IF($J$1="November",Y408,"")</f>
        <v/>
      </c>
      <c r="V409" s="18"/>
      <c r="W409" s="29" t="str">
        <f t="shared" si="100"/>
        <v/>
      </c>
      <c r="X409" s="18"/>
      <c r="Y409" s="29" t="str">
        <f t="shared" si="101"/>
        <v/>
      </c>
      <c r="Z409" s="7"/>
    </row>
    <row r="410" spans="1:27" s="5" customFormat="1" ht="18" customHeight="1" x14ac:dyDescent="0.2">
      <c r="A410" s="47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59"/>
      <c r="N410" s="15"/>
      <c r="O410" s="16" t="s">
        <v>33</v>
      </c>
      <c r="P410" s="16"/>
      <c r="Q410" s="16"/>
      <c r="R410" s="16" t="str">
        <f t="shared" si="102"/>
        <v/>
      </c>
      <c r="S410" s="7"/>
      <c r="T410" s="16" t="s">
        <v>33</v>
      </c>
      <c r="U410" s="29" t="str">
        <f>IF($J$1="Dec",Y409,"")</f>
        <v/>
      </c>
      <c r="V410" s="18"/>
      <c r="W410" s="29" t="str">
        <f t="shared" si="100"/>
        <v/>
      </c>
      <c r="X410" s="18"/>
      <c r="Y410" s="29" t="str">
        <f t="shared" si="101"/>
        <v/>
      </c>
      <c r="Z410" s="7"/>
    </row>
    <row r="411" spans="1:27" s="5" customFormat="1" ht="18" customHeight="1" thickBot="1" x14ac:dyDescent="0.25">
      <c r="A411" s="73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75"/>
      <c r="N411" s="21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7"/>
    </row>
    <row r="412" spans="1:27" ht="18" customHeight="1" thickBot="1" x14ac:dyDescent="0.35"/>
    <row r="413" spans="1:27" s="5" customFormat="1" ht="18" customHeight="1" thickBot="1" x14ac:dyDescent="0.25">
      <c r="A413" s="138" t="s">
        <v>15</v>
      </c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40"/>
      <c r="M413" s="4"/>
      <c r="N413" s="8"/>
      <c r="O413" s="133" t="s">
        <v>17</v>
      </c>
      <c r="P413" s="134"/>
      <c r="Q413" s="134"/>
      <c r="R413" s="135"/>
      <c r="S413" s="9"/>
      <c r="T413" s="133" t="s">
        <v>18</v>
      </c>
      <c r="U413" s="134"/>
      <c r="V413" s="134"/>
      <c r="W413" s="134"/>
      <c r="X413" s="134"/>
      <c r="Y413" s="135"/>
      <c r="Z413" s="10"/>
      <c r="AA413" s="4"/>
    </row>
    <row r="414" spans="1:27" s="5" customFormat="1" ht="18" customHeight="1" x14ac:dyDescent="0.2">
      <c r="A414" s="47"/>
      <c r="B414" s="45"/>
      <c r="C414" s="147" t="s">
        <v>94</v>
      </c>
      <c r="D414" s="147"/>
      <c r="E414" s="147"/>
      <c r="F414" s="147"/>
      <c r="G414" s="48" t="str">
        <f>$J$1</f>
        <v>February</v>
      </c>
      <c r="H414" s="146">
        <f>$K$1</f>
        <v>2024</v>
      </c>
      <c r="I414" s="146"/>
      <c r="J414" s="45"/>
      <c r="K414" s="49"/>
      <c r="L414" s="50"/>
      <c r="M414" s="6"/>
      <c r="N414" s="11"/>
      <c r="O414" s="12" t="s">
        <v>28</v>
      </c>
      <c r="P414" s="12" t="s">
        <v>5</v>
      </c>
      <c r="Q414" s="12" t="s">
        <v>4</v>
      </c>
      <c r="R414" s="12" t="s">
        <v>29</v>
      </c>
      <c r="S414" s="13"/>
      <c r="T414" s="12" t="s">
        <v>28</v>
      </c>
      <c r="U414" s="12" t="s">
        <v>30</v>
      </c>
      <c r="V414" s="12" t="s">
        <v>10</v>
      </c>
      <c r="W414" s="12" t="s">
        <v>9</v>
      </c>
      <c r="X414" s="12" t="s">
        <v>11</v>
      </c>
      <c r="Y414" s="12" t="s">
        <v>34</v>
      </c>
      <c r="Z414" s="14"/>
      <c r="AA414" s="6"/>
    </row>
    <row r="415" spans="1:27" s="5" customFormat="1" ht="18" customHeight="1" x14ac:dyDescent="0.2">
      <c r="A415" s="47"/>
      <c r="B415" s="45"/>
      <c r="C415" s="45"/>
      <c r="D415" s="51"/>
      <c r="E415" s="51"/>
      <c r="F415" s="51"/>
      <c r="G415" s="51"/>
      <c r="H415" s="51"/>
      <c r="I415" s="45"/>
      <c r="J415" s="52" t="s">
        <v>1</v>
      </c>
      <c r="K415" s="53">
        <f>25000+2000</f>
        <v>27000</v>
      </c>
      <c r="L415" s="54"/>
      <c r="N415" s="15"/>
      <c r="O415" s="16" t="s">
        <v>20</v>
      </c>
      <c r="P415" s="16">
        <v>31</v>
      </c>
      <c r="Q415" s="16">
        <v>0</v>
      </c>
      <c r="R415" s="16">
        <f>15-Q415</f>
        <v>15</v>
      </c>
      <c r="S415" s="17"/>
      <c r="T415" s="16" t="s">
        <v>20</v>
      </c>
      <c r="U415" s="18">
        <v>19000</v>
      </c>
      <c r="V415" s="18">
        <v>2000</v>
      </c>
      <c r="W415" s="18">
        <f>V415+U415</f>
        <v>21000</v>
      </c>
      <c r="X415" s="18">
        <v>2000</v>
      </c>
      <c r="Y415" s="18">
        <f>W415-X415</f>
        <v>19000</v>
      </c>
      <c r="Z415" s="14"/>
    </row>
    <row r="416" spans="1:27" s="5" customFormat="1" ht="18" customHeight="1" x14ac:dyDescent="0.2">
      <c r="A416" s="47"/>
      <c r="B416" s="45" t="s">
        <v>0</v>
      </c>
      <c r="C416" s="44" t="s">
        <v>60</v>
      </c>
      <c r="D416" s="45"/>
      <c r="E416" s="45"/>
      <c r="F416" s="45"/>
      <c r="G416" s="45"/>
      <c r="H416" s="55"/>
      <c r="I416" s="51"/>
      <c r="J416" s="45"/>
      <c r="K416" s="45"/>
      <c r="L416" s="56"/>
      <c r="M416" s="4"/>
      <c r="N416" s="19"/>
      <c r="O416" s="16" t="s">
        <v>46</v>
      </c>
      <c r="P416" s="16">
        <v>26</v>
      </c>
      <c r="Q416" s="16">
        <v>3</v>
      </c>
      <c r="R416" s="16">
        <f t="shared" ref="R416:R426" si="103">IF(Q416="","",R415-Q416)</f>
        <v>12</v>
      </c>
      <c r="S416" s="7"/>
      <c r="T416" s="16" t="s">
        <v>46</v>
      </c>
      <c r="U416" s="29">
        <f>Y415</f>
        <v>19000</v>
      </c>
      <c r="V416" s="18">
        <v>3000</v>
      </c>
      <c r="W416" s="29">
        <f>IF(U416="","",U416+V416)</f>
        <v>22000</v>
      </c>
      <c r="X416" s="18">
        <v>2000</v>
      </c>
      <c r="Y416" s="29">
        <f>IF(W416="","",W416-X416)</f>
        <v>20000</v>
      </c>
      <c r="Z416" s="20"/>
      <c r="AA416" s="4"/>
    </row>
    <row r="417" spans="1:26" s="5" customFormat="1" ht="18" customHeight="1" x14ac:dyDescent="0.2">
      <c r="A417" s="47"/>
      <c r="B417" s="57" t="s">
        <v>16</v>
      </c>
      <c r="C417" s="58"/>
      <c r="D417" s="45"/>
      <c r="E417" s="45"/>
      <c r="F417" s="141" t="s">
        <v>18</v>
      </c>
      <c r="G417" s="143"/>
      <c r="H417" s="45"/>
      <c r="I417" s="141" t="s">
        <v>19</v>
      </c>
      <c r="J417" s="142"/>
      <c r="K417" s="143"/>
      <c r="L417" s="59"/>
      <c r="N417" s="15"/>
      <c r="O417" s="16" t="s">
        <v>21</v>
      </c>
      <c r="P417" s="16"/>
      <c r="Q417" s="16"/>
      <c r="R417" s="16" t="str">
        <f t="shared" si="103"/>
        <v/>
      </c>
      <c r="S417" s="7"/>
      <c r="T417" s="16" t="s">
        <v>21</v>
      </c>
      <c r="U417" s="29"/>
      <c r="V417" s="18"/>
      <c r="W417" s="29" t="str">
        <f t="shared" ref="W417:W426" si="104">IF(U417="","",U417+V417)</f>
        <v/>
      </c>
      <c r="X417" s="18"/>
      <c r="Y417" s="29" t="str">
        <f t="shared" ref="Y417:Y426" si="105">IF(W417="","",W417-X417)</f>
        <v/>
      </c>
      <c r="Z417" s="20"/>
    </row>
    <row r="418" spans="1:26" s="5" customFormat="1" ht="18" customHeight="1" x14ac:dyDescent="0.2">
      <c r="A418" s="47"/>
      <c r="B418" s="45"/>
      <c r="C418" s="45"/>
      <c r="D418" s="45"/>
      <c r="E418" s="45"/>
      <c r="F418" s="45"/>
      <c r="G418" s="45"/>
      <c r="H418" s="60"/>
      <c r="I418" s="45"/>
      <c r="J418" s="45"/>
      <c r="K418" s="45"/>
      <c r="L418" s="61"/>
      <c r="N418" s="15"/>
      <c r="O418" s="16" t="s">
        <v>22</v>
      </c>
      <c r="P418" s="16"/>
      <c r="Q418" s="16"/>
      <c r="R418" s="16" t="str">
        <f t="shared" si="103"/>
        <v/>
      </c>
      <c r="S418" s="7"/>
      <c r="T418" s="16" t="s">
        <v>22</v>
      </c>
      <c r="U418" s="29" t="str">
        <f>IF($J$1="March","",Y417)</f>
        <v/>
      </c>
      <c r="V418" s="18"/>
      <c r="W418" s="29" t="str">
        <f t="shared" si="104"/>
        <v/>
      </c>
      <c r="X418" s="18"/>
      <c r="Y418" s="29" t="str">
        <f t="shared" si="105"/>
        <v/>
      </c>
      <c r="Z418" s="20"/>
    </row>
    <row r="419" spans="1:26" s="5" customFormat="1" ht="18" customHeight="1" x14ac:dyDescent="0.2">
      <c r="A419" s="47"/>
      <c r="B419" s="144" t="s">
        <v>17</v>
      </c>
      <c r="C419" s="145"/>
      <c r="D419" s="45"/>
      <c r="E419" s="45"/>
      <c r="F419" s="62" t="s">
        <v>39</v>
      </c>
      <c r="G419" s="63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60"/>
      <c r="I419" s="64">
        <f>IF(C423&gt;=C422,$K$2,C421+C423)</f>
        <v>29</v>
      </c>
      <c r="J419" s="65" t="s">
        <v>36</v>
      </c>
      <c r="K419" s="66">
        <f>K415/$K$2*I419</f>
        <v>27000</v>
      </c>
      <c r="L419" s="67"/>
      <c r="N419" s="15"/>
      <c r="O419" s="16" t="s">
        <v>23</v>
      </c>
      <c r="P419" s="16"/>
      <c r="Q419" s="16"/>
      <c r="R419" s="16" t="str">
        <f t="shared" si="103"/>
        <v/>
      </c>
      <c r="S419" s="7"/>
      <c r="T419" s="16" t="s">
        <v>23</v>
      </c>
      <c r="U419" s="29" t="str">
        <f t="shared" ref="U419:U425" si="106">Y418</f>
        <v/>
      </c>
      <c r="V419" s="18"/>
      <c r="W419" s="29" t="str">
        <f t="shared" si="104"/>
        <v/>
      </c>
      <c r="X419" s="18"/>
      <c r="Y419" s="29" t="str">
        <f t="shared" si="105"/>
        <v/>
      </c>
      <c r="Z419" s="20"/>
    </row>
    <row r="420" spans="1:26" s="5" customFormat="1" ht="18" customHeight="1" x14ac:dyDescent="0.2">
      <c r="A420" s="47"/>
      <c r="B420" s="68"/>
      <c r="C420" s="68"/>
      <c r="D420" s="45"/>
      <c r="E420" s="45"/>
      <c r="F420" s="62" t="s">
        <v>10</v>
      </c>
      <c r="G420" s="63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60"/>
      <c r="I420" s="64">
        <v>30</v>
      </c>
      <c r="J420" s="65" t="s">
        <v>37</v>
      </c>
      <c r="K420" s="69">
        <f>K415/$K$2/8*I420</f>
        <v>3491.3793103448274</v>
      </c>
      <c r="L420" s="70"/>
      <c r="N420" s="15"/>
      <c r="O420" s="16" t="s">
        <v>24</v>
      </c>
      <c r="P420" s="16"/>
      <c r="Q420" s="16"/>
      <c r="R420" s="16" t="str">
        <f t="shared" si="103"/>
        <v/>
      </c>
      <c r="S420" s="7"/>
      <c r="T420" s="16" t="s">
        <v>24</v>
      </c>
      <c r="U420" s="29" t="str">
        <f t="shared" si="106"/>
        <v/>
      </c>
      <c r="V420" s="18"/>
      <c r="W420" s="29" t="str">
        <f t="shared" si="104"/>
        <v/>
      </c>
      <c r="X420" s="18"/>
      <c r="Y420" s="29" t="str">
        <f t="shared" si="105"/>
        <v/>
      </c>
      <c r="Z420" s="20"/>
    </row>
    <row r="421" spans="1:26" s="5" customFormat="1" ht="18" customHeight="1" x14ac:dyDescent="0.2">
      <c r="A421" s="47"/>
      <c r="B421" s="62" t="s">
        <v>5</v>
      </c>
      <c r="C421" s="68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45"/>
      <c r="E421" s="45"/>
      <c r="F421" s="62" t="s">
        <v>40</v>
      </c>
      <c r="G421" s="63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60"/>
      <c r="I421" s="136" t="s">
        <v>44</v>
      </c>
      <c r="J421" s="137"/>
      <c r="K421" s="69">
        <f>K419+K420</f>
        <v>30491.379310344826</v>
      </c>
      <c r="L421" s="70"/>
      <c r="N421" s="15"/>
      <c r="O421" s="16" t="s">
        <v>25</v>
      </c>
      <c r="P421" s="16"/>
      <c r="Q421" s="16"/>
      <c r="R421" s="16" t="str">
        <f t="shared" si="103"/>
        <v/>
      </c>
      <c r="S421" s="7"/>
      <c r="T421" s="16" t="s">
        <v>25</v>
      </c>
      <c r="U421" s="29" t="str">
        <f t="shared" si="106"/>
        <v/>
      </c>
      <c r="V421" s="18"/>
      <c r="W421" s="29" t="str">
        <f t="shared" si="104"/>
        <v/>
      </c>
      <c r="X421" s="18"/>
      <c r="Y421" s="29" t="str">
        <f t="shared" si="105"/>
        <v/>
      </c>
      <c r="Z421" s="20"/>
    </row>
    <row r="422" spans="1:26" s="5" customFormat="1" ht="18" customHeight="1" x14ac:dyDescent="0.2">
      <c r="A422" s="47"/>
      <c r="B422" s="62" t="s">
        <v>4</v>
      </c>
      <c r="C422" s="68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3</v>
      </c>
      <c r="D422" s="45"/>
      <c r="E422" s="45"/>
      <c r="F422" s="62" t="s">
        <v>11</v>
      </c>
      <c r="G422" s="63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60"/>
      <c r="I422" s="136" t="s">
        <v>45</v>
      </c>
      <c r="J422" s="137"/>
      <c r="K422" s="63">
        <f>G422</f>
        <v>2000</v>
      </c>
      <c r="L422" s="71"/>
      <c r="N422" s="15"/>
      <c r="O422" s="16" t="s">
        <v>26</v>
      </c>
      <c r="P422" s="16"/>
      <c r="Q422" s="16"/>
      <c r="R422" s="16" t="str">
        <f t="shared" si="103"/>
        <v/>
      </c>
      <c r="S422" s="7"/>
      <c r="T422" s="16" t="s">
        <v>26</v>
      </c>
      <c r="U422" s="29" t="str">
        <f t="shared" si="106"/>
        <v/>
      </c>
      <c r="V422" s="18"/>
      <c r="W422" s="29" t="str">
        <f t="shared" si="104"/>
        <v/>
      </c>
      <c r="X422" s="18"/>
      <c r="Y422" s="29" t="str">
        <f t="shared" si="105"/>
        <v/>
      </c>
      <c r="Z422" s="20"/>
    </row>
    <row r="423" spans="1:26" s="5" customFormat="1" ht="18" customHeight="1" x14ac:dyDescent="0.2">
      <c r="A423" s="47"/>
      <c r="B423" s="77" t="s">
        <v>43</v>
      </c>
      <c r="C423" s="68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45"/>
      <c r="E423" s="45"/>
      <c r="F423" s="77" t="s">
        <v>86</v>
      </c>
      <c r="G423" s="63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45"/>
      <c r="I423" s="141" t="s">
        <v>38</v>
      </c>
      <c r="J423" s="143"/>
      <c r="K423" s="41">
        <f>K421-K422</f>
        <v>28491.379310344826</v>
      </c>
      <c r="L423" s="72"/>
      <c r="N423" s="15"/>
      <c r="O423" s="16" t="s">
        <v>31</v>
      </c>
      <c r="P423" s="16"/>
      <c r="Q423" s="16"/>
      <c r="R423" s="16" t="str">
        <f t="shared" si="103"/>
        <v/>
      </c>
      <c r="S423" s="7"/>
      <c r="T423" s="16" t="s">
        <v>31</v>
      </c>
      <c r="U423" s="29" t="str">
        <f t="shared" si="106"/>
        <v/>
      </c>
      <c r="V423" s="18"/>
      <c r="W423" s="29" t="str">
        <f t="shared" si="104"/>
        <v/>
      </c>
      <c r="X423" s="18"/>
      <c r="Y423" s="29" t="str">
        <f t="shared" si="105"/>
        <v/>
      </c>
      <c r="Z423" s="20"/>
    </row>
    <row r="424" spans="1:26" s="5" customFormat="1" ht="18" customHeight="1" x14ac:dyDescent="0.2">
      <c r="A424" s="47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59"/>
      <c r="N424" s="15"/>
      <c r="O424" s="16" t="s">
        <v>27</v>
      </c>
      <c r="P424" s="16"/>
      <c r="Q424" s="16"/>
      <c r="R424" s="16" t="str">
        <f t="shared" si="103"/>
        <v/>
      </c>
      <c r="S424" s="7"/>
      <c r="T424" s="16" t="s">
        <v>27</v>
      </c>
      <c r="U424" s="29" t="str">
        <f t="shared" si="106"/>
        <v/>
      </c>
      <c r="V424" s="18"/>
      <c r="W424" s="29" t="str">
        <f t="shared" si="104"/>
        <v/>
      </c>
      <c r="X424" s="18"/>
      <c r="Y424" s="29" t="str">
        <f t="shared" si="105"/>
        <v/>
      </c>
      <c r="Z424" s="20"/>
    </row>
    <row r="425" spans="1:26" s="5" customFormat="1" ht="18" customHeight="1" x14ac:dyDescent="0.3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59"/>
      <c r="N425" s="15"/>
      <c r="O425" s="16" t="s">
        <v>32</v>
      </c>
      <c r="P425" s="16"/>
      <c r="Q425" s="16"/>
      <c r="R425" s="16" t="str">
        <f t="shared" si="103"/>
        <v/>
      </c>
      <c r="S425" s="7"/>
      <c r="T425" s="16" t="s">
        <v>32</v>
      </c>
      <c r="U425" s="29" t="str">
        <f t="shared" si="106"/>
        <v/>
      </c>
      <c r="V425" s="18"/>
      <c r="W425" s="29" t="str">
        <f t="shared" si="104"/>
        <v/>
      </c>
      <c r="X425" s="18"/>
      <c r="Y425" s="29" t="str">
        <f t="shared" si="105"/>
        <v/>
      </c>
      <c r="Z425" s="20"/>
    </row>
    <row r="426" spans="1:26" s="5" customFormat="1" ht="18" customHeight="1" thickBot="1" x14ac:dyDescent="0.35">
      <c r="A426" s="73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5"/>
      <c r="N426" s="15"/>
      <c r="O426" s="16" t="s">
        <v>33</v>
      </c>
      <c r="P426" s="16"/>
      <c r="Q426" s="16"/>
      <c r="R426" s="16" t="str">
        <f t="shared" si="103"/>
        <v/>
      </c>
      <c r="S426" s="7"/>
      <c r="T426" s="16" t="s">
        <v>33</v>
      </c>
      <c r="U426" s="29" t="str">
        <f>Y425</f>
        <v/>
      </c>
      <c r="V426" s="18"/>
      <c r="W426" s="29" t="str">
        <f t="shared" si="104"/>
        <v/>
      </c>
      <c r="X426" s="18"/>
      <c r="Y426" s="29" t="str">
        <f t="shared" si="105"/>
        <v/>
      </c>
      <c r="Z426" s="20"/>
    </row>
    <row r="427" spans="1:26" s="27" customFormat="1" ht="18" customHeight="1" thickBot="1" x14ac:dyDescent="0.25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s="5" customFormat="1" ht="18" customHeight="1" thickBot="1" x14ac:dyDescent="0.25">
      <c r="A428" s="138" t="s">
        <v>15</v>
      </c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40"/>
      <c r="M428" s="4"/>
      <c r="N428" s="8"/>
      <c r="O428" s="133" t="s">
        <v>17</v>
      </c>
      <c r="P428" s="134"/>
      <c r="Q428" s="134"/>
      <c r="R428" s="135"/>
      <c r="S428" s="9"/>
      <c r="T428" s="133" t="s">
        <v>18</v>
      </c>
      <c r="U428" s="134"/>
      <c r="V428" s="134"/>
      <c r="W428" s="134"/>
      <c r="X428" s="134"/>
      <c r="Y428" s="135"/>
      <c r="Z428" s="10"/>
    </row>
    <row r="429" spans="1:26" s="5" customFormat="1" ht="18" customHeight="1" x14ac:dyDescent="0.2">
      <c r="A429" s="47"/>
      <c r="B429" s="45"/>
      <c r="C429" s="147" t="s">
        <v>94</v>
      </c>
      <c r="D429" s="147"/>
      <c r="E429" s="147"/>
      <c r="F429" s="147"/>
      <c r="G429" s="48" t="str">
        <f>$J$1</f>
        <v>February</v>
      </c>
      <c r="H429" s="146">
        <f>$K$1</f>
        <v>2024</v>
      </c>
      <c r="I429" s="146"/>
      <c r="J429" s="45"/>
      <c r="K429" s="49"/>
      <c r="L429" s="50"/>
      <c r="M429" s="6"/>
      <c r="N429" s="11"/>
      <c r="O429" s="12" t="s">
        <v>28</v>
      </c>
      <c r="P429" s="12" t="s">
        <v>5</v>
      </c>
      <c r="Q429" s="12" t="s">
        <v>4</v>
      </c>
      <c r="R429" s="12" t="s">
        <v>29</v>
      </c>
      <c r="S429" s="13"/>
      <c r="T429" s="12" t="s">
        <v>28</v>
      </c>
      <c r="U429" s="12" t="s">
        <v>30</v>
      </c>
      <c r="V429" s="12" t="s">
        <v>10</v>
      </c>
      <c r="W429" s="12" t="s">
        <v>9</v>
      </c>
      <c r="X429" s="12" t="s">
        <v>11</v>
      </c>
      <c r="Y429" s="12" t="s">
        <v>34</v>
      </c>
      <c r="Z429" s="14"/>
    </row>
    <row r="430" spans="1:26" s="5" customFormat="1" ht="18" customHeight="1" x14ac:dyDescent="0.2">
      <c r="A430" s="47"/>
      <c r="B430" s="45"/>
      <c r="C430" s="45"/>
      <c r="D430" s="51"/>
      <c r="E430" s="51"/>
      <c r="F430" s="51"/>
      <c r="G430" s="51"/>
      <c r="H430" s="51"/>
      <c r="I430" s="45"/>
      <c r="J430" s="52" t="s">
        <v>1</v>
      </c>
      <c r="K430" s="53">
        <v>30000</v>
      </c>
      <c r="L430" s="54"/>
      <c r="N430" s="15"/>
      <c r="O430" s="16" t="s">
        <v>20</v>
      </c>
      <c r="P430" s="16">
        <v>31</v>
      </c>
      <c r="Q430" s="16">
        <v>0</v>
      </c>
      <c r="R430" s="16">
        <v>0</v>
      </c>
      <c r="S430" s="17"/>
      <c r="T430" s="16" t="s">
        <v>20</v>
      </c>
      <c r="U430" s="18">
        <v>27500</v>
      </c>
      <c r="V430" s="18">
        <v>12000</v>
      </c>
      <c r="W430" s="18">
        <f>V430+U430</f>
        <v>39500</v>
      </c>
      <c r="X430" s="18">
        <v>5000</v>
      </c>
      <c r="Y430" s="18">
        <f>W430-X430</f>
        <v>34500</v>
      </c>
      <c r="Z430" s="14"/>
    </row>
    <row r="431" spans="1:26" s="5" customFormat="1" ht="18" customHeight="1" x14ac:dyDescent="0.2">
      <c r="A431" s="47"/>
      <c r="B431" s="45" t="s">
        <v>0</v>
      </c>
      <c r="C431" s="44" t="s">
        <v>80</v>
      </c>
      <c r="D431" s="45"/>
      <c r="E431" s="45"/>
      <c r="F431" s="45"/>
      <c r="G431" s="45"/>
      <c r="H431" s="55"/>
      <c r="I431" s="51"/>
      <c r="J431" s="45"/>
      <c r="K431" s="45"/>
      <c r="L431" s="56"/>
      <c r="M431" s="4"/>
      <c r="N431" s="19"/>
      <c r="O431" s="16" t="s">
        <v>46</v>
      </c>
      <c r="P431" s="16">
        <v>25</v>
      </c>
      <c r="Q431" s="16">
        <v>4</v>
      </c>
      <c r="R431" s="16">
        <f>IF(Q431="","",R430-Q431)</f>
        <v>-4</v>
      </c>
      <c r="S431" s="7"/>
      <c r="T431" s="16" t="s">
        <v>46</v>
      </c>
      <c r="U431" s="29">
        <f>Y430</f>
        <v>34500</v>
      </c>
      <c r="V431" s="18">
        <v>10000</v>
      </c>
      <c r="W431" s="29">
        <f>IF(U431="","",U431+V431)</f>
        <v>44500</v>
      </c>
      <c r="X431" s="18">
        <v>10000</v>
      </c>
      <c r="Y431" s="29">
        <f>IF(W431="","",W431-X431)</f>
        <v>34500</v>
      </c>
      <c r="Z431" s="20"/>
    </row>
    <row r="432" spans="1:26" s="5" customFormat="1" ht="18" customHeight="1" x14ac:dyDescent="0.2">
      <c r="A432" s="47"/>
      <c r="B432" s="57" t="s">
        <v>16</v>
      </c>
      <c r="C432" s="58"/>
      <c r="D432" s="45"/>
      <c r="E432" s="45"/>
      <c r="F432" s="141" t="s">
        <v>18</v>
      </c>
      <c r="G432" s="143"/>
      <c r="H432" s="45"/>
      <c r="I432" s="141" t="s">
        <v>19</v>
      </c>
      <c r="J432" s="142"/>
      <c r="K432" s="143"/>
      <c r="L432" s="59"/>
      <c r="N432" s="15"/>
      <c r="O432" s="16" t="s">
        <v>21</v>
      </c>
      <c r="P432" s="16"/>
      <c r="Q432" s="16"/>
      <c r="R432" s="16" t="str">
        <f t="shared" ref="R432:R433" si="107">IF(Q432="","",R431-Q432)</f>
        <v/>
      </c>
      <c r="S432" s="7"/>
      <c r="T432" s="16" t="s">
        <v>21</v>
      </c>
      <c r="U432" s="29"/>
      <c r="V432" s="18"/>
      <c r="W432" s="29" t="str">
        <f t="shared" ref="W432:W441" si="108">IF(U432="","",U432+V432)</f>
        <v/>
      </c>
      <c r="X432" s="18"/>
      <c r="Y432" s="29" t="str">
        <f t="shared" ref="Y432:Y441" si="109">IF(W432="","",W432-X432)</f>
        <v/>
      </c>
      <c r="Z432" s="20"/>
    </row>
    <row r="433" spans="1:29" s="5" customFormat="1" ht="18" customHeight="1" x14ac:dyDescent="0.2">
      <c r="A433" s="47"/>
      <c r="B433" s="45"/>
      <c r="C433" s="45"/>
      <c r="D433" s="45"/>
      <c r="E433" s="45"/>
      <c r="F433" s="45"/>
      <c r="G433" s="45"/>
      <c r="H433" s="60"/>
      <c r="I433" s="45"/>
      <c r="J433" s="45"/>
      <c r="K433" s="45"/>
      <c r="L433" s="61"/>
      <c r="N433" s="15"/>
      <c r="O433" s="16" t="s">
        <v>22</v>
      </c>
      <c r="P433" s="16"/>
      <c r="Q433" s="16"/>
      <c r="R433" s="16" t="str">
        <f t="shared" si="107"/>
        <v/>
      </c>
      <c r="S433" s="7"/>
      <c r="T433" s="16" t="s">
        <v>22</v>
      </c>
      <c r="U433" s="29" t="str">
        <f>IF($J$1="March","",Y432)</f>
        <v/>
      </c>
      <c r="V433" s="18"/>
      <c r="W433" s="29" t="str">
        <f t="shared" si="108"/>
        <v/>
      </c>
      <c r="X433" s="18"/>
      <c r="Y433" s="29" t="str">
        <f t="shared" si="109"/>
        <v/>
      </c>
      <c r="Z433" s="20"/>
    </row>
    <row r="434" spans="1:29" s="5" customFormat="1" ht="18" customHeight="1" x14ac:dyDescent="0.2">
      <c r="A434" s="47"/>
      <c r="B434" s="144" t="s">
        <v>17</v>
      </c>
      <c r="C434" s="145"/>
      <c r="D434" s="45"/>
      <c r="E434" s="45"/>
      <c r="F434" s="62" t="s">
        <v>39</v>
      </c>
      <c r="G434" s="63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60"/>
      <c r="I434" s="64">
        <f>IF(C438&gt;=C437,$K$2,C436+C438)</f>
        <v>21</v>
      </c>
      <c r="J434" s="65" t="s">
        <v>36</v>
      </c>
      <c r="K434" s="66">
        <f>K430/$K$2*I434</f>
        <v>21724.137931034486</v>
      </c>
      <c r="L434" s="67"/>
      <c r="N434" s="15"/>
      <c r="O434" s="16" t="s">
        <v>23</v>
      </c>
      <c r="P434" s="100"/>
      <c r="Q434" s="100"/>
      <c r="R434" s="100"/>
      <c r="S434" s="7"/>
      <c r="T434" s="16" t="s">
        <v>23</v>
      </c>
      <c r="U434" s="29" t="str">
        <f t="shared" ref="U434:U440" si="110">Y433</f>
        <v/>
      </c>
      <c r="V434" s="18"/>
      <c r="W434" s="29" t="str">
        <f t="shared" si="108"/>
        <v/>
      </c>
      <c r="X434" s="18"/>
      <c r="Y434" s="29" t="str">
        <f t="shared" si="109"/>
        <v/>
      </c>
      <c r="Z434" s="20"/>
    </row>
    <row r="435" spans="1:29" s="5" customFormat="1" ht="18" customHeight="1" x14ac:dyDescent="0.2">
      <c r="A435" s="47"/>
      <c r="B435" s="68"/>
      <c r="C435" s="68"/>
      <c r="D435" s="45"/>
      <c r="E435" s="45"/>
      <c r="F435" s="62" t="s">
        <v>10</v>
      </c>
      <c r="G435" s="63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60"/>
      <c r="I435" s="64">
        <v>16</v>
      </c>
      <c r="J435" s="65" t="s">
        <v>37</v>
      </c>
      <c r="K435" s="69">
        <f>K430/$K$2/8*I435</f>
        <v>2068.9655172413795</v>
      </c>
      <c r="L435" s="70"/>
      <c r="N435" s="15"/>
      <c r="O435" s="16" t="s">
        <v>24</v>
      </c>
      <c r="P435" s="16"/>
      <c r="Q435" s="16"/>
      <c r="R435" s="16"/>
      <c r="S435" s="7"/>
      <c r="T435" s="16" t="s">
        <v>24</v>
      </c>
      <c r="U435" s="29" t="str">
        <f t="shared" si="110"/>
        <v/>
      </c>
      <c r="V435" s="18"/>
      <c r="W435" s="29" t="str">
        <f t="shared" si="108"/>
        <v/>
      </c>
      <c r="X435" s="18"/>
      <c r="Y435" s="29" t="str">
        <f t="shared" si="109"/>
        <v/>
      </c>
      <c r="Z435" s="20"/>
    </row>
    <row r="436" spans="1:29" s="5" customFormat="1" ht="18" customHeight="1" x14ac:dyDescent="0.2">
      <c r="A436" s="47"/>
      <c r="B436" s="62" t="s">
        <v>5</v>
      </c>
      <c r="C436" s="68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45"/>
      <c r="E436" s="45"/>
      <c r="F436" s="62" t="s">
        <v>40</v>
      </c>
      <c r="G436" s="63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60"/>
      <c r="I436" s="136" t="s">
        <v>44</v>
      </c>
      <c r="J436" s="137"/>
      <c r="K436" s="69">
        <f>K434+K435</f>
        <v>23793.103448275866</v>
      </c>
      <c r="L436" s="70"/>
      <c r="N436" s="15"/>
      <c r="O436" s="16" t="s">
        <v>25</v>
      </c>
      <c r="P436" s="16"/>
      <c r="Q436" s="16"/>
      <c r="R436" s="16"/>
      <c r="S436" s="7"/>
      <c r="T436" s="16" t="s">
        <v>25</v>
      </c>
      <c r="U436" s="29" t="str">
        <f t="shared" si="110"/>
        <v/>
      </c>
      <c r="V436" s="18"/>
      <c r="W436" s="29" t="str">
        <f t="shared" si="108"/>
        <v/>
      </c>
      <c r="X436" s="18"/>
      <c r="Y436" s="29" t="str">
        <f t="shared" si="109"/>
        <v/>
      </c>
      <c r="Z436" s="20"/>
    </row>
    <row r="437" spans="1:29" s="5" customFormat="1" ht="18" customHeight="1" x14ac:dyDescent="0.2">
      <c r="A437" s="47"/>
      <c r="B437" s="62" t="s">
        <v>4</v>
      </c>
      <c r="C437" s="68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4</v>
      </c>
      <c r="D437" s="45"/>
      <c r="E437" s="45"/>
      <c r="F437" s="62" t="s">
        <v>11</v>
      </c>
      <c r="G437" s="63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60"/>
      <c r="I437" s="136" t="s">
        <v>45</v>
      </c>
      <c r="J437" s="137"/>
      <c r="K437" s="63">
        <f>G437</f>
        <v>10000</v>
      </c>
      <c r="L437" s="71"/>
      <c r="N437" s="15"/>
      <c r="O437" s="16" t="s">
        <v>26</v>
      </c>
      <c r="P437" s="16"/>
      <c r="Q437" s="16"/>
      <c r="R437" s="16"/>
      <c r="S437" s="7"/>
      <c r="T437" s="16" t="s">
        <v>26</v>
      </c>
      <c r="U437" s="29" t="str">
        <f t="shared" si="110"/>
        <v/>
      </c>
      <c r="V437" s="18"/>
      <c r="W437" s="29" t="str">
        <f t="shared" si="108"/>
        <v/>
      </c>
      <c r="X437" s="18"/>
      <c r="Y437" s="29" t="str">
        <f t="shared" si="109"/>
        <v/>
      </c>
      <c r="Z437" s="20"/>
      <c r="AC437" s="31"/>
    </row>
    <row r="438" spans="1:29" s="5" customFormat="1" ht="18" customHeight="1" x14ac:dyDescent="0.2">
      <c r="A438" s="47"/>
      <c r="B438" s="77" t="s">
        <v>43</v>
      </c>
      <c r="C438" s="68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-4</v>
      </c>
      <c r="D438" s="45"/>
      <c r="E438" s="45"/>
      <c r="F438" s="77" t="s">
        <v>86</v>
      </c>
      <c r="G438" s="63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45"/>
      <c r="I438" s="141" t="s">
        <v>38</v>
      </c>
      <c r="J438" s="143"/>
      <c r="K438" s="41">
        <f>K436-K437</f>
        <v>13793.103448275866</v>
      </c>
      <c r="L438" s="72"/>
      <c r="N438" s="15"/>
      <c r="O438" s="16" t="s">
        <v>31</v>
      </c>
      <c r="P438" s="16"/>
      <c r="Q438" s="16"/>
      <c r="R438" s="16"/>
      <c r="S438" s="7"/>
      <c r="T438" s="16" t="s">
        <v>31</v>
      </c>
      <c r="U438" s="29" t="str">
        <f t="shared" si="110"/>
        <v/>
      </c>
      <c r="V438" s="18"/>
      <c r="W438" s="29" t="str">
        <f t="shared" si="108"/>
        <v/>
      </c>
      <c r="X438" s="18"/>
      <c r="Y438" s="29" t="str">
        <f t="shared" si="109"/>
        <v/>
      </c>
      <c r="Z438" s="20"/>
    </row>
    <row r="439" spans="1:29" s="5" customFormat="1" ht="18" customHeight="1" x14ac:dyDescent="0.2">
      <c r="A439" s="47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59"/>
      <c r="N439" s="15"/>
      <c r="O439" s="16" t="s">
        <v>27</v>
      </c>
      <c r="P439" s="16"/>
      <c r="Q439" s="16"/>
      <c r="R439" s="16"/>
      <c r="S439" s="7"/>
      <c r="T439" s="16" t="s">
        <v>27</v>
      </c>
      <c r="U439" s="29" t="str">
        <f t="shared" si="110"/>
        <v/>
      </c>
      <c r="V439" s="18"/>
      <c r="W439" s="29" t="str">
        <f t="shared" si="108"/>
        <v/>
      </c>
      <c r="X439" s="18"/>
      <c r="Y439" s="29" t="str">
        <f t="shared" si="109"/>
        <v/>
      </c>
      <c r="Z439" s="20"/>
    </row>
    <row r="440" spans="1:29" s="5" customFormat="1" ht="18" customHeight="1" x14ac:dyDescent="0.3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59"/>
      <c r="N440" s="15"/>
      <c r="O440" s="16" t="s">
        <v>32</v>
      </c>
      <c r="P440" s="16"/>
      <c r="Q440" s="16"/>
      <c r="R440" s="16"/>
      <c r="S440" s="7"/>
      <c r="T440" s="16" t="s">
        <v>32</v>
      </c>
      <c r="U440" s="29" t="str">
        <f t="shared" si="110"/>
        <v/>
      </c>
      <c r="V440" s="18"/>
      <c r="W440" s="29" t="str">
        <f t="shared" si="108"/>
        <v/>
      </c>
      <c r="X440" s="18"/>
      <c r="Y440" s="29" t="str">
        <f t="shared" si="109"/>
        <v/>
      </c>
      <c r="Z440" s="20"/>
    </row>
    <row r="441" spans="1:29" s="5" customFormat="1" ht="18" customHeight="1" thickBot="1" x14ac:dyDescent="0.35">
      <c r="A441" s="73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5"/>
      <c r="N441" s="15"/>
      <c r="O441" s="16" t="s">
        <v>33</v>
      </c>
      <c r="P441" s="16"/>
      <c r="Q441" s="16"/>
      <c r="R441" s="16"/>
      <c r="S441" s="7"/>
      <c r="T441" s="16" t="s">
        <v>33</v>
      </c>
      <c r="U441" s="29" t="str">
        <f>Y440</f>
        <v/>
      </c>
      <c r="V441" s="18"/>
      <c r="W441" s="29" t="str">
        <f t="shared" si="108"/>
        <v/>
      </c>
      <c r="X441" s="18"/>
      <c r="Y441" s="29" t="str">
        <f t="shared" si="109"/>
        <v/>
      </c>
      <c r="Z441" s="20"/>
    </row>
    <row r="442" spans="1:29" s="27" customFormat="1" ht="18" customHeight="1" thickBot="1" x14ac:dyDescent="0.25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9" s="5" customFormat="1" ht="18" customHeight="1" thickBot="1" x14ac:dyDescent="0.25">
      <c r="A443" s="138" t="s">
        <v>15</v>
      </c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40"/>
      <c r="M443" s="4"/>
      <c r="N443" s="8"/>
      <c r="O443" s="133" t="s">
        <v>17</v>
      </c>
      <c r="P443" s="134"/>
      <c r="Q443" s="134"/>
      <c r="R443" s="135"/>
      <c r="S443" s="9"/>
      <c r="T443" s="133" t="s">
        <v>18</v>
      </c>
      <c r="U443" s="134"/>
      <c r="V443" s="134"/>
      <c r="W443" s="134"/>
      <c r="X443" s="134"/>
      <c r="Y443" s="135"/>
      <c r="Z443" s="10"/>
      <c r="AA443" s="4"/>
    </row>
    <row r="444" spans="1:29" s="5" customFormat="1" ht="18" customHeight="1" x14ac:dyDescent="0.2">
      <c r="A444" s="47"/>
      <c r="B444" s="45"/>
      <c r="C444" s="147" t="s">
        <v>94</v>
      </c>
      <c r="D444" s="147"/>
      <c r="E444" s="147"/>
      <c r="F444" s="147"/>
      <c r="G444" s="48" t="str">
        <f>$J$1</f>
        <v>February</v>
      </c>
      <c r="H444" s="146">
        <f>$K$1</f>
        <v>2024</v>
      </c>
      <c r="I444" s="146"/>
      <c r="J444" s="45"/>
      <c r="K444" s="49"/>
      <c r="L444" s="50"/>
      <c r="M444" s="6"/>
      <c r="N444" s="11"/>
      <c r="O444" s="12" t="s">
        <v>28</v>
      </c>
      <c r="P444" s="12" t="s">
        <v>5</v>
      </c>
      <c r="Q444" s="12" t="s">
        <v>4</v>
      </c>
      <c r="R444" s="12" t="s">
        <v>29</v>
      </c>
      <c r="S444" s="13"/>
      <c r="T444" s="12" t="s">
        <v>28</v>
      </c>
      <c r="U444" s="12" t="s">
        <v>30</v>
      </c>
      <c r="V444" s="12" t="s">
        <v>10</v>
      </c>
      <c r="W444" s="12" t="s">
        <v>9</v>
      </c>
      <c r="X444" s="12" t="s">
        <v>11</v>
      </c>
      <c r="Y444" s="12" t="s">
        <v>34</v>
      </c>
      <c r="Z444" s="14"/>
      <c r="AA444" s="6"/>
    </row>
    <row r="445" spans="1:29" s="5" customFormat="1" ht="18" customHeight="1" x14ac:dyDescent="0.2">
      <c r="A445" s="47"/>
      <c r="B445" s="45"/>
      <c r="C445" s="45"/>
      <c r="D445" s="51"/>
      <c r="E445" s="51"/>
      <c r="F445" s="51"/>
      <c r="G445" s="51"/>
      <c r="H445" s="51"/>
      <c r="I445" s="45"/>
      <c r="J445" s="52" t="s">
        <v>1</v>
      </c>
      <c r="K445" s="53">
        <f>20000+2500+2000+2000</f>
        <v>26500</v>
      </c>
      <c r="L445" s="54"/>
      <c r="N445" s="15"/>
      <c r="O445" s="16" t="s">
        <v>20</v>
      </c>
      <c r="P445" s="16">
        <v>31</v>
      </c>
      <c r="Q445" s="16">
        <v>0</v>
      </c>
      <c r="R445" s="16">
        <v>0</v>
      </c>
      <c r="S445" s="17"/>
      <c r="T445" s="16" t="s">
        <v>20</v>
      </c>
      <c r="U445" s="18"/>
      <c r="V445" s="18"/>
      <c r="W445" s="18">
        <f>V445+U445</f>
        <v>0</v>
      </c>
      <c r="X445" s="18"/>
      <c r="Y445" s="18">
        <f>W445-X445</f>
        <v>0</v>
      </c>
      <c r="Z445" s="14"/>
    </row>
    <row r="446" spans="1:29" s="5" customFormat="1" ht="18" customHeight="1" x14ac:dyDescent="0.2">
      <c r="A446" s="47"/>
      <c r="B446" s="45" t="s">
        <v>0</v>
      </c>
      <c r="C446" s="44" t="s">
        <v>61</v>
      </c>
      <c r="D446" s="45"/>
      <c r="E446" s="45"/>
      <c r="F446" s="45"/>
      <c r="G446" s="45"/>
      <c r="H446" s="55"/>
      <c r="I446" s="51"/>
      <c r="J446" s="45"/>
      <c r="K446" s="45"/>
      <c r="L446" s="56"/>
      <c r="M446" s="4"/>
      <c r="N446" s="19"/>
      <c r="O446" s="16" t="s">
        <v>46</v>
      </c>
      <c r="P446" s="16">
        <v>29</v>
      </c>
      <c r="Q446" s="16">
        <v>0</v>
      </c>
      <c r="R446" s="16">
        <f>IF(Q446="","",R445-Q446)</f>
        <v>0</v>
      </c>
      <c r="S446" s="7"/>
      <c r="T446" s="16" t="s">
        <v>46</v>
      </c>
      <c r="U446" s="29">
        <f>IF($J$1="January","",Y445)</f>
        <v>0</v>
      </c>
      <c r="V446" s="18"/>
      <c r="W446" s="29">
        <f>IF(U446="","",U446+V446)</f>
        <v>0</v>
      </c>
      <c r="X446" s="18"/>
      <c r="Y446" s="29">
        <f>IF(W446="","",W446-X446)</f>
        <v>0</v>
      </c>
      <c r="Z446" s="20"/>
      <c r="AA446" s="4"/>
    </row>
    <row r="447" spans="1:29" s="5" customFormat="1" ht="18" customHeight="1" x14ac:dyDescent="0.2">
      <c r="A447" s="47"/>
      <c r="B447" s="57" t="s">
        <v>16</v>
      </c>
      <c r="C447" s="58"/>
      <c r="D447" s="45"/>
      <c r="E447" s="45"/>
      <c r="F447" s="141" t="s">
        <v>18</v>
      </c>
      <c r="G447" s="143"/>
      <c r="H447" s="45"/>
      <c r="I447" s="141" t="s">
        <v>19</v>
      </c>
      <c r="J447" s="142"/>
      <c r="K447" s="143"/>
      <c r="L447" s="59"/>
      <c r="N447" s="15"/>
      <c r="O447" s="16" t="s">
        <v>21</v>
      </c>
      <c r="P447" s="16"/>
      <c r="Q447" s="16"/>
      <c r="R447" s="16">
        <v>0</v>
      </c>
      <c r="S447" s="7"/>
      <c r="T447" s="16" t="s">
        <v>21</v>
      </c>
      <c r="U447" s="29" t="str">
        <f>IF($J$1="February","",Y446)</f>
        <v/>
      </c>
      <c r="V447" s="18"/>
      <c r="W447" s="29" t="str">
        <f t="shared" ref="W447:W456" si="111">IF(U447="","",U447+V447)</f>
        <v/>
      </c>
      <c r="X447" s="18"/>
      <c r="Y447" s="29" t="str">
        <f t="shared" ref="Y447:Y456" si="112">IF(W447="","",W447-X447)</f>
        <v/>
      </c>
      <c r="Z447" s="20"/>
    </row>
    <row r="448" spans="1:29" s="5" customFormat="1" ht="18" customHeight="1" x14ac:dyDescent="0.2">
      <c r="A448" s="47"/>
      <c r="B448" s="45"/>
      <c r="C448" s="45"/>
      <c r="D448" s="45"/>
      <c r="E448" s="45"/>
      <c r="F448" s="45"/>
      <c r="G448" s="45"/>
      <c r="H448" s="60"/>
      <c r="I448" s="45"/>
      <c r="J448" s="45"/>
      <c r="K448" s="45"/>
      <c r="L448" s="61"/>
      <c r="N448" s="15"/>
      <c r="O448" s="16" t="s">
        <v>22</v>
      </c>
      <c r="P448" s="16"/>
      <c r="Q448" s="16"/>
      <c r="R448" s="16">
        <v>0</v>
      </c>
      <c r="S448" s="7"/>
      <c r="T448" s="16" t="s">
        <v>22</v>
      </c>
      <c r="U448" s="29" t="str">
        <f>IF($J$1="March","",Y447)</f>
        <v/>
      </c>
      <c r="V448" s="18"/>
      <c r="W448" s="29" t="str">
        <f t="shared" si="111"/>
        <v/>
      </c>
      <c r="X448" s="18"/>
      <c r="Y448" s="29" t="str">
        <f t="shared" si="112"/>
        <v/>
      </c>
      <c r="Z448" s="20"/>
    </row>
    <row r="449" spans="1:26" s="5" customFormat="1" ht="18" customHeight="1" x14ac:dyDescent="0.2">
      <c r="A449" s="47"/>
      <c r="B449" s="144" t="s">
        <v>17</v>
      </c>
      <c r="C449" s="145"/>
      <c r="D449" s="45"/>
      <c r="E449" s="45"/>
      <c r="F449" s="62" t="s">
        <v>39</v>
      </c>
      <c r="G449" s="63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60"/>
      <c r="I449" s="64">
        <f>IF(C453&gt;=C452,$K$2,C451+C453)</f>
        <v>29</v>
      </c>
      <c r="J449" s="65" t="s">
        <v>36</v>
      </c>
      <c r="K449" s="66">
        <f>K445/$K$2*I449</f>
        <v>26500</v>
      </c>
      <c r="L449" s="67"/>
      <c r="N449" s="15"/>
      <c r="O449" s="16" t="s">
        <v>23</v>
      </c>
      <c r="P449" s="16"/>
      <c r="Q449" s="16"/>
      <c r="R449" s="16">
        <v>0</v>
      </c>
      <c r="S449" s="7"/>
      <c r="T449" s="16" t="s">
        <v>23</v>
      </c>
      <c r="U449" s="29" t="str">
        <f>IF($J$1="April","",Y448)</f>
        <v/>
      </c>
      <c r="V449" s="18"/>
      <c r="W449" s="29" t="str">
        <f t="shared" si="111"/>
        <v/>
      </c>
      <c r="X449" s="18"/>
      <c r="Y449" s="29" t="str">
        <f t="shared" si="112"/>
        <v/>
      </c>
      <c r="Z449" s="20"/>
    </row>
    <row r="450" spans="1:26" s="5" customFormat="1" ht="18" customHeight="1" x14ac:dyDescent="0.2">
      <c r="A450" s="47"/>
      <c r="B450" s="68"/>
      <c r="C450" s="68"/>
      <c r="D450" s="45"/>
      <c r="E450" s="45"/>
      <c r="F450" s="62" t="s">
        <v>10</v>
      </c>
      <c r="G450" s="63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60"/>
      <c r="I450" s="64">
        <v>91</v>
      </c>
      <c r="J450" s="65" t="s">
        <v>37</v>
      </c>
      <c r="K450" s="69">
        <f>K445/$K$2/8*I450</f>
        <v>10394.396551724138</v>
      </c>
      <c r="L450" s="70"/>
      <c r="N450" s="15"/>
      <c r="O450" s="16" t="s">
        <v>24</v>
      </c>
      <c r="P450" s="16"/>
      <c r="Q450" s="16"/>
      <c r="R450" s="16">
        <v>0</v>
      </c>
      <c r="S450" s="7"/>
      <c r="T450" s="16" t="s">
        <v>24</v>
      </c>
      <c r="U450" s="29" t="str">
        <f>IF($J$1="May","",Y449)</f>
        <v/>
      </c>
      <c r="V450" s="18"/>
      <c r="W450" s="29" t="str">
        <f t="shared" si="111"/>
        <v/>
      </c>
      <c r="X450" s="18"/>
      <c r="Y450" s="29" t="str">
        <f t="shared" si="112"/>
        <v/>
      </c>
      <c r="Z450" s="20"/>
    </row>
    <row r="451" spans="1:26" s="5" customFormat="1" ht="18" customHeight="1" x14ac:dyDescent="0.2">
      <c r="A451" s="47"/>
      <c r="B451" s="62" t="s">
        <v>5</v>
      </c>
      <c r="C451" s="68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29</v>
      </c>
      <c r="D451" s="45"/>
      <c r="E451" s="45"/>
      <c r="F451" s="62" t="s">
        <v>40</v>
      </c>
      <c r="G451" s="63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60"/>
      <c r="I451" s="136" t="s">
        <v>44</v>
      </c>
      <c r="J451" s="137"/>
      <c r="K451" s="69">
        <f>K449+K450</f>
        <v>36894.396551724138</v>
      </c>
      <c r="L451" s="70"/>
      <c r="N451" s="15"/>
      <c r="O451" s="16" t="s">
        <v>25</v>
      </c>
      <c r="P451" s="16"/>
      <c r="Q451" s="16"/>
      <c r="R451" s="16">
        <v>0</v>
      </c>
      <c r="S451" s="7"/>
      <c r="T451" s="16" t="s">
        <v>25</v>
      </c>
      <c r="U451" s="29" t="str">
        <f>IF($J$1="June","",Y450)</f>
        <v/>
      </c>
      <c r="V451" s="18"/>
      <c r="W451" s="29" t="str">
        <f t="shared" si="111"/>
        <v/>
      </c>
      <c r="X451" s="18"/>
      <c r="Y451" s="29" t="str">
        <f t="shared" si="112"/>
        <v/>
      </c>
      <c r="Z451" s="20"/>
    </row>
    <row r="452" spans="1:26" s="5" customFormat="1" ht="18" customHeight="1" x14ac:dyDescent="0.2">
      <c r="A452" s="47"/>
      <c r="B452" s="62" t="s">
        <v>4</v>
      </c>
      <c r="C452" s="68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45"/>
      <c r="E452" s="45"/>
      <c r="F452" s="62" t="s">
        <v>11</v>
      </c>
      <c r="G452" s="63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60"/>
      <c r="I452" s="136" t="s">
        <v>45</v>
      </c>
      <c r="J452" s="137"/>
      <c r="K452" s="63">
        <f>G452</f>
        <v>0</v>
      </c>
      <c r="L452" s="71"/>
      <c r="N452" s="15"/>
      <c r="O452" s="16" t="s">
        <v>26</v>
      </c>
      <c r="P452" s="16"/>
      <c r="Q452" s="16"/>
      <c r="R452" s="16">
        <v>0</v>
      </c>
      <c r="S452" s="7"/>
      <c r="T452" s="16" t="s">
        <v>26</v>
      </c>
      <c r="U452" s="29" t="str">
        <f>IF($J$1="July","",Y451)</f>
        <v/>
      </c>
      <c r="V452" s="18"/>
      <c r="W452" s="29" t="str">
        <f t="shared" si="111"/>
        <v/>
      </c>
      <c r="X452" s="18"/>
      <c r="Y452" s="29" t="str">
        <f t="shared" si="112"/>
        <v/>
      </c>
      <c r="Z452" s="20"/>
    </row>
    <row r="453" spans="1:26" s="5" customFormat="1" ht="18" customHeight="1" x14ac:dyDescent="0.2">
      <c r="A453" s="47"/>
      <c r="B453" s="77" t="s">
        <v>43</v>
      </c>
      <c r="C453" s="68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45"/>
      <c r="E453" s="45"/>
      <c r="F453" s="77" t="s">
        <v>86</v>
      </c>
      <c r="G453" s="63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45"/>
      <c r="I453" s="141" t="s">
        <v>38</v>
      </c>
      <c r="J453" s="143"/>
      <c r="K453" s="41">
        <f>K451-K452</f>
        <v>36894.396551724138</v>
      </c>
      <c r="L453" s="72"/>
      <c r="N453" s="15"/>
      <c r="O453" s="16" t="s">
        <v>31</v>
      </c>
      <c r="P453" s="16"/>
      <c r="Q453" s="16"/>
      <c r="R453" s="16">
        <v>0</v>
      </c>
      <c r="S453" s="7"/>
      <c r="T453" s="16" t="s">
        <v>31</v>
      </c>
      <c r="U453" s="29" t="str">
        <f>IF($J$1="September",Y452,"")</f>
        <v/>
      </c>
      <c r="V453" s="18"/>
      <c r="W453" s="29" t="str">
        <f t="shared" si="111"/>
        <v/>
      </c>
      <c r="X453" s="18"/>
      <c r="Y453" s="29" t="str">
        <f t="shared" si="112"/>
        <v/>
      </c>
      <c r="Z453" s="20"/>
    </row>
    <row r="454" spans="1:26" s="5" customFormat="1" ht="18" customHeight="1" x14ac:dyDescent="0.2">
      <c r="A454" s="47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59"/>
      <c r="N454" s="15"/>
      <c r="O454" s="16" t="s">
        <v>27</v>
      </c>
      <c r="P454" s="16"/>
      <c r="Q454" s="16"/>
      <c r="R454" s="16">
        <v>0</v>
      </c>
      <c r="S454" s="7"/>
      <c r="T454" s="16" t="s">
        <v>27</v>
      </c>
      <c r="U454" s="29" t="str">
        <f>Y453</f>
        <v/>
      </c>
      <c r="V454" s="18"/>
      <c r="W454" s="29" t="str">
        <f t="shared" si="111"/>
        <v/>
      </c>
      <c r="X454" s="18"/>
      <c r="Y454" s="29" t="str">
        <f t="shared" si="112"/>
        <v/>
      </c>
      <c r="Z454" s="20"/>
    </row>
    <row r="455" spans="1:26" s="5" customFormat="1" ht="18" customHeight="1" x14ac:dyDescent="0.3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59"/>
      <c r="N455" s="15"/>
      <c r="O455" s="16" t="s">
        <v>32</v>
      </c>
      <c r="P455" s="16"/>
      <c r="Q455" s="16"/>
      <c r="R455" s="16" t="str">
        <f t="shared" ref="R455:R456" si="113">IF(Q455="","",R454-Q455)</f>
        <v/>
      </c>
      <c r="S455" s="7"/>
      <c r="T455" s="16" t="s">
        <v>32</v>
      </c>
      <c r="U455" s="29" t="str">
        <f>Y454</f>
        <v/>
      </c>
      <c r="V455" s="18"/>
      <c r="W455" s="29" t="str">
        <f t="shared" si="111"/>
        <v/>
      </c>
      <c r="X455" s="18"/>
      <c r="Y455" s="29" t="str">
        <f t="shared" si="112"/>
        <v/>
      </c>
      <c r="Z455" s="20"/>
    </row>
    <row r="456" spans="1:26" s="5" customFormat="1" ht="18" customHeight="1" thickBot="1" x14ac:dyDescent="0.35">
      <c r="A456" s="73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5"/>
      <c r="N456" s="15"/>
      <c r="O456" s="16" t="s">
        <v>33</v>
      </c>
      <c r="P456" s="16"/>
      <c r="Q456" s="16"/>
      <c r="R456" s="16" t="str">
        <f t="shared" si="113"/>
        <v/>
      </c>
      <c r="S456" s="7"/>
      <c r="T456" s="16" t="s">
        <v>33</v>
      </c>
      <c r="U456" s="29">
        <v>0</v>
      </c>
      <c r="V456" s="18"/>
      <c r="W456" s="29">
        <f t="shared" si="111"/>
        <v>0</v>
      </c>
      <c r="X456" s="18"/>
      <c r="Y456" s="29">
        <f t="shared" si="112"/>
        <v>0</v>
      </c>
      <c r="Z456" s="20"/>
    </row>
    <row r="457" spans="1:26" s="27" customFormat="1" ht="18" customHeight="1" thickBot="1" x14ac:dyDescent="0.25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s="5" customFormat="1" ht="18" customHeight="1" thickBot="1" x14ac:dyDescent="0.25">
      <c r="A458" s="138" t="s">
        <v>15</v>
      </c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40"/>
      <c r="M458" s="4"/>
      <c r="N458" s="8"/>
      <c r="O458" s="133" t="s">
        <v>17</v>
      </c>
      <c r="P458" s="134"/>
      <c r="Q458" s="134"/>
      <c r="R458" s="135"/>
      <c r="S458" s="9"/>
      <c r="T458" s="133" t="s">
        <v>18</v>
      </c>
      <c r="U458" s="134"/>
      <c r="V458" s="134"/>
      <c r="W458" s="134"/>
      <c r="X458" s="134"/>
      <c r="Y458" s="135"/>
      <c r="Z458" s="10"/>
    </row>
    <row r="459" spans="1:26" s="5" customFormat="1" ht="18" customHeight="1" x14ac:dyDescent="0.2">
      <c r="A459" s="47"/>
      <c r="B459" s="45"/>
      <c r="C459" s="147" t="s">
        <v>94</v>
      </c>
      <c r="D459" s="147"/>
      <c r="E459" s="147"/>
      <c r="F459" s="147"/>
      <c r="G459" s="48" t="str">
        <f>$J$1</f>
        <v>February</v>
      </c>
      <c r="H459" s="146">
        <f>$K$1</f>
        <v>2024</v>
      </c>
      <c r="I459" s="146"/>
      <c r="J459" s="45"/>
      <c r="K459" s="49"/>
      <c r="L459" s="50"/>
      <c r="M459" s="6"/>
      <c r="N459" s="11"/>
      <c r="O459" s="12" t="s">
        <v>28</v>
      </c>
      <c r="P459" s="12" t="s">
        <v>5</v>
      </c>
      <c r="Q459" s="12" t="s">
        <v>4</v>
      </c>
      <c r="R459" s="12" t="s">
        <v>29</v>
      </c>
      <c r="S459" s="13"/>
      <c r="T459" s="12" t="s">
        <v>28</v>
      </c>
      <c r="U459" s="12" t="s">
        <v>30</v>
      </c>
      <c r="V459" s="12" t="s">
        <v>10</v>
      </c>
      <c r="W459" s="12" t="s">
        <v>9</v>
      </c>
      <c r="X459" s="12" t="s">
        <v>11</v>
      </c>
      <c r="Y459" s="12" t="s">
        <v>34</v>
      </c>
      <c r="Z459" s="14"/>
    </row>
    <row r="460" spans="1:26" s="5" customFormat="1" ht="18" customHeight="1" x14ac:dyDescent="0.2">
      <c r="A460" s="47"/>
      <c r="B460" s="45"/>
      <c r="C460" s="45"/>
      <c r="D460" s="51"/>
      <c r="E460" s="51"/>
      <c r="F460" s="51"/>
      <c r="G460" s="51"/>
      <c r="H460" s="51"/>
      <c r="I460" s="45"/>
      <c r="J460" s="52" t="s">
        <v>1</v>
      </c>
      <c r="K460" s="53">
        <f>20000+2500+2000+2000</f>
        <v>26500</v>
      </c>
      <c r="L460" s="54"/>
      <c r="N460" s="15"/>
      <c r="O460" s="16" t="s">
        <v>20</v>
      </c>
      <c r="P460" s="16">
        <v>31</v>
      </c>
      <c r="Q460" s="16">
        <v>0</v>
      </c>
      <c r="R460" s="16">
        <v>0</v>
      </c>
      <c r="S460" s="17"/>
      <c r="T460" s="16" t="s">
        <v>20</v>
      </c>
      <c r="U460" s="18"/>
      <c r="V460" s="18"/>
      <c r="W460" s="18">
        <f>V460+U460</f>
        <v>0</v>
      </c>
      <c r="X460" s="18"/>
      <c r="Y460" s="18">
        <f>W460-X460</f>
        <v>0</v>
      </c>
      <c r="Z460" s="14"/>
    </row>
    <row r="461" spans="1:26" s="5" customFormat="1" ht="18" customHeight="1" x14ac:dyDescent="0.2">
      <c r="A461" s="47"/>
      <c r="B461" s="45" t="s">
        <v>0</v>
      </c>
      <c r="C461" s="44" t="s">
        <v>70</v>
      </c>
      <c r="D461" s="45"/>
      <c r="E461" s="45"/>
      <c r="F461" s="45"/>
      <c r="G461" s="45"/>
      <c r="H461" s="55"/>
      <c r="I461" s="51"/>
      <c r="J461" s="45"/>
      <c r="K461" s="45"/>
      <c r="L461" s="56"/>
      <c r="M461" s="4"/>
      <c r="N461" s="19"/>
      <c r="O461" s="16" t="s">
        <v>46</v>
      </c>
      <c r="P461" s="16">
        <v>29</v>
      </c>
      <c r="Q461" s="16">
        <v>0</v>
      </c>
      <c r="R461" s="16">
        <v>0</v>
      </c>
      <c r="S461" s="7"/>
      <c r="T461" s="16" t="s">
        <v>46</v>
      </c>
      <c r="U461" s="29">
        <f>IF($J$1="January","",Y460)</f>
        <v>0</v>
      </c>
      <c r="V461" s="18"/>
      <c r="W461" s="29">
        <f>IF(U461="","",U461+V461)</f>
        <v>0</v>
      </c>
      <c r="X461" s="18"/>
      <c r="Y461" s="29">
        <f>IF(W461="","",W461-X461)</f>
        <v>0</v>
      </c>
      <c r="Z461" s="20"/>
    </row>
    <row r="462" spans="1:26" s="5" customFormat="1" ht="18" customHeight="1" x14ac:dyDescent="0.2">
      <c r="A462" s="47"/>
      <c r="B462" s="57"/>
      <c r="C462" s="58"/>
      <c r="D462" s="45"/>
      <c r="E462" s="45"/>
      <c r="F462" s="141" t="s">
        <v>18</v>
      </c>
      <c r="G462" s="143"/>
      <c r="H462" s="45"/>
      <c r="I462" s="141" t="s">
        <v>19</v>
      </c>
      <c r="J462" s="142"/>
      <c r="K462" s="143"/>
      <c r="L462" s="59"/>
      <c r="N462" s="15"/>
      <c r="O462" s="16" t="s">
        <v>21</v>
      </c>
      <c r="P462" s="16"/>
      <c r="Q462" s="16"/>
      <c r="R462" s="16">
        <v>0</v>
      </c>
      <c r="S462" s="7"/>
      <c r="T462" s="16" t="s">
        <v>21</v>
      </c>
      <c r="U462" s="29" t="str">
        <f>IF($J$1="February","",Y461)</f>
        <v/>
      </c>
      <c r="V462" s="18"/>
      <c r="W462" s="29" t="str">
        <f t="shared" ref="W462:W471" si="114">IF(U462="","",U462+V462)</f>
        <v/>
      </c>
      <c r="X462" s="18"/>
      <c r="Y462" s="29" t="str">
        <f t="shared" ref="Y462:Y471" si="115">IF(W462="","",W462-X462)</f>
        <v/>
      </c>
      <c r="Z462" s="20"/>
    </row>
    <row r="463" spans="1:26" s="5" customFormat="1" ht="18" customHeight="1" x14ac:dyDescent="0.2">
      <c r="A463" s="47"/>
      <c r="B463" s="45"/>
      <c r="C463" s="45"/>
      <c r="D463" s="45"/>
      <c r="E463" s="45"/>
      <c r="F463" s="45"/>
      <c r="G463" s="45"/>
      <c r="H463" s="60"/>
      <c r="I463" s="45"/>
      <c r="J463" s="45"/>
      <c r="K463" s="45"/>
      <c r="L463" s="61"/>
      <c r="N463" s="15"/>
      <c r="O463" s="16" t="s">
        <v>22</v>
      </c>
      <c r="P463" s="16"/>
      <c r="Q463" s="16"/>
      <c r="R463" s="16">
        <v>0</v>
      </c>
      <c r="S463" s="7"/>
      <c r="T463" s="16" t="s">
        <v>22</v>
      </c>
      <c r="U463" s="29" t="str">
        <f>IF($J$1="March","",Y462)</f>
        <v/>
      </c>
      <c r="V463" s="18"/>
      <c r="W463" s="29" t="str">
        <f t="shared" si="114"/>
        <v/>
      </c>
      <c r="X463" s="18"/>
      <c r="Y463" s="29" t="str">
        <f t="shared" si="115"/>
        <v/>
      </c>
      <c r="Z463" s="20"/>
    </row>
    <row r="464" spans="1:26" s="5" customFormat="1" ht="18" customHeight="1" x14ac:dyDescent="0.2">
      <c r="A464" s="47"/>
      <c r="B464" s="144" t="s">
        <v>17</v>
      </c>
      <c r="C464" s="145"/>
      <c r="D464" s="45"/>
      <c r="E464" s="45"/>
      <c r="F464" s="62" t="s">
        <v>39</v>
      </c>
      <c r="G464" s="63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60"/>
      <c r="I464" s="64">
        <f>IF(C468&gt;=C467,$K$2,C466+C468)</f>
        <v>29</v>
      </c>
      <c r="J464" s="65" t="s">
        <v>36</v>
      </c>
      <c r="K464" s="66">
        <f>K460/$K$2*I464</f>
        <v>26500</v>
      </c>
      <c r="L464" s="67"/>
      <c r="N464" s="15"/>
      <c r="O464" s="16" t="s">
        <v>23</v>
      </c>
      <c r="P464" s="16"/>
      <c r="Q464" s="16"/>
      <c r="R464" s="16">
        <v>0</v>
      </c>
      <c r="S464" s="7"/>
      <c r="T464" s="16" t="s">
        <v>23</v>
      </c>
      <c r="U464" s="29" t="str">
        <f>IF($J$1="April","",Y463)</f>
        <v/>
      </c>
      <c r="V464" s="18"/>
      <c r="W464" s="29" t="str">
        <f t="shared" si="114"/>
        <v/>
      </c>
      <c r="X464" s="18"/>
      <c r="Y464" s="29" t="str">
        <f t="shared" si="115"/>
        <v/>
      </c>
      <c r="Z464" s="20"/>
    </row>
    <row r="465" spans="1:27" s="5" customFormat="1" ht="18" customHeight="1" x14ac:dyDescent="0.2">
      <c r="A465" s="47"/>
      <c r="B465" s="68"/>
      <c r="C465" s="68"/>
      <c r="D465" s="45"/>
      <c r="E465" s="45"/>
      <c r="F465" s="62" t="s">
        <v>10</v>
      </c>
      <c r="G465" s="63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60"/>
      <c r="I465" s="64">
        <v>64</v>
      </c>
      <c r="J465" s="65" t="s">
        <v>37</v>
      </c>
      <c r="K465" s="69">
        <f>K460/$K$2/8*I465</f>
        <v>7310.3448275862065</v>
      </c>
      <c r="L465" s="70"/>
      <c r="N465" s="15"/>
      <c r="O465" s="16" t="s">
        <v>24</v>
      </c>
      <c r="P465" s="16"/>
      <c r="Q465" s="16"/>
      <c r="R465" s="16">
        <v>0</v>
      </c>
      <c r="S465" s="7"/>
      <c r="T465" s="16" t="s">
        <v>24</v>
      </c>
      <c r="U465" s="29" t="str">
        <f>IF($J$1="May","",Y464)</f>
        <v/>
      </c>
      <c r="V465" s="18"/>
      <c r="W465" s="29" t="str">
        <f t="shared" si="114"/>
        <v/>
      </c>
      <c r="X465" s="18"/>
      <c r="Y465" s="29" t="str">
        <f t="shared" si="115"/>
        <v/>
      </c>
      <c r="Z465" s="20"/>
    </row>
    <row r="466" spans="1:27" s="5" customFormat="1" ht="18" customHeight="1" x14ac:dyDescent="0.2">
      <c r="A466" s="47"/>
      <c r="B466" s="62" t="s">
        <v>5</v>
      </c>
      <c r="C466" s="68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29</v>
      </c>
      <c r="D466" s="45"/>
      <c r="E466" s="45"/>
      <c r="F466" s="62" t="s">
        <v>40</v>
      </c>
      <c r="G466" s="63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60"/>
      <c r="I466" s="136" t="s">
        <v>44</v>
      </c>
      <c r="J466" s="137"/>
      <c r="K466" s="69">
        <f>K464+K465</f>
        <v>33810.344827586203</v>
      </c>
      <c r="L466" s="70"/>
      <c r="N466" s="15"/>
      <c r="O466" s="16" t="s">
        <v>25</v>
      </c>
      <c r="P466" s="16"/>
      <c r="Q466" s="16"/>
      <c r="R466" s="16">
        <v>0</v>
      </c>
      <c r="S466" s="7"/>
      <c r="T466" s="16" t="s">
        <v>25</v>
      </c>
      <c r="U466" s="29" t="str">
        <f>IF($J$1="June","",Y465)</f>
        <v/>
      </c>
      <c r="V466" s="18"/>
      <c r="W466" s="29" t="str">
        <f t="shared" si="114"/>
        <v/>
      </c>
      <c r="X466" s="18"/>
      <c r="Y466" s="29" t="str">
        <f t="shared" si="115"/>
        <v/>
      </c>
      <c r="Z466" s="20"/>
    </row>
    <row r="467" spans="1:27" s="5" customFormat="1" ht="18" customHeight="1" x14ac:dyDescent="0.2">
      <c r="A467" s="47"/>
      <c r="B467" s="62" t="s">
        <v>4</v>
      </c>
      <c r="C467" s="68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45"/>
      <c r="E467" s="45"/>
      <c r="F467" s="62" t="s">
        <v>11</v>
      </c>
      <c r="G467" s="63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60"/>
      <c r="I467" s="136" t="s">
        <v>45</v>
      </c>
      <c r="J467" s="137"/>
      <c r="K467" s="63">
        <f>G467</f>
        <v>0</v>
      </c>
      <c r="L467" s="71"/>
      <c r="N467" s="15"/>
      <c r="O467" s="16" t="s">
        <v>26</v>
      </c>
      <c r="P467" s="16"/>
      <c r="Q467" s="16"/>
      <c r="R467" s="16">
        <v>0</v>
      </c>
      <c r="S467" s="7"/>
      <c r="T467" s="16" t="s">
        <v>26</v>
      </c>
      <c r="U467" s="29" t="str">
        <f>IF($J$1="July","",Y466)</f>
        <v/>
      </c>
      <c r="V467" s="18"/>
      <c r="W467" s="29" t="str">
        <f t="shared" si="114"/>
        <v/>
      </c>
      <c r="X467" s="18"/>
      <c r="Y467" s="29" t="str">
        <f t="shared" si="115"/>
        <v/>
      </c>
      <c r="Z467" s="20"/>
    </row>
    <row r="468" spans="1:27" s="5" customFormat="1" ht="18" customHeight="1" x14ac:dyDescent="0.2">
      <c r="A468" s="47"/>
      <c r="B468" s="77" t="s">
        <v>43</v>
      </c>
      <c r="C468" s="68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45"/>
      <c r="E468" s="45"/>
      <c r="F468" s="77" t="s">
        <v>86</v>
      </c>
      <c r="G468" s="63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45"/>
      <c r="I468" s="141" t="s">
        <v>38</v>
      </c>
      <c r="J468" s="143"/>
      <c r="K468" s="41">
        <f>K466-K467</f>
        <v>33810.344827586203</v>
      </c>
      <c r="L468" s="72"/>
      <c r="N468" s="15"/>
      <c r="O468" s="16" t="s">
        <v>31</v>
      </c>
      <c r="P468" s="16"/>
      <c r="Q468" s="16"/>
      <c r="R468" s="16">
        <v>0</v>
      </c>
      <c r="S468" s="7"/>
      <c r="T468" s="16" t="s">
        <v>31</v>
      </c>
      <c r="U468" s="29" t="str">
        <f>IF($J$1="September",Y467,"")</f>
        <v/>
      </c>
      <c r="V468" s="18"/>
      <c r="W468" s="29" t="str">
        <f t="shared" si="114"/>
        <v/>
      </c>
      <c r="X468" s="18"/>
      <c r="Y468" s="29" t="str">
        <f t="shared" si="115"/>
        <v/>
      </c>
      <c r="Z468" s="20"/>
    </row>
    <row r="469" spans="1:27" s="5" customFormat="1" ht="18" customHeight="1" x14ac:dyDescent="0.2">
      <c r="A469" s="47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59"/>
      <c r="N469" s="15"/>
      <c r="O469" s="16" t="s">
        <v>27</v>
      </c>
      <c r="P469" s="16"/>
      <c r="Q469" s="16"/>
      <c r="R469" s="16">
        <v>0</v>
      </c>
      <c r="S469" s="7"/>
      <c r="T469" s="16" t="s">
        <v>27</v>
      </c>
      <c r="U469" s="29" t="str">
        <f>Y468</f>
        <v/>
      </c>
      <c r="V469" s="18"/>
      <c r="W469" s="29" t="str">
        <f t="shared" si="114"/>
        <v/>
      </c>
      <c r="X469" s="18"/>
      <c r="Y469" s="29" t="str">
        <f t="shared" si="115"/>
        <v/>
      </c>
      <c r="Z469" s="20"/>
    </row>
    <row r="470" spans="1:27" s="5" customFormat="1" ht="18" customHeight="1" x14ac:dyDescent="0.3">
      <c r="A470" s="47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59"/>
      <c r="N470" s="15"/>
      <c r="O470" s="16" t="s">
        <v>32</v>
      </c>
      <c r="P470" s="16"/>
      <c r="Q470" s="16"/>
      <c r="R470" s="16">
        <v>0</v>
      </c>
      <c r="S470" s="7"/>
      <c r="T470" s="16" t="s">
        <v>32</v>
      </c>
      <c r="U470" s="29" t="str">
        <f>Y469</f>
        <v/>
      </c>
      <c r="V470" s="18"/>
      <c r="W470" s="29" t="str">
        <f t="shared" si="114"/>
        <v/>
      </c>
      <c r="X470" s="18"/>
      <c r="Y470" s="29" t="str">
        <f t="shared" si="115"/>
        <v/>
      </c>
      <c r="Z470" s="20"/>
    </row>
    <row r="471" spans="1:27" s="5" customFormat="1" ht="18" customHeight="1" thickBot="1" x14ac:dyDescent="0.35">
      <c r="A471" s="73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5"/>
      <c r="N471" s="15"/>
      <c r="O471" s="16" t="s">
        <v>33</v>
      </c>
      <c r="P471" s="16"/>
      <c r="Q471" s="16"/>
      <c r="R471" s="16">
        <v>0</v>
      </c>
      <c r="S471" s="7"/>
      <c r="T471" s="16" t="s">
        <v>33</v>
      </c>
      <c r="U471" s="29">
        <v>0</v>
      </c>
      <c r="V471" s="18"/>
      <c r="W471" s="29">
        <f t="shared" si="114"/>
        <v>0</v>
      </c>
      <c r="X471" s="18"/>
      <c r="Y471" s="29">
        <f t="shared" si="115"/>
        <v>0</v>
      </c>
      <c r="Z471" s="20"/>
    </row>
    <row r="472" spans="1:27" s="27" customFormat="1" ht="18" customHeight="1" thickBot="1" x14ac:dyDescent="0.25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7" s="5" customFormat="1" ht="18" customHeight="1" thickBot="1" x14ac:dyDescent="0.25">
      <c r="A473" s="138" t="s">
        <v>15</v>
      </c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40"/>
      <c r="M473" s="4"/>
      <c r="N473" s="8"/>
      <c r="O473" s="133" t="s">
        <v>17</v>
      </c>
      <c r="P473" s="134"/>
      <c r="Q473" s="134"/>
      <c r="R473" s="135"/>
      <c r="S473" s="9"/>
      <c r="T473" s="133" t="s">
        <v>18</v>
      </c>
      <c r="U473" s="134"/>
      <c r="V473" s="134"/>
      <c r="W473" s="134"/>
      <c r="X473" s="134"/>
      <c r="Y473" s="135"/>
      <c r="Z473" s="10"/>
      <c r="AA473" s="4"/>
    </row>
    <row r="474" spans="1:27" s="5" customFormat="1" ht="18" customHeight="1" x14ac:dyDescent="0.2">
      <c r="A474" s="47"/>
      <c r="B474" s="45"/>
      <c r="C474" s="147" t="s">
        <v>94</v>
      </c>
      <c r="D474" s="147"/>
      <c r="E474" s="147"/>
      <c r="F474" s="147"/>
      <c r="G474" s="48" t="str">
        <f>$J$1</f>
        <v>February</v>
      </c>
      <c r="H474" s="146">
        <f>$K$1</f>
        <v>2024</v>
      </c>
      <c r="I474" s="146"/>
      <c r="J474" s="45"/>
      <c r="K474" s="49"/>
      <c r="L474" s="50"/>
      <c r="M474" s="6"/>
      <c r="N474" s="11"/>
      <c r="O474" s="12" t="s">
        <v>28</v>
      </c>
      <c r="P474" s="12" t="s">
        <v>5</v>
      </c>
      <c r="Q474" s="12" t="s">
        <v>4</v>
      </c>
      <c r="R474" s="12" t="s">
        <v>29</v>
      </c>
      <c r="S474" s="13"/>
      <c r="T474" s="12" t="s">
        <v>28</v>
      </c>
      <c r="U474" s="12" t="s">
        <v>30</v>
      </c>
      <c r="V474" s="12" t="s">
        <v>10</v>
      </c>
      <c r="W474" s="12" t="s">
        <v>9</v>
      </c>
      <c r="X474" s="12" t="s">
        <v>11</v>
      </c>
      <c r="Y474" s="12" t="s">
        <v>34</v>
      </c>
      <c r="Z474" s="14"/>
      <c r="AA474" s="6"/>
    </row>
    <row r="475" spans="1:27" s="5" customFormat="1" ht="18" customHeight="1" x14ac:dyDescent="0.2">
      <c r="A475" s="47"/>
      <c r="B475" s="45"/>
      <c r="C475" s="45"/>
      <c r="D475" s="51"/>
      <c r="E475" s="51"/>
      <c r="F475" s="51"/>
      <c r="G475" s="51"/>
      <c r="H475" s="51"/>
      <c r="I475" s="45"/>
      <c r="J475" s="52" t="s">
        <v>1</v>
      </c>
      <c r="K475" s="53">
        <f>30000+2000</f>
        <v>32000</v>
      </c>
      <c r="L475" s="54"/>
      <c r="N475" s="15"/>
      <c r="O475" s="16" t="s">
        <v>20</v>
      </c>
      <c r="P475" s="16">
        <v>31</v>
      </c>
      <c r="Q475" s="16">
        <v>0</v>
      </c>
      <c r="R475" s="16"/>
      <c r="S475" s="17"/>
      <c r="T475" s="16" t="s">
        <v>20</v>
      </c>
      <c r="U475" s="18"/>
      <c r="V475" s="18"/>
      <c r="W475" s="18">
        <f>V475+U475</f>
        <v>0</v>
      </c>
      <c r="X475" s="18"/>
      <c r="Y475" s="18">
        <f>W475-X475</f>
        <v>0</v>
      </c>
      <c r="Z475" s="14"/>
    </row>
    <row r="476" spans="1:27" s="5" customFormat="1" ht="18" customHeight="1" x14ac:dyDescent="0.2">
      <c r="A476" s="47"/>
      <c r="B476" s="45" t="s">
        <v>0</v>
      </c>
      <c r="C476" s="44" t="s">
        <v>83</v>
      </c>
      <c r="D476" s="45"/>
      <c r="E476" s="45"/>
      <c r="F476" s="45"/>
      <c r="G476" s="45"/>
      <c r="H476" s="55"/>
      <c r="I476" s="51"/>
      <c r="J476" s="45"/>
      <c r="K476" s="45"/>
      <c r="L476" s="56"/>
      <c r="M476" s="4"/>
      <c r="N476" s="19"/>
      <c r="O476" s="16" t="s">
        <v>46</v>
      </c>
      <c r="P476" s="16">
        <v>29</v>
      </c>
      <c r="Q476" s="16">
        <v>0</v>
      </c>
      <c r="R476" s="16">
        <f t="shared" ref="R476:R485" si="116">IF(Q476="","",R475-Q476)</f>
        <v>0</v>
      </c>
      <c r="S476" s="7"/>
      <c r="T476" s="16" t="s">
        <v>46</v>
      </c>
      <c r="U476" s="29"/>
      <c r="V476" s="18"/>
      <c r="W476" s="29" t="str">
        <f>IF(U476="","",U476+V476)</f>
        <v/>
      </c>
      <c r="X476" s="18"/>
      <c r="Y476" s="29" t="str">
        <f>IF(W476="","",W476-X476)</f>
        <v/>
      </c>
      <c r="Z476" s="20"/>
      <c r="AA476" s="4"/>
    </row>
    <row r="477" spans="1:27" s="5" customFormat="1" ht="18" customHeight="1" x14ac:dyDescent="0.2">
      <c r="A477" s="47"/>
      <c r="B477" s="57" t="s">
        <v>16</v>
      </c>
      <c r="C477" s="58"/>
      <c r="D477" s="45"/>
      <c r="E477" s="45"/>
      <c r="F477" s="141" t="s">
        <v>18</v>
      </c>
      <c r="G477" s="143"/>
      <c r="H477" s="45"/>
      <c r="I477" s="141" t="s">
        <v>19</v>
      </c>
      <c r="J477" s="142"/>
      <c r="K477" s="143"/>
      <c r="L477" s="59"/>
      <c r="N477" s="15"/>
      <c r="O477" s="16" t="s">
        <v>21</v>
      </c>
      <c r="P477" s="16"/>
      <c r="Q477" s="16"/>
      <c r="R477" s="16">
        <v>0</v>
      </c>
      <c r="S477" s="7"/>
      <c r="T477" s="16" t="s">
        <v>21</v>
      </c>
      <c r="U477" s="29"/>
      <c r="V477" s="18"/>
      <c r="W477" s="29" t="str">
        <f t="shared" ref="W477:W486" si="117">IF(U477="","",U477+V477)</f>
        <v/>
      </c>
      <c r="X477" s="18"/>
      <c r="Y477" s="29" t="str">
        <f t="shared" ref="Y477:Y486" si="118">IF(W477="","",W477-X477)</f>
        <v/>
      </c>
      <c r="Z477" s="20"/>
    </row>
    <row r="478" spans="1:27" s="5" customFormat="1" ht="18" customHeight="1" x14ac:dyDescent="0.2">
      <c r="A478" s="47"/>
      <c r="B478" s="45"/>
      <c r="C478" s="45"/>
      <c r="D478" s="45"/>
      <c r="E478" s="45"/>
      <c r="F478" s="45"/>
      <c r="G478" s="45"/>
      <c r="H478" s="60"/>
      <c r="I478" s="45"/>
      <c r="J478" s="45"/>
      <c r="K478" s="45"/>
      <c r="L478" s="61"/>
      <c r="N478" s="15"/>
      <c r="O478" s="16" t="s">
        <v>22</v>
      </c>
      <c r="P478" s="16"/>
      <c r="Q478" s="16"/>
      <c r="R478" s="16" t="str">
        <f t="shared" si="116"/>
        <v/>
      </c>
      <c r="S478" s="7"/>
      <c r="T478" s="16" t="s">
        <v>22</v>
      </c>
      <c r="U478" s="29"/>
      <c r="V478" s="18"/>
      <c r="W478" s="29" t="str">
        <f t="shared" si="117"/>
        <v/>
      </c>
      <c r="X478" s="18"/>
      <c r="Y478" s="29" t="str">
        <f t="shared" si="118"/>
        <v/>
      </c>
      <c r="Z478" s="20"/>
    </row>
    <row r="479" spans="1:27" s="5" customFormat="1" ht="18" customHeight="1" x14ac:dyDescent="0.2">
      <c r="A479" s="47"/>
      <c r="B479" s="144" t="s">
        <v>17</v>
      </c>
      <c r="C479" s="145"/>
      <c r="D479" s="45"/>
      <c r="E479" s="45"/>
      <c r="F479" s="62" t="s">
        <v>39</v>
      </c>
      <c r="G479" s="63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60"/>
      <c r="I479" s="64">
        <f>IF(C483&gt;=C482,$K$2,C481+C483)</f>
        <v>29</v>
      </c>
      <c r="J479" s="65" t="s">
        <v>36</v>
      </c>
      <c r="K479" s="66">
        <f>K475/$K$2*I479</f>
        <v>32000.000000000004</v>
      </c>
      <c r="L479" s="67"/>
      <c r="N479" s="15"/>
      <c r="O479" s="16" t="s">
        <v>23</v>
      </c>
      <c r="P479" s="16"/>
      <c r="Q479" s="16"/>
      <c r="R479" s="16" t="str">
        <f t="shared" si="116"/>
        <v/>
      </c>
      <c r="S479" s="7"/>
      <c r="T479" s="16" t="s">
        <v>23</v>
      </c>
      <c r="U479" s="29"/>
      <c r="V479" s="18"/>
      <c r="W479" s="29" t="str">
        <f t="shared" si="117"/>
        <v/>
      </c>
      <c r="X479" s="18"/>
      <c r="Y479" s="29" t="str">
        <f t="shared" si="118"/>
        <v/>
      </c>
      <c r="Z479" s="20"/>
    </row>
    <row r="480" spans="1:27" s="5" customFormat="1" ht="18" customHeight="1" x14ac:dyDescent="0.2">
      <c r="A480" s="47"/>
      <c r="B480" s="68"/>
      <c r="C480" s="68"/>
      <c r="D480" s="45"/>
      <c r="E480" s="45"/>
      <c r="F480" s="62" t="s">
        <v>10</v>
      </c>
      <c r="G480" s="63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60"/>
      <c r="I480" s="64">
        <v>11</v>
      </c>
      <c r="J480" s="65" t="s">
        <v>37</v>
      </c>
      <c r="K480" s="69">
        <f>K475/$K$2/8*I480</f>
        <v>1517.2413793103449</v>
      </c>
      <c r="L480" s="70"/>
      <c r="N480" s="15"/>
      <c r="O480" s="16" t="s">
        <v>24</v>
      </c>
      <c r="P480" s="16"/>
      <c r="Q480" s="16"/>
      <c r="R480" s="16" t="str">
        <f t="shared" si="116"/>
        <v/>
      </c>
      <c r="S480" s="7"/>
      <c r="T480" s="16" t="s">
        <v>24</v>
      </c>
      <c r="U480" s="29"/>
      <c r="V480" s="18"/>
      <c r="W480" s="29" t="str">
        <f t="shared" si="117"/>
        <v/>
      </c>
      <c r="X480" s="18"/>
      <c r="Y480" s="29" t="str">
        <f t="shared" si="118"/>
        <v/>
      </c>
      <c r="Z480" s="20"/>
    </row>
    <row r="481" spans="1:26" s="5" customFormat="1" ht="18" customHeight="1" x14ac:dyDescent="0.2">
      <c r="A481" s="47"/>
      <c r="B481" s="62" t="s">
        <v>5</v>
      </c>
      <c r="C481" s="68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81" s="45"/>
      <c r="E481" s="45"/>
      <c r="F481" s="62" t="s">
        <v>40</v>
      </c>
      <c r="G481" s="63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60"/>
      <c r="I481" s="136" t="s">
        <v>44</v>
      </c>
      <c r="J481" s="137"/>
      <c r="K481" s="69">
        <f>K479+K480</f>
        <v>33517.241379310348</v>
      </c>
      <c r="L481" s="70"/>
      <c r="N481" s="15"/>
      <c r="O481" s="16" t="s">
        <v>25</v>
      </c>
      <c r="P481" s="16"/>
      <c r="Q481" s="16"/>
      <c r="R481" s="16" t="str">
        <f t="shared" si="116"/>
        <v/>
      </c>
      <c r="S481" s="7"/>
      <c r="T481" s="16" t="s">
        <v>25</v>
      </c>
      <c r="U481" s="29"/>
      <c r="V481" s="18"/>
      <c r="W481" s="29" t="str">
        <f t="shared" si="117"/>
        <v/>
      </c>
      <c r="X481" s="18"/>
      <c r="Y481" s="29" t="str">
        <f t="shared" si="118"/>
        <v/>
      </c>
      <c r="Z481" s="20"/>
    </row>
    <row r="482" spans="1:26" s="5" customFormat="1" ht="18" customHeight="1" x14ac:dyDescent="0.2">
      <c r="A482" s="47"/>
      <c r="B482" s="62" t="s">
        <v>4</v>
      </c>
      <c r="C482" s="68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45"/>
      <c r="E482" s="45"/>
      <c r="F482" s="62" t="s">
        <v>11</v>
      </c>
      <c r="G482" s="63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60"/>
      <c r="I482" s="136" t="s">
        <v>45</v>
      </c>
      <c r="J482" s="137"/>
      <c r="K482" s="63">
        <f>G482</f>
        <v>0</v>
      </c>
      <c r="L482" s="71"/>
      <c r="N482" s="15"/>
      <c r="O482" s="16" t="s">
        <v>26</v>
      </c>
      <c r="P482" s="16"/>
      <c r="Q482" s="16"/>
      <c r="R482" s="16" t="str">
        <f t="shared" si="116"/>
        <v/>
      </c>
      <c r="S482" s="7"/>
      <c r="T482" s="16" t="s">
        <v>26</v>
      </c>
      <c r="U482" s="29">
        <v>0</v>
      </c>
      <c r="V482" s="18"/>
      <c r="W482" s="29">
        <f t="shared" si="117"/>
        <v>0</v>
      </c>
      <c r="X482" s="18"/>
      <c r="Y482" s="29">
        <f t="shared" si="118"/>
        <v>0</v>
      </c>
      <c r="Z482" s="20"/>
    </row>
    <row r="483" spans="1:26" s="5" customFormat="1" ht="18" customHeight="1" x14ac:dyDescent="0.2">
      <c r="A483" s="47"/>
      <c r="B483" s="77" t="s">
        <v>43</v>
      </c>
      <c r="C483" s="68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45"/>
      <c r="E483" s="45"/>
      <c r="F483" s="77" t="s">
        <v>86</v>
      </c>
      <c r="G483" s="63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45"/>
      <c r="I483" s="141" t="s">
        <v>38</v>
      </c>
      <c r="J483" s="143"/>
      <c r="K483" s="41">
        <f>K481-K482</f>
        <v>33517.241379310348</v>
      </c>
      <c r="L483" s="72"/>
      <c r="N483" s="15"/>
      <c r="O483" s="16" t="s">
        <v>31</v>
      </c>
      <c r="P483" s="16"/>
      <c r="Q483" s="16"/>
      <c r="R483" s="16">
        <v>0</v>
      </c>
      <c r="S483" s="7"/>
      <c r="T483" s="16" t="s">
        <v>31</v>
      </c>
      <c r="U483" s="29" t="str">
        <f>IF($J$1="September",Y482,"")</f>
        <v/>
      </c>
      <c r="V483" s="18"/>
      <c r="W483" s="29" t="str">
        <f t="shared" si="117"/>
        <v/>
      </c>
      <c r="X483" s="18"/>
      <c r="Y483" s="29" t="str">
        <f t="shared" si="118"/>
        <v/>
      </c>
      <c r="Z483" s="20"/>
    </row>
    <row r="484" spans="1:26" s="5" customFormat="1" ht="18" customHeight="1" x14ac:dyDescent="0.2">
      <c r="A484" s="47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59"/>
      <c r="N484" s="15"/>
      <c r="O484" s="16" t="s">
        <v>27</v>
      </c>
      <c r="P484" s="16"/>
      <c r="Q484" s="16"/>
      <c r="R484" s="16">
        <v>0</v>
      </c>
      <c r="S484" s="7"/>
      <c r="T484" s="16" t="s">
        <v>27</v>
      </c>
      <c r="U484" s="29" t="str">
        <f>IF($J$1="October",Y483,"")</f>
        <v/>
      </c>
      <c r="V484" s="18"/>
      <c r="W484" s="29" t="str">
        <f t="shared" si="117"/>
        <v/>
      </c>
      <c r="X484" s="18"/>
      <c r="Y484" s="29" t="str">
        <f t="shared" si="118"/>
        <v/>
      </c>
      <c r="Z484" s="20"/>
    </row>
    <row r="485" spans="1:26" s="5" customFormat="1" ht="18" customHeight="1" x14ac:dyDescent="0.3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59"/>
      <c r="N485" s="15"/>
      <c r="O485" s="16" t="s">
        <v>32</v>
      </c>
      <c r="P485" s="16"/>
      <c r="Q485" s="16"/>
      <c r="R485" s="16" t="str">
        <f t="shared" si="116"/>
        <v/>
      </c>
      <c r="S485" s="7"/>
      <c r="T485" s="16" t="s">
        <v>32</v>
      </c>
      <c r="U485" s="29"/>
      <c r="V485" s="18"/>
      <c r="W485" s="29" t="str">
        <f t="shared" si="117"/>
        <v/>
      </c>
      <c r="X485" s="18"/>
      <c r="Y485" s="29" t="str">
        <f t="shared" si="118"/>
        <v/>
      </c>
      <c r="Z485" s="20"/>
    </row>
    <row r="486" spans="1:26" s="5" customFormat="1" ht="18" customHeight="1" thickBot="1" x14ac:dyDescent="0.35">
      <c r="A486" s="73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5"/>
      <c r="N486" s="15"/>
      <c r="O486" s="16" t="s">
        <v>33</v>
      </c>
      <c r="P486" s="16"/>
      <c r="Q486" s="16"/>
      <c r="R486" s="16">
        <v>0</v>
      </c>
      <c r="S486" s="7"/>
      <c r="T486" s="16" t="s">
        <v>33</v>
      </c>
      <c r="U486" s="29"/>
      <c r="V486" s="18"/>
      <c r="W486" s="29" t="str">
        <f t="shared" si="117"/>
        <v/>
      </c>
      <c r="X486" s="18"/>
      <c r="Y486" s="29" t="str">
        <f t="shared" si="118"/>
        <v/>
      </c>
      <c r="Z486" s="20"/>
    </row>
    <row r="487" spans="1:26" s="27" customFormat="1" ht="18" customHeight="1" thickBot="1" x14ac:dyDescent="0.25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s="5" customFormat="1" ht="18" customHeight="1" thickBot="1" x14ac:dyDescent="0.25">
      <c r="A488" s="138" t="s">
        <v>15</v>
      </c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40"/>
      <c r="M488" s="4"/>
      <c r="N488" s="8"/>
      <c r="O488" s="133" t="s">
        <v>17</v>
      </c>
      <c r="P488" s="134"/>
      <c r="Q488" s="134"/>
      <c r="R488" s="135"/>
      <c r="S488" s="9"/>
      <c r="T488" s="133" t="s">
        <v>18</v>
      </c>
      <c r="U488" s="134"/>
      <c r="V488" s="134"/>
      <c r="W488" s="134"/>
      <c r="X488" s="134"/>
      <c r="Y488" s="135"/>
      <c r="Z488" s="10"/>
    </row>
    <row r="489" spans="1:26" s="5" customFormat="1" ht="18" customHeight="1" x14ac:dyDescent="0.2">
      <c r="A489" s="47"/>
      <c r="B489" s="45"/>
      <c r="C489" s="147" t="s">
        <v>94</v>
      </c>
      <c r="D489" s="147"/>
      <c r="E489" s="147"/>
      <c r="F489" s="147"/>
      <c r="G489" s="48" t="str">
        <f>$J$1</f>
        <v>February</v>
      </c>
      <c r="H489" s="146">
        <f>$K$1</f>
        <v>2024</v>
      </c>
      <c r="I489" s="146"/>
      <c r="J489" s="45"/>
      <c r="K489" s="49"/>
      <c r="L489" s="50"/>
      <c r="M489" s="6"/>
      <c r="N489" s="11"/>
      <c r="O489" s="12" t="s">
        <v>28</v>
      </c>
      <c r="P489" s="12" t="s">
        <v>5</v>
      </c>
      <c r="Q489" s="12" t="s">
        <v>4</v>
      </c>
      <c r="R489" s="12" t="s">
        <v>29</v>
      </c>
      <c r="S489" s="13"/>
      <c r="T489" s="12" t="s">
        <v>28</v>
      </c>
      <c r="U489" s="12" t="s">
        <v>30</v>
      </c>
      <c r="V489" s="12" t="s">
        <v>10</v>
      </c>
      <c r="W489" s="12" t="s">
        <v>9</v>
      </c>
      <c r="X489" s="12" t="s">
        <v>11</v>
      </c>
      <c r="Y489" s="12" t="s">
        <v>34</v>
      </c>
      <c r="Z489" s="14"/>
    </row>
    <row r="490" spans="1:26" s="5" customFormat="1" ht="18" customHeight="1" x14ac:dyDescent="0.2">
      <c r="A490" s="47"/>
      <c r="B490" s="45"/>
      <c r="C490" s="45"/>
      <c r="D490" s="51"/>
      <c r="E490" s="51"/>
      <c r="F490" s="51"/>
      <c r="G490" s="51"/>
      <c r="H490" s="51"/>
      <c r="I490" s="45"/>
      <c r="J490" s="52" t="s">
        <v>1</v>
      </c>
      <c r="K490" s="53">
        <f>25000+2500+2000+2000</f>
        <v>31500</v>
      </c>
      <c r="L490" s="54"/>
      <c r="N490" s="15"/>
      <c r="O490" s="16" t="s">
        <v>20</v>
      </c>
      <c r="P490" s="16">
        <v>31</v>
      </c>
      <c r="Q490" s="16">
        <v>0</v>
      </c>
      <c r="R490" s="16">
        <v>0</v>
      </c>
      <c r="S490" s="17"/>
      <c r="T490" s="16" t="s">
        <v>20</v>
      </c>
      <c r="U490" s="18"/>
      <c r="V490" s="18"/>
      <c r="W490" s="18">
        <f>V490+U490</f>
        <v>0</v>
      </c>
      <c r="X490" s="18"/>
      <c r="Y490" s="18">
        <f>W490-X490</f>
        <v>0</v>
      </c>
      <c r="Z490" s="14"/>
    </row>
    <row r="491" spans="1:26" s="5" customFormat="1" ht="18" customHeight="1" x14ac:dyDescent="0.2">
      <c r="A491" s="47"/>
      <c r="B491" s="45" t="s">
        <v>0</v>
      </c>
      <c r="C491" s="44" t="s">
        <v>59</v>
      </c>
      <c r="D491" s="45"/>
      <c r="E491" s="45"/>
      <c r="F491" s="45"/>
      <c r="G491" s="45"/>
      <c r="H491" s="55"/>
      <c r="I491" s="51"/>
      <c r="J491" s="45"/>
      <c r="K491" s="45"/>
      <c r="L491" s="56"/>
      <c r="M491" s="4"/>
      <c r="N491" s="19"/>
      <c r="O491" s="16" t="s">
        <v>46</v>
      </c>
      <c r="P491" s="16">
        <v>29</v>
      </c>
      <c r="Q491" s="16">
        <v>0</v>
      </c>
      <c r="R491" s="16">
        <v>0</v>
      </c>
      <c r="S491" s="7"/>
      <c r="T491" s="16" t="s">
        <v>46</v>
      </c>
      <c r="U491" s="29">
        <f>IF($J$1="January","",Y490)</f>
        <v>0</v>
      </c>
      <c r="V491" s="18"/>
      <c r="W491" s="29">
        <f>IF(U491="","",U491+V491)</f>
        <v>0</v>
      </c>
      <c r="X491" s="18"/>
      <c r="Y491" s="29">
        <f>IF(W491="","",W491-X491)</f>
        <v>0</v>
      </c>
      <c r="Z491" s="20"/>
    </row>
    <row r="492" spans="1:26" s="5" customFormat="1" ht="18" customHeight="1" x14ac:dyDescent="0.2">
      <c r="A492" s="47"/>
      <c r="B492" s="57" t="s">
        <v>16</v>
      </c>
      <c r="C492" s="58"/>
      <c r="D492" s="45"/>
      <c r="E492" s="45"/>
      <c r="F492" s="141" t="s">
        <v>18</v>
      </c>
      <c r="G492" s="143"/>
      <c r="H492" s="45"/>
      <c r="I492" s="141" t="s">
        <v>19</v>
      </c>
      <c r="J492" s="142"/>
      <c r="K492" s="143"/>
      <c r="L492" s="59"/>
      <c r="N492" s="15"/>
      <c r="O492" s="16" t="s">
        <v>21</v>
      </c>
      <c r="P492" s="16"/>
      <c r="Q492" s="16"/>
      <c r="R492" s="16">
        <v>0</v>
      </c>
      <c r="S492" s="7"/>
      <c r="T492" s="16" t="s">
        <v>21</v>
      </c>
      <c r="U492" s="29" t="str">
        <f>IF($J$1="February","",Y491)</f>
        <v/>
      </c>
      <c r="V492" s="18"/>
      <c r="W492" s="29" t="str">
        <f t="shared" ref="W492:W501" si="119">IF(U492="","",U492+V492)</f>
        <v/>
      </c>
      <c r="X492" s="18"/>
      <c r="Y492" s="29" t="str">
        <f t="shared" ref="Y492:Y501" si="120">IF(W492="","",W492-X492)</f>
        <v/>
      </c>
      <c r="Z492" s="20"/>
    </row>
    <row r="493" spans="1:26" s="5" customFormat="1" ht="18" customHeight="1" x14ac:dyDescent="0.2">
      <c r="A493" s="47"/>
      <c r="B493" s="45"/>
      <c r="C493" s="45"/>
      <c r="D493" s="45"/>
      <c r="E493" s="45"/>
      <c r="F493" s="45"/>
      <c r="G493" s="45"/>
      <c r="H493" s="60"/>
      <c r="I493" s="45"/>
      <c r="J493" s="45"/>
      <c r="K493" s="45"/>
      <c r="L493" s="61"/>
      <c r="N493" s="15"/>
      <c r="O493" s="16" t="s">
        <v>22</v>
      </c>
      <c r="P493" s="16"/>
      <c r="Q493" s="16"/>
      <c r="R493" s="16">
        <v>0</v>
      </c>
      <c r="S493" s="7"/>
      <c r="T493" s="16" t="s">
        <v>22</v>
      </c>
      <c r="U493" s="29" t="str">
        <f>IF($J$1="March","",Y492)</f>
        <v/>
      </c>
      <c r="V493" s="18"/>
      <c r="W493" s="29" t="str">
        <f t="shared" si="119"/>
        <v/>
      </c>
      <c r="X493" s="18"/>
      <c r="Y493" s="29" t="str">
        <f t="shared" si="120"/>
        <v/>
      </c>
      <c r="Z493" s="20"/>
    </row>
    <row r="494" spans="1:26" s="5" customFormat="1" ht="18" customHeight="1" x14ac:dyDescent="0.2">
      <c r="A494" s="47"/>
      <c r="B494" s="144" t="s">
        <v>17</v>
      </c>
      <c r="C494" s="145"/>
      <c r="D494" s="45"/>
      <c r="E494" s="45"/>
      <c r="F494" s="62" t="s">
        <v>39</v>
      </c>
      <c r="G494" s="63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60"/>
      <c r="I494" s="64">
        <f>IF(C498&gt;=C497,$K$2,C496+C498)</f>
        <v>29</v>
      </c>
      <c r="J494" s="65" t="s">
        <v>36</v>
      </c>
      <c r="K494" s="66">
        <f>K490/$K$2*I494</f>
        <v>31500</v>
      </c>
      <c r="L494" s="67"/>
      <c r="N494" s="15"/>
      <c r="O494" s="16" t="s">
        <v>23</v>
      </c>
      <c r="P494" s="16"/>
      <c r="Q494" s="16"/>
      <c r="R494" s="16">
        <v>0</v>
      </c>
      <c r="S494" s="7"/>
      <c r="T494" s="16" t="s">
        <v>23</v>
      </c>
      <c r="U494" s="29" t="str">
        <f>IF($J$1="April","",Y493)</f>
        <v/>
      </c>
      <c r="V494" s="18"/>
      <c r="W494" s="29" t="str">
        <f t="shared" si="119"/>
        <v/>
      </c>
      <c r="X494" s="18"/>
      <c r="Y494" s="29" t="str">
        <f t="shared" si="120"/>
        <v/>
      </c>
      <c r="Z494" s="20"/>
    </row>
    <row r="495" spans="1:26" s="5" customFormat="1" ht="18" customHeight="1" x14ac:dyDescent="0.2">
      <c r="A495" s="47"/>
      <c r="B495" s="68"/>
      <c r="C495" s="68"/>
      <c r="D495" s="45"/>
      <c r="E495" s="45"/>
      <c r="F495" s="62" t="s">
        <v>10</v>
      </c>
      <c r="G495" s="63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60"/>
      <c r="I495" s="64">
        <v>34</v>
      </c>
      <c r="J495" s="65" t="s">
        <v>37</v>
      </c>
      <c r="K495" s="69">
        <f>K490/$K$2/8*I495</f>
        <v>4616.3793103448279</v>
      </c>
      <c r="L495" s="70"/>
      <c r="N495" s="15"/>
      <c r="O495" s="16" t="s">
        <v>24</v>
      </c>
      <c r="P495" s="16"/>
      <c r="Q495" s="16"/>
      <c r="R495" s="16">
        <v>0</v>
      </c>
      <c r="S495" s="7"/>
      <c r="T495" s="16" t="s">
        <v>24</v>
      </c>
      <c r="U495" s="29" t="str">
        <f>IF($J$1="May","",Y494)</f>
        <v/>
      </c>
      <c r="V495" s="18"/>
      <c r="W495" s="29" t="str">
        <f t="shared" si="119"/>
        <v/>
      </c>
      <c r="X495" s="18"/>
      <c r="Y495" s="29" t="str">
        <f t="shared" si="120"/>
        <v/>
      </c>
      <c r="Z495" s="20"/>
    </row>
    <row r="496" spans="1:26" s="5" customFormat="1" ht="18" customHeight="1" x14ac:dyDescent="0.2">
      <c r="A496" s="47"/>
      <c r="B496" s="62" t="s">
        <v>5</v>
      </c>
      <c r="C496" s="68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45"/>
      <c r="E496" s="45"/>
      <c r="F496" s="62" t="s">
        <v>40</v>
      </c>
      <c r="G496" s="63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60"/>
      <c r="I496" s="136" t="s">
        <v>44</v>
      </c>
      <c r="J496" s="137"/>
      <c r="K496" s="69">
        <f>K494+K495</f>
        <v>36116.379310344826</v>
      </c>
      <c r="L496" s="70"/>
      <c r="N496" s="15"/>
      <c r="O496" s="16" t="s">
        <v>25</v>
      </c>
      <c r="P496" s="16"/>
      <c r="Q496" s="16"/>
      <c r="R496" s="16">
        <v>0</v>
      </c>
      <c r="S496" s="7"/>
      <c r="T496" s="16" t="s">
        <v>25</v>
      </c>
      <c r="U496" s="29" t="str">
        <f>IF($J$1="June","",Y495)</f>
        <v/>
      </c>
      <c r="V496" s="18"/>
      <c r="W496" s="29" t="str">
        <f t="shared" si="119"/>
        <v/>
      </c>
      <c r="X496" s="18"/>
      <c r="Y496" s="29" t="str">
        <f t="shared" si="120"/>
        <v/>
      </c>
      <c r="Z496" s="20"/>
    </row>
    <row r="497" spans="1:27" s="5" customFormat="1" ht="18" customHeight="1" x14ac:dyDescent="0.2">
      <c r="A497" s="47"/>
      <c r="B497" s="62" t="s">
        <v>4</v>
      </c>
      <c r="C497" s="68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45"/>
      <c r="E497" s="45"/>
      <c r="F497" s="62" t="s">
        <v>11</v>
      </c>
      <c r="G497" s="63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60"/>
      <c r="I497" s="136" t="s">
        <v>45</v>
      </c>
      <c r="J497" s="137"/>
      <c r="K497" s="63">
        <f>G497</f>
        <v>0</v>
      </c>
      <c r="L497" s="71"/>
      <c r="N497" s="15"/>
      <c r="O497" s="16" t="s">
        <v>26</v>
      </c>
      <c r="P497" s="16"/>
      <c r="Q497" s="16"/>
      <c r="R497" s="16">
        <v>0</v>
      </c>
      <c r="S497" s="7"/>
      <c r="T497" s="16" t="s">
        <v>26</v>
      </c>
      <c r="U497" s="29" t="str">
        <f>IF($J$1="July","",Y496)</f>
        <v/>
      </c>
      <c r="V497" s="18"/>
      <c r="W497" s="29" t="str">
        <f t="shared" si="119"/>
        <v/>
      </c>
      <c r="X497" s="18"/>
      <c r="Y497" s="29" t="str">
        <f t="shared" si="120"/>
        <v/>
      </c>
      <c r="Z497" s="20"/>
    </row>
    <row r="498" spans="1:27" s="5" customFormat="1" ht="18" customHeight="1" x14ac:dyDescent="0.2">
      <c r="A498" s="47"/>
      <c r="B498" s="77" t="s">
        <v>43</v>
      </c>
      <c r="C498" s="68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45"/>
      <c r="E498" s="45"/>
      <c r="F498" s="77" t="s">
        <v>86</v>
      </c>
      <c r="G498" s="63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45"/>
      <c r="I498" s="141" t="s">
        <v>38</v>
      </c>
      <c r="J498" s="143"/>
      <c r="K498" s="41">
        <f>K496-K497</f>
        <v>36116.379310344826</v>
      </c>
      <c r="L498" s="72"/>
      <c r="N498" s="15"/>
      <c r="O498" s="16" t="s">
        <v>31</v>
      </c>
      <c r="P498" s="16"/>
      <c r="Q498" s="16"/>
      <c r="R498" s="16">
        <v>0</v>
      </c>
      <c r="S498" s="7"/>
      <c r="T498" s="16" t="s">
        <v>31</v>
      </c>
      <c r="U498" s="29" t="str">
        <f>IF($J$1="September",Y497,"")</f>
        <v/>
      </c>
      <c r="V498" s="18"/>
      <c r="W498" s="29" t="str">
        <f t="shared" si="119"/>
        <v/>
      </c>
      <c r="X498" s="18"/>
      <c r="Y498" s="29" t="str">
        <f t="shared" si="120"/>
        <v/>
      </c>
      <c r="Z498" s="20"/>
    </row>
    <row r="499" spans="1:27" s="5" customFormat="1" ht="18" customHeight="1" x14ac:dyDescent="0.2">
      <c r="A499" s="47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59"/>
      <c r="N499" s="15"/>
      <c r="O499" s="16" t="s">
        <v>27</v>
      </c>
      <c r="P499" s="16"/>
      <c r="Q499" s="16"/>
      <c r="R499" s="16">
        <v>0</v>
      </c>
      <c r="S499" s="7"/>
      <c r="T499" s="16" t="s">
        <v>27</v>
      </c>
      <c r="U499" s="29" t="str">
        <f>IF($J$1="October",Y498,"")</f>
        <v/>
      </c>
      <c r="V499" s="18"/>
      <c r="W499" s="29" t="str">
        <f t="shared" si="119"/>
        <v/>
      </c>
      <c r="X499" s="18"/>
      <c r="Y499" s="29" t="str">
        <f t="shared" si="120"/>
        <v/>
      </c>
      <c r="Z499" s="20"/>
    </row>
    <row r="500" spans="1:27" s="5" customFormat="1" ht="18" customHeight="1" x14ac:dyDescent="0.3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59"/>
      <c r="N500" s="15"/>
      <c r="O500" s="16" t="s">
        <v>32</v>
      </c>
      <c r="P500" s="16"/>
      <c r="Q500" s="16"/>
      <c r="R500" s="16">
        <v>0</v>
      </c>
      <c r="S500" s="7"/>
      <c r="T500" s="16" t="s">
        <v>32</v>
      </c>
      <c r="U500" s="29"/>
      <c r="V500" s="18"/>
      <c r="W500" s="29" t="str">
        <f t="shared" si="119"/>
        <v/>
      </c>
      <c r="X500" s="18"/>
      <c r="Y500" s="29" t="str">
        <f t="shared" si="120"/>
        <v/>
      </c>
      <c r="Z500" s="20"/>
    </row>
    <row r="501" spans="1:27" s="5" customFormat="1" ht="18" customHeight="1" thickBot="1" x14ac:dyDescent="0.35">
      <c r="A501" s="73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5"/>
      <c r="N501" s="15"/>
      <c r="O501" s="16" t="s">
        <v>33</v>
      </c>
      <c r="P501" s="16"/>
      <c r="Q501" s="16"/>
      <c r="R501" s="16">
        <v>0</v>
      </c>
      <c r="S501" s="7"/>
      <c r="T501" s="16" t="s">
        <v>33</v>
      </c>
      <c r="U501" s="29"/>
      <c r="V501" s="18"/>
      <c r="W501" s="29" t="str">
        <f t="shared" si="119"/>
        <v/>
      </c>
      <c r="X501" s="18"/>
      <c r="Y501" s="29" t="str">
        <f t="shared" si="120"/>
        <v/>
      </c>
      <c r="Z501" s="20"/>
    </row>
    <row r="502" spans="1:27" s="27" customFormat="1" ht="18" customHeight="1" thickBot="1" x14ac:dyDescent="0.25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7" s="5" customFormat="1" ht="18" customHeight="1" thickBot="1" x14ac:dyDescent="0.25">
      <c r="A503" s="138" t="s">
        <v>15</v>
      </c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40"/>
      <c r="M503" s="4"/>
      <c r="N503" s="8"/>
      <c r="O503" s="133" t="s">
        <v>17</v>
      </c>
      <c r="P503" s="134"/>
      <c r="Q503" s="134"/>
      <c r="R503" s="135"/>
      <c r="S503" s="9"/>
      <c r="T503" s="133" t="s">
        <v>18</v>
      </c>
      <c r="U503" s="134"/>
      <c r="V503" s="134"/>
      <c r="W503" s="134"/>
      <c r="X503" s="134"/>
      <c r="Y503" s="135"/>
      <c r="Z503" s="10"/>
      <c r="AA503" s="4"/>
    </row>
    <row r="504" spans="1:27" s="5" customFormat="1" ht="18" customHeight="1" x14ac:dyDescent="0.2">
      <c r="A504" s="47"/>
      <c r="B504" s="45"/>
      <c r="C504" s="147" t="s">
        <v>94</v>
      </c>
      <c r="D504" s="147"/>
      <c r="E504" s="147"/>
      <c r="F504" s="147"/>
      <c r="G504" s="48" t="str">
        <f>$J$1</f>
        <v>February</v>
      </c>
      <c r="H504" s="146">
        <f>$K$1</f>
        <v>2024</v>
      </c>
      <c r="I504" s="146"/>
      <c r="J504" s="45"/>
      <c r="K504" s="49"/>
      <c r="L504" s="50"/>
      <c r="M504" s="6"/>
      <c r="N504" s="11"/>
      <c r="O504" s="12" t="s">
        <v>28</v>
      </c>
      <c r="P504" s="12" t="s">
        <v>5</v>
      </c>
      <c r="Q504" s="12" t="s">
        <v>4</v>
      </c>
      <c r="R504" s="12" t="s">
        <v>29</v>
      </c>
      <c r="S504" s="13"/>
      <c r="T504" s="12" t="s">
        <v>28</v>
      </c>
      <c r="U504" s="12" t="s">
        <v>30</v>
      </c>
      <c r="V504" s="12" t="s">
        <v>10</v>
      </c>
      <c r="W504" s="12" t="s">
        <v>9</v>
      </c>
      <c r="X504" s="12" t="s">
        <v>11</v>
      </c>
      <c r="Y504" s="12" t="s">
        <v>34</v>
      </c>
      <c r="Z504" s="14"/>
      <c r="AA504" s="6"/>
    </row>
    <row r="505" spans="1:27" s="5" customFormat="1" ht="18" customHeight="1" x14ac:dyDescent="0.2">
      <c r="A505" s="47"/>
      <c r="B505" s="45"/>
      <c r="C505" s="45"/>
      <c r="D505" s="51"/>
      <c r="E505" s="51"/>
      <c r="F505" s="51"/>
      <c r="G505" s="51"/>
      <c r="H505" s="51"/>
      <c r="I505" s="45"/>
      <c r="J505" s="52" t="s">
        <v>1</v>
      </c>
      <c r="K505" s="53">
        <f>22500+2500+2000+3000</f>
        <v>30000</v>
      </c>
      <c r="L505" s="54"/>
      <c r="N505" s="15"/>
      <c r="O505" s="16" t="s">
        <v>20</v>
      </c>
      <c r="P505" s="16">
        <v>31</v>
      </c>
      <c r="Q505" s="16">
        <v>0</v>
      </c>
      <c r="R505" s="16">
        <v>0</v>
      </c>
      <c r="S505" s="17"/>
      <c r="T505" s="16" t="s">
        <v>20</v>
      </c>
      <c r="U505" s="18">
        <v>55000</v>
      </c>
      <c r="V505" s="18"/>
      <c r="W505" s="18">
        <f>V505+U505</f>
        <v>55000</v>
      </c>
      <c r="X505" s="18"/>
      <c r="Y505" s="18">
        <f>W505-X505</f>
        <v>55000</v>
      </c>
      <c r="Z505" s="14"/>
    </row>
    <row r="506" spans="1:27" s="5" customFormat="1" ht="18" customHeight="1" x14ac:dyDescent="0.2">
      <c r="A506" s="47"/>
      <c r="B506" s="45" t="s">
        <v>0</v>
      </c>
      <c r="C506" s="44" t="s">
        <v>65</v>
      </c>
      <c r="D506" s="45"/>
      <c r="E506" s="45"/>
      <c r="F506" s="45"/>
      <c r="G506" s="45"/>
      <c r="H506" s="55"/>
      <c r="I506" s="51"/>
      <c r="J506" s="45"/>
      <c r="K506" s="45"/>
      <c r="L506" s="56"/>
      <c r="M506" s="4"/>
      <c r="N506" s="19"/>
      <c r="O506" s="16" t="s">
        <v>46</v>
      </c>
      <c r="P506" s="16">
        <v>29</v>
      </c>
      <c r="Q506" s="16">
        <v>0</v>
      </c>
      <c r="R506" s="16">
        <v>0</v>
      </c>
      <c r="S506" s="7"/>
      <c r="T506" s="16" t="s">
        <v>46</v>
      </c>
      <c r="U506" s="29">
        <f>Y505</f>
        <v>55000</v>
      </c>
      <c r="V506" s="18"/>
      <c r="W506" s="29">
        <f>IF(U506="","",U506+V506)</f>
        <v>55000</v>
      </c>
      <c r="X506" s="18">
        <v>5000</v>
      </c>
      <c r="Y506" s="29">
        <f>IF(W506="","",W506-X506)</f>
        <v>50000</v>
      </c>
      <c r="Z506" s="20"/>
      <c r="AA506" s="4"/>
    </row>
    <row r="507" spans="1:27" s="5" customFormat="1" ht="18" customHeight="1" x14ac:dyDescent="0.2">
      <c r="A507" s="47"/>
      <c r="B507" s="57" t="s">
        <v>16</v>
      </c>
      <c r="C507" s="58"/>
      <c r="D507" s="45"/>
      <c r="E507" s="45"/>
      <c r="F507" s="141" t="s">
        <v>18</v>
      </c>
      <c r="G507" s="143"/>
      <c r="H507" s="45"/>
      <c r="I507" s="141" t="s">
        <v>19</v>
      </c>
      <c r="J507" s="142"/>
      <c r="K507" s="143"/>
      <c r="L507" s="59"/>
      <c r="N507" s="15"/>
      <c r="O507" s="16" t="s">
        <v>21</v>
      </c>
      <c r="P507" s="16"/>
      <c r="Q507" s="16"/>
      <c r="R507" s="16">
        <v>0</v>
      </c>
      <c r="S507" s="7"/>
      <c r="T507" s="16" t="s">
        <v>21</v>
      </c>
      <c r="U507" s="29"/>
      <c r="V507" s="18"/>
      <c r="W507" s="29" t="str">
        <f t="shared" ref="W507:W516" si="121">IF(U507="","",U507+V507)</f>
        <v/>
      </c>
      <c r="X507" s="18"/>
      <c r="Y507" s="29" t="str">
        <f t="shared" ref="Y507:Y516" si="122">IF(W507="","",W507-X507)</f>
        <v/>
      </c>
      <c r="Z507" s="20"/>
    </row>
    <row r="508" spans="1:27" s="5" customFormat="1" ht="18" customHeight="1" x14ac:dyDescent="0.2">
      <c r="A508" s="47"/>
      <c r="B508" s="45"/>
      <c r="C508" s="45"/>
      <c r="D508" s="45"/>
      <c r="E508" s="45"/>
      <c r="F508" s="45"/>
      <c r="G508" s="45"/>
      <c r="H508" s="60"/>
      <c r="I508" s="45"/>
      <c r="J508" s="45"/>
      <c r="K508" s="45"/>
      <c r="L508" s="61"/>
      <c r="N508" s="15"/>
      <c r="O508" s="16" t="s">
        <v>22</v>
      </c>
      <c r="P508" s="16"/>
      <c r="Q508" s="16"/>
      <c r="R508" s="16">
        <v>0</v>
      </c>
      <c r="S508" s="7"/>
      <c r="T508" s="16" t="s">
        <v>22</v>
      </c>
      <c r="U508" s="29"/>
      <c r="V508" s="18"/>
      <c r="W508" s="29" t="str">
        <f t="shared" si="121"/>
        <v/>
      </c>
      <c r="X508" s="18"/>
      <c r="Y508" s="29" t="str">
        <f t="shared" si="122"/>
        <v/>
      </c>
      <c r="Z508" s="20"/>
    </row>
    <row r="509" spans="1:27" s="5" customFormat="1" ht="18" customHeight="1" x14ac:dyDescent="0.2">
      <c r="A509" s="47"/>
      <c r="B509" s="144" t="s">
        <v>17</v>
      </c>
      <c r="C509" s="145"/>
      <c r="D509" s="45"/>
      <c r="E509" s="45"/>
      <c r="F509" s="62" t="s">
        <v>39</v>
      </c>
      <c r="G509" s="6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60"/>
      <c r="I509" s="64">
        <f>IF(C513&gt;=C512,$K$2,C511+C513)</f>
        <v>29</v>
      </c>
      <c r="J509" s="65" t="s">
        <v>36</v>
      </c>
      <c r="K509" s="66">
        <f>K505/$K$2*I509</f>
        <v>30000.000000000004</v>
      </c>
      <c r="L509" s="67"/>
      <c r="N509" s="15"/>
      <c r="O509" s="16" t="s">
        <v>23</v>
      </c>
      <c r="P509" s="16"/>
      <c r="Q509" s="16"/>
      <c r="R509" s="16">
        <v>0</v>
      </c>
      <c r="S509" s="7"/>
      <c r="T509" s="16" t="s">
        <v>23</v>
      </c>
      <c r="U509" s="29"/>
      <c r="V509" s="18"/>
      <c r="W509" s="29" t="str">
        <f t="shared" si="121"/>
        <v/>
      </c>
      <c r="X509" s="18"/>
      <c r="Y509" s="29" t="str">
        <f t="shared" si="122"/>
        <v/>
      </c>
      <c r="Z509" s="20"/>
    </row>
    <row r="510" spans="1:27" s="5" customFormat="1" ht="18" customHeight="1" x14ac:dyDescent="0.2">
      <c r="A510" s="47"/>
      <c r="B510" s="68"/>
      <c r="C510" s="68"/>
      <c r="D510" s="45"/>
      <c r="E510" s="45"/>
      <c r="F510" s="62" t="s">
        <v>10</v>
      </c>
      <c r="G510" s="63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60"/>
      <c r="I510" s="64">
        <v>53</v>
      </c>
      <c r="J510" s="65" t="s">
        <v>37</v>
      </c>
      <c r="K510" s="69">
        <f>K505/$K$2/8*I510</f>
        <v>6853.4482758620697</v>
      </c>
      <c r="L510" s="70"/>
      <c r="N510" s="15"/>
      <c r="O510" s="16" t="s">
        <v>24</v>
      </c>
      <c r="P510" s="16"/>
      <c r="Q510" s="16"/>
      <c r="R510" s="16">
        <v>0</v>
      </c>
      <c r="S510" s="7"/>
      <c r="T510" s="16" t="s">
        <v>24</v>
      </c>
      <c r="U510" s="29"/>
      <c r="V510" s="18"/>
      <c r="W510" s="29" t="str">
        <f t="shared" si="121"/>
        <v/>
      </c>
      <c r="X510" s="18"/>
      <c r="Y510" s="29" t="str">
        <f t="shared" si="122"/>
        <v/>
      </c>
      <c r="Z510" s="20"/>
    </row>
    <row r="511" spans="1:27" s="5" customFormat="1" ht="18" customHeight="1" x14ac:dyDescent="0.2">
      <c r="A511" s="47"/>
      <c r="B511" s="62" t="s">
        <v>5</v>
      </c>
      <c r="C511" s="68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45"/>
      <c r="E511" s="45"/>
      <c r="F511" s="62" t="s">
        <v>40</v>
      </c>
      <c r="G511" s="63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60"/>
      <c r="I511" s="136" t="s">
        <v>44</v>
      </c>
      <c r="J511" s="137"/>
      <c r="K511" s="69">
        <f>K509+K510</f>
        <v>36853.448275862072</v>
      </c>
      <c r="L511" s="70"/>
      <c r="N511" s="15"/>
      <c r="O511" s="16" t="s">
        <v>25</v>
      </c>
      <c r="P511" s="16"/>
      <c r="Q511" s="16"/>
      <c r="R511" s="16">
        <v>0</v>
      </c>
      <c r="S511" s="7"/>
      <c r="T511" s="16" t="s">
        <v>25</v>
      </c>
      <c r="U511" s="29"/>
      <c r="V511" s="18"/>
      <c r="W511" s="29" t="str">
        <f t="shared" si="121"/>
        <v/>
      </c>
      <c r="X511" s="18"/>
      <c r="Y511" s="29" t="str">
        <f t="shared" si="122"/>
        <v/>
      </c>
      <c r="Z511" s="20"/>
    </row>
    <row r="512" spans="1:27" s="5" customFormat="1" ht="18" customHeight="1" x14ac:dyDescent="0.2">
      <c r="A512" s="47"/>
      <c r="B512" s="62" t="s">
        <v>4</v>
      </c>
      <c r="C512" s="68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45"/>
      <c r="E512" s="45"/>
      <c r="F512" s="62" t="s">
        <v>11</v>
      </c>
      <c r="G512" s="63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60"/>
      <c r="I512" s="136" t="s">
        <v>45</v>
      </c>
      <c r="J512" s="137"/>
      <c r="K512" s="63">
        <f>G512</f>
        <v>5000</v>
      </c>
      <c r="L512" s="71"/>
      <c r="N512" s="15"/>
      <c r="O512" s="16" t="s">
        <v>26</v>
      </c>
      <c r="P512" s="16"/>
      <c r="Q512" s="16"/>
      <c r="R512" s="16">
        <v>0</v>
      </c>
      <c r="S512" s="7"/>
      <c r="T512" s="16" t="s">
        <v>26</v>
      </c>
      <c r="U512" s="29"/>
      <c r="V512" s="18"/>
      <c r="W512" s="29" t="str">
        <f t="shared" si="121"/>
        <v/>
      </c>
      <c r="X512" s="18"/>
      <c r="Y512" s="29" t="str">
        <f t="shared" si="122"/>
        <v/>
      </c>
      <c r="Z512" s="20"/>
    </row>
    <row r="513" spans="1:27" s="5" customFormat="1" ht="18" customHeight="1" x14ac:dyDescent="0.2">
      <c r="A513" s="47"/>
      <c r="B513" s="77" t="s">
        <v>43</v>
      </c>
      <c r="C513" s="68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45"/>
      <c r="E513" s="45"/>
      <c r="F513" s="77" t="s">
        <v>86</v>
      </c>
      <c r="G513" s="63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45"/>
      <c r="I513" s="141" t="s">
        <v>38</v>
      </c>
      <c r="J513" s="143"/>
      <c r="K513" s="41">
        <f>K511-K512</f>
        <v>31853.448275862072</v>
      </c>
      <c r="L513" s="72"/>
      <c r="N513" s="15"/>
      <c r="O513" s="16" t="s">
        <v>31</v>
      </c>
      <c r="P513" s="16"/>
      <c r="Q513" s="16"/>
      <c r="R513" s="16">
        <v>0</v>
      </c>
      <c r="S513" s="7"/>
      <c r="T513" s="16" t="s">
        <v>31</v>
      </c>
      <c r="U513" s="29"/>
      <c r="V513" s="18"/>
      <c r="W513" s="29" t="str">
        <f t="shared" si="121"/>
        <v/>
      </c>
      <c r="X513" s="18"/>
      <c r="Y513" s="29" t="str">
        <f t="shared" si="122"/>
        <v/>
      </c>
      <c r="Z513" s="20"/>
    </row>
    <row r="514" spans="1:27" s="5" customFormat="1" ht="18" customHeight="1" x14ac:dyDescent="0.2">
      <c r="A514" s="47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59"/>
      <c r="N514" s="15"/>
      <c r="O514" s="16" t="s">
        <v>27</v>
      </c>
      <c r="P514" s="16"/>
      <c r="Q514" s="16"/>
      <c r="R514" s="16">
        <v>0</v>
      </c>
      <c r="S514" s="7"/>
      <c r="T514" s="16" t="s">
        <v>27</v>
      </c>
      <c r="U514" s="29"/>
      <c r="V514" s="18"/>
      <c r="W514" s="29" t="str">
        <f t="shared" si="121"/>
        <v/>
      </c>
      <c r="X514" s="18"/>
      <c r="Y514" s="29" t="str">
        <f t="shared" si="122"/>
        <v/>
      </c>
      <c r="Z514" s="20"/>
    </row>
    <row r="515" spans="1:27" s="5" customFormat="1" ht="18" customHeight="1" x14ac:dyDescent="0.3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59"/>
      <c r="N515" s="15"/>
      <c r="O515" s="16" t="s">
        <v>32</v>
      </c>
      <c r="P515" s="16"/>
      <c r="Q515" s="16"/>
      <c r="R515" s="16">
        <v>0</v>
      </c>
      <c r="S515" s="7"/>
      <c r="T515" s="16" t="s">
        <v>32</v>
      </c>
      <c r="U515" s="29"/>
      <c r="V515" s="18"/>
      <c r="W515" s="29" t="str">
        <f t="shared" si="121"/>
        <v/>
      </c>
      <c r="X515" s="18"/>
      <c r="Y515" s="29" t="str">
        <f t="shared" si="122"/>
        <v/>
      </c>
      <c r="Z515" s="20"/>
    </row>
    <row r="516" spans="1:27" s="5" customFormat="1" ht="18" customHeight="1" thickBot="1" x14ac:dyDescent="0.35">
      <c r="A516" s="73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5"/>
      <c r="N516" s="15"/>
      <c r="O516" s="16" t="s">
        <v>33</v>
      </c>
      <c r="P516" s="16"/>
      <c r="Q516" s="16"/>
      <c r="R516" s="16">
        <v>0</v>
      </c>
      <c r="S516" s="7"/>
      <c r="T516" s="16" t="s">
        <v>33</v>
      </c>
      <c r="U516" s="29"/>
      <c r="V516" s="18"/>
      <c r="W516" s="29" t="str">
        <f t="shared" si="121"/>
        <v/>
      </c>
      <c r="X516" s="18"/>
      <c r="Y516" s="29" t="str">
        <f t="shared" si="122"/>
        <v/>
      </c>
      <c r="Z516" s="20"/>
    </row>
    <row r="517" spans="1:27" s="27" customFormat="1" ht="18" customHeight="1" thickBot="1" x14ac:dyDescent="0.25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7" s="5" customFormat="1" ht="18" customHeight="1" thickBot="1" x14ac:dyDescent="0.25">
      <c r="A518" s="138" t="s">
        <v>15</v>
      </c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40"/>
      <c r="M518" s="4"/>
      <c r="N518" s="8"/>
      <c r="O518" s="133" t="s">
        <v>17</v>
      </c>
      <c r="P518" s="134"/>
      <c r="Q518" s="134"/>
      <c r="R518" s="135"/>
      <c r="S518" s="9"/>
      <c r="T518" s="133" t="s">
        <v>18</v>
      </c>
      <c r="U518" s="134"/>
      <c r="V518" s="134"/>
      <c r="W518" s="134"/>
      <c r="X518" s="134"/>
      <c r="Y518" s="135"/>
      <c r="Z518" s="10"/>
      <c r="AA518" s="4"/>
    </row>
    <row r="519" spans="1:27" s="5" customFormat="1" ht="18" customHeight="1" x14ac:dyDescent="0.2">
      <c r="A519" s="47"/>
      <c r="B519" s="45"/>
      <c r="C519" s="147" t="s">
        <v>94</v>
      </c>
      <c r="D519" s="147"/>
      <c r="E519" s="147"/>
      <c r="F519" s="147"/>
      <c r="G519" s="48" t="str">
        <f>$J$1</f>
        <v>February</v>
      </c>
      <c r="H519" s="146">
        <f>$K$1</f>
        <v>2024</v>
      </c>
      <c r="I519" s="146"/>
      <c r="J519" s="45"/>
      <c r="K519" s="49"/>
      <c r="L519" s="50"/>
      <c r="M519" s="6"/>
      <c r="N519" s="11"/>
      <c r="O519" s="12" t="s">
        <v>28</v>
      </c>
      <c r="P519" s="12" t="s">
        <v>5</v>
      </c>
      <c r="Q519" s="12" t="s">
        <v>4</v>
      </c>
      <c r="R519" s="12" t="s">
        <v>29</v>
      </c>
      <c r="S519" s="13"/>
      <c r="T519" s="12" t="s">
        <v>28</v>
      </c>
      <c r="U519" s="12" t="s">
        <v>30</v>
      </c>
      <c r="V519" s="12" t="s">
        <v>10</v>
      </c>
      <c r="W519" s="12" t="s">
        <v>9</v>
      </c>
      <c r="X519" s="12" t="s">
        <v>11</v>
      </c>
      <c r="Y519" s="12" t="s">
        <v>34</v>
      </c>
      <c r="Z519" s="14"/>
      <c r="AA519" s="6"/>
    </row>
    <row r="520" spans="1:27" s="5" customFormat="1" ht="18" customHeight="1" x14ac:dyDescent="0.2">
      <c r="A520" s="47"/>
      <c r="B520" s="45"/>
      <c r="C520" s="45"/>
      <c r="D520" s="51"/>
      <c r="E520" s="51"/>
      <c r="F520" s="51"/>
      <c r="G520" s="51"/>
      <c r="H520" s="51"/>
      <c r="I520" s="45"/>
      <c r="J520" s="52" t="s">
        <v>1</v>
      </c>
      <c r="K520" s="53">
        <f>32500+2000+3000</f>
        <v>37500</v>
      </c>
      <c r="L520" s="54"/>
      <c r="N520" s="15"/>
      <c r="O520" s="16" t="s">
        <v>20</v>
      </c>
      <c r="P520" s="16">
        <v>26</v>
      </c>
      <c r="Q520" s="16">
        <v>5</v>
      </c>
      <c r="R520" s="16">
        <v>0</v>
      </c>
      <c r="S520" s="17"/>
      <c r="T520" s="16" t="s">
        <v>20</v>
      </c>
      <c r="U520" s="18"/>
      <c r="V520" s="18"/>
      <c r="W520" s="18">
        <f>V520+U520</f>
        <v>0</v>
      </c>
      <c r="X520" s="18"/>
      <c r="Y520" s="18">
        <f>W520-X520</f>
        <v>0</v>
      </c>
      <c r="Z520" s="14"/>
    </row>
    <row r="521" spans="1:27" s="5" customFormat="1" ht="18" customHeight="1" x14ac:dyDescent="0.2">
      <c r="A521" s="47"/>
      <c r="B521" s="45" t="s">
        <v>0</v>
      </c>
      <c r="C521" s="44" t="s">
        <v>68</v>
      </c>
      <c r="D521" s="45"/>
      <c r="E521" s="45"/>
      <c r="F521" s="45"/>
      <c r="G521" s="45"/>
      <c r="H521" s="55"/>
      <c r="I521" s="51"/>
      <c r="J521" s="45"/>
      <c r="K521" s="45"/>
      <c r="L521" s="56"/>
      <c r="M521" s="4"/>
      <c r="N521" s="19"/>
      <c r="O521" s="16" t="s">
        <v>46</v>
      </c>
      <c r="P521" s="16">
        <v>29</v>
      </c>
      <c r="Q521" s="16">
        <v>0</v>
      </c>
      <c r="R521" s="16">
        <v>0</v>
      </c>
      <c r="S521" s="7"/>
      <c r="T521" s="16" t="s">
        <v>46</v>
      </c>
      <c r="U521" s="29">
        <f>IF($J$1="January","",Y520)</f>
        <v>0</v>
      </c>
      <c r="V521" s="18"/>
      <c r="W521" s="29">
        <f>IF(U521="","",U521+V521)</f>
        <v>0</v>
      </c>
      <c r="X521" s="18"/>
      <c r="Y521" s="29">
        <f>IF(W521="","",W521-X521)</f>
        <v>0</v>
      </c>
      <c r="Z521" s="20"/>
      <c r="AA521" s="4"/>
    </row>
    <row r="522" spans="1:27" s="5" customFormat="1" ht="18" customHeight="1" x14ac:dyDescent="0.2">
      <c r="A522" s="47"/>
      <c r="B522" s="57" t="s">
        <v>16</v>
      </c>
      <c r="C522" s="58"/>
      <c r="D522" s="45"/>
      <c r="E522" s="45"/>
      <c r="F522" s="141" t="s">
        <v>18</v>
      </c>
      <c r="G522" s="143"/>
      <c r="H522" s="45"/>
      <c r="I522" s="141" t="s">
        <v>19</v>
      </c>
      <c r="J522" s="142"/>
      <c r="K522" s="143"/>
      <c r="L522" s="59"/>
      <c r="N522" s="15"/>
      <c r="O522" s="16" t="s">
        <v>21</v>
      </c>
      <c r="P522" s="16"/>
      <c r="Q522" s="16"/>
      <c r="R522" s="16">
        <v>0</v>
      </c>
      <c r="S522" s="7"/>
      <c r="T522" s="16" t="s">
        <v>21</v>
      </c>
      <c r="U522" s="29" t="str">
        <f>IF($J$1="February","",Y521)</f>
        <v/>
      </c>
      <c r="V522" s="18"/>
      <c r="W522" s="29" t="str">
        <f t="shared" ref="W522:W531" si="123">IF(U522="","",U522+V522)</f>
        <v/>
      </c>
      <c r="X522" s="18"/>
      <c r="Y522" s="29" t="str">
        <f t="shared" ref="Y522:Y531" si="124">IF(W522="","",W522-X522)</f>
        <v/>
      </c>
      <c r="Z522" s="20"/>
    </row>
    <row r="523" spans="1:27" s="5" customFormat="1" ht="18" customHeight="1" x14ac:dyDescent="0.2">
      <c r="A523" s="47"/>
      <c r="B523" s="45"/>
      <c r="C523" s="45"/>
      <c r="D523" s="45"/>
      <c r="E523" s="45"/>
      <c r="F523" s="45"/>
      <c r="G523" s="45"/>
      <c r="H523" s="60"/>
      <c r="I523" s="45"/>
      <c r="J523" s="45"/>
      <c r="K523" s="45"/>
      <c r="L523" s="61"/>
      <c r="N523" s="15"/>
      <c r="O523" s="16" t="s">
        <v>22</v>
      </c>
      <c r="P523" s="16"/>
      <c r="Q523" s="16"/>
      <c r="R523" s="16">
        <v>0</v>
      </c>
      <c r="S523" s="7"/>
      <c r="T523" s="16" t="s">
        <v>22</v>
      </c>
      <c r="U523" s="29" t="str">
        <f>IF($J$1="March","",Y522)</f>
        <v/>
      </c>
      <c r="V523" s="18"/>
      <c r="W523" s="29" t="str">
        <f t="shared" si="123"/>
        <v/>
      </c>
      <c r="X523" s="18"/>
      <c r="Y523" s="29" t="str">
        <f t="shared" si="124"/>
        <v/>
      </c>
      <c r="Z523" s="20"/>
    </row>
    <row r="524" spans="1:27" s="5" customFormat="1" ht="18" customHeight="1" x14ac:dyDescent="0.2">
      <c r="A524" s="47"/>
      <c r="B524" s="144" t="s">
        <v>17</v>
      </c>
      <c r="C524" s="145"/>
      <c r="D524" s="45"/>
      <c r="E524" s="45"/>
      <c r="F524" s="62" t="s">
        <v>39</v>
      </c>
      <c r="G524" s="6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60"/>
      <c r="I524" s="64">
        <f>IF(C528&gt;=C527,$K$2,C526+C528)</f>
        <v>29</v>
      </c>
      <c r="J524" s="65" t="s">
        <v>36</v>
      </c>
      <c r="K524" s="66">
        <f>K520/$K$2*I524</f>
        <v>37500</v>
      </c>
      <c r="L524" s="67"/>
      <c r="N524" s="15"/>
      <c r="O524" s="16" t="s">
        <v>23</v>
      </c>
      <c r="P524" s="16"/>
      <c r="Q524" s="16"/>
      <c r="R524" s="16">
        <v>0</v>
      </c>
      <c r="S524" s="7"/>
      <c r="T524" s="16" t="s">
        <v>23</v>
      </c>
      <c r="U524" s="29" t="str">
        <f>IF($J$1="April","",Y523)</f>
        <v/>
      </c>
      <c r="V524" s="18"/>
      <c r="W524" s="29" t="str">
        <f t="shared" si="123"/>
        <v/>
      </c>
      <c r="X524" s="18"/>
      <c r="Y524" s="29" t="str">
        <f t="shared" si="124"/>
        <v/>
      </c>
      <c r="Z524" s="20"/>
    </row>
    <row r="525" spans="1:27" s="5" customFormat="1" ht="18" customHeight="1" x14ac:dyDescent="0.2">
      <c r="A525" s="47"/>
      <c r="B525" s="68"/>
      <c r="C525" s="68"/>
      <c r="D525" s="45"/>
      <c r="E525" s="45"/>
      <c r="F525" s="62" t="s">
        <v>10</v>
      </c>
      <c r="G525" s="6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60"/>
      <c r="I525" s="64"/>
      <c r="J525" s="65" t="s">
        <v>37</v>
      </c>
      <c r="K525" s="69">
        <f>K520/$K$2/8*I525</f>
        <v>0</v>
      </c>
      <c r="L525" s="70"/>
      <c r="N525" s="15"/>
      <c r="O525" s="16" t="s">
        <v>24</v>
      </c>
      <c r="P525" s="16"/>
      <c r="Q525" s="16"/>
      <c r="R525" s="16">
        <v>0</v>
      </c>
      <c r="S525" s="7"/>
      <c r="T525" s="16" t="s">
        <v>24</v>
      </c>
      <c r="U525" s="29" t="str">
        <f>IF($J$1="May","",Y524)</f>
        <v/>
      </c>
      <c r="V525" s="18"/>
      <c r="W525" s="29" t="str">
        <f t="shared" si="123"/>
        <v/>
      </c>
      <c r="X525" s="18"/>
      <c r="Y525" s="29" t="str">
        <f t="shared" si="124"/>
        <v/>
      </c>
      <c r="Z525" s="20"/>
    </row>
    <row r="526" spans="1:27" s="5" customFormat="1" ht="18" customHeight="1" x14ac:dyDescent="0.2">
      <c r="A526" s="47"/>
      <c r="B526" s="62" t="s">
        <v>5</v>
      </c>
      <c r="C526" s="6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45"/>
      <c r="E526" s="45"/>
      <c r="F526" s="62" t="s">
        <v>40</v>
      </c>
      <c r="G526" s="6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60"/>
      <c r="I526" s="136" t="s">
        <v>44</v>
      </c>
      <c r="J526" s="137"/>
      <c r="K526" s="69">
        <f>K524+K525</f>
        <v>37500</v>
      </c>
      <c r="L526" s="70"/>
      <c r="N526" s="15"/>
      <c r="O526" s="16" t="s">
        <v>25</v>
      </c>
      <c r="P526" s="16"/>
      <c r="Q526" s="16"/>
      <c r="R526" s="16">
        <v>0</v>
      </c>
      <c r="S526" s="7"/>
      <c r="T526" s="16" t="s">
        <v>25</v>
      </c>
      <c r="U526" s="29" t="str">
        <f>IF($J$1="June","",Y525)</f>
        <v/>
      </c>
      <c r="V526" s="18"/>
      <c r="W526" s="29" t="str">
        <f t="shared" si="123"/>
        <v/>
      </c>
      <c r="X526" s="18"/>
      <c r="Y526" s="29" t="str">
        <f t="shared" si="124"/>
        <v/>
      </c>
      <c r="Z526" s="20"/>
    </row>
    <row r="527" spans="1:27" s="5" customFormat="1" ht="18" customHeight="1" x14ac:dyDescent="0.2">
      <c r="A527" s="47"/>
      <c r="B527" s="62" t="s">
        <v>4</v>
      </c>
      <c r="C527" s="6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45"/>
      <c r="E527" s="45"/>
      <c r="F527" s="62" t="s">
        <v>11</v>
      </c>
      <c r="G527" s="6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60"/>
      <c r="I527" s="136" t="s">
        <v>45</v>
      </c>
      <c r="J527" s="137"/>
      <c r="K527" s="63">
        <f>G527</f>
        <v>0</v>
      </c>
      <c r="L527" s="71"/>
      <c r="N527" s="15"/>
      <c r="O527" s="16" t="s">
        <v>26</v>
      </c>
      <c r="P527" s="16"/>
      <c r="Q527" s="16"/>
      <c r="R527" s="16">
        <v>0</v>
      </c>
      <c r="S527" s="7"/>
      <c r="T527" s="16" t="s">
        <v>26</v>
      </c>
      <c r="U527" s="29" t="str">
        <f>IF($J$1="July","",Y526)</f>
        <v/>
      </c>
      <c r="V527" s="18"/>
      <c r="W527" s="29" t="str">
        <f t="shared" si="123"/>
        <v/>
      </c>
      <c r="X527" s="18"/>
      <c r="Y527" s="29" t="str">
        <f t="shared" si="124"/>
        <v/>
      </c>
      <c r="Z527" s="20"/>
    </row>
    <row r="528" spans="1:27" s="5" customFormat="1" ht="18" customHeight="1" x14ac:dyDescent="0.2">
      <c r="A528" s="47"/>
      <c r="B528" s="77" t="s">
        <v>43</v>
      </c>
      <c r="C528" s="6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45"/>
      <c r="E528" s="45"/>
      <c r="F528" s="77" t="s">
        <v>86</v>
      </c>
      <c r="G528" s="6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45"/>
      <c r="I528" s="141" t="s">
        <v>38</v>
      </c>
      <c r="J528" s="143"/>
      <c r="K528" s="41">
        <f>K526-K527</f>
        <v>37500</v>
      </c>
      <c r="L528" s="72"/>
      <c r="N528" s="15"/>
      <c r="O528" s="16" t="s">
        <v>31</v>
      </c>
      <c r="P528" s="16"/>
      <c r="Q528" s="16"/>
      <c r="R528" s="16">
        <v>0</v>
      </c>
      <c r="S528" s="7"/>
      <c r="T528" s="16" t="s">
        <v>31</v>
      </c>
      <c r="U528" s="29" t="str">
        <f>IF($J$1="September",Y527,"")</f>
        <v/>
      </c>
      <c r="V528" s="18"/>
      <c r="W528" s="29" t="str">
        <f t="shared" si="123"/>
        <v/>
      </c>
      <c r="X528" s="18"/>
      <c r="Y528" s="29" t="str">
        <f t="shared" si="124"/>
        <v/>
      </c>
      <c r="Z528" s="20"/>
    </row>
    <row r="529" spans="1:26" s="5" customFormat="1" ht="18" customHeight="1" x14ac:dyDescent="0.2">
      <c r="A529" s="47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59"/>
      <c r="N529" s="15"/>
      <c r="O529" s="16" t="s">
        <v>27</v>
      </c>
      <c r="P529" s="16"/>
      <c r="Q529" s="16"/>
      <c r="R529" s="16">
        <v>0</v>
      </c>
      <c r="S529" s="7"/>
      <c r="T529" s="16" t="s">
        <v>27</v>
      </c>
      <c r="U529" s="29" t="str">
        <f>IF($J$1="October",Y528,"")</f>
        <v/>
      </c>
      <c r="V529" s="18"/>
      <c r="W529" s="29" t="str">
        <f t="shared" si="123"/>
        <v/>
      </c>
      <c r="X529" s="18"/>
      <c r="Y529" s="29" t="str">
        <f t="shared" si="124"/>
        <v/>
      </c>
      <c r="Z529" s="20"/>
    </row>
    <row r="530" spans="1:26" s="5" customFormat="1" ht="18" customHeight="1" x14ac:dyDescent="0.3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59"/>
      <c r="N530" s="15"/>
      <c r="O530" s="16" t="s">
        <v>32</v>
      </c>
      <c r="P530" s="16"/>
      <c r="Q530" s="16"/>
      <c r="R530" s="16">
        <v>0</v>
      </c>
      <c r="S530" s="7"/>
      <c r="T530" s="16" t="s">
        <v>32</v>
      </c>
      <c r="U530" s="29" t="str">
        <f>IF($J$1="October","",Y529)</f>
        <v/>
      </c>
      <c r="V530" s="18"/>
      <c r="W530" s="29" t="str">
        <f t="shared" si="123"/>
        <v/>
      </c>
      <c r="X530" s="18"/>
      <c r="Y530" s="29" t="str">
        <f t="shared" si="124"/>
        <v/>
      </c>
      <c r="Z530" s="20"/>
    </row>
    <row r="531" spans="1:26" s="5" customFormat="1" ht="18" customHeight="1" thickBot="1" x14ac:dyDescent="0.35">
      <c r="A531" s="73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5"/>
      <c r="N531" s="15"/>
      <c r="O531" s="16" t="s">
        <v>33</v>
      </c>
      <c r="P531" s="16"/>
      <c r="Q531" s="16"/>
      <c r="R531" s="16">
        <v>0</v>
      </c>
      <c r="S531" s="7"/>
      <c r="T531" s="16" t="s">
        <v>33</v>
      </c>
      <c r="U531" s="29" t="str">
        <f>IF($J$1="November","",Y530)</f>
        <v/>
      </c>
      <c r="V531" s="18"/>
      <c r="W531" s="29" t="str">
        <f t="shared" si="123"/>
        <v/>
      </c>
      <c r="X531" s="18"/>
      <c r="Y531" s="29" t="str">
        <f t="shared" si="124"/>
        <v/>
      </c>
      <c r="Z531" s="20"/>
    </row>
    <row r="532" spans="1:26" s="27" customFormat="1" ht="18" customHeight="1" thickBot="1" x14ac:dyDescent="0.25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s="5" customFormat="1" ht="18" customHeight="1" thickBot="1" x14ac:dyDescent="0.25">
      <c r="A533" s="138" t="s">
        <v>15</v>
      </c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40"/>
      <c r="M533" s="4"/>
      <c r="N533" s="8"/>
      <c r="O533" s="133" t="s">
        <v>17</v>
      </c>
      <c r="P533" s="134"/>
      <c r="Q533" s="134"/>
      <c r="R533" s="135"/>
      <c r="S533" s="9"/>
      <c r="T533" s="133" t="s">
        <v>18</v>
      </c>
      <c r="U533" s="134"/>
      <c r="V533" s="134"/>
      <c r="W533" s="134"/>
      <c r="X533" s="134"/>
      <c r="Y533" s="135"/>
      <c r="Z533" s="10"/>
    </row>
    <row r="534" spans="1:26" s="5" customFormat="1" ht="18" customHeight="1" x14ac:dyDescent="0.2">
      <c r="A534" s="47"/>
      <c r="B534" s="45"/>
      <c r="C534" s="147" t="s">
        <v>94</v>
      </c>
      <c r="D534" s="147"/>
      <c r="E534" s="147"/>
      <c r="F534" s="147"/>
      <c r="G534" s="48" t="str">
        <f>$J$1</f>
        <v>February</v>
      </c>
      <c r="H534" s="146">
        <f>$K$1</f>
        <v>2024</v>
      </c>
      <c r="I534" s="146"/>
      <c r="J534" s="45"/>
      <c r="K534" s="49"/>
      <c r="L534" s="50"/>
      <c r="M534" s="6"/>
      <c r="N534" s="11"/>
      <c r="O534" s="12" t="s">
        <v>28</v>
      </c>
      <c r="P534" s="12" t="s">
        <v>5</v>
      </c>
      <c r="Q534" s="12" t="s">
        <v>4</v>
      </c>
      <c r="R534" s="12" t="s">
        <v>29</v>
      </c>
      <c r="S534" s="13"/>
      <c r="T534" s="12" t="s">
        <v>28</v>
      </c>
      <c r="U534" s="12" t="s">
        <v>30</v>
      </c>
      <c r="V534" s="12" t="s">
        <v>10</v>
      </c>
      <c r="W534" s="12" t="s">
        <v>9</v>
      </c>
      <c r="X534" s="12" t="s">
        <v>11</v>
      </c>
      <c r="Y534" s="12" t="s">
        <v>34</v>
      </c>
      <c r="Z534" s="14"/>
    </row>
    <row r="535" spans="1:26" s="5" customFormat="1" ht="18" customHeight="1" x14ac:dyDescent="0.2">
      <c r="A535" s="47"/>
      <c r="B535" s="45"/>
      <c r="C535" s="45"/>
      <c r="D535" s="51"/>
      <c r="E535" s="51"/>
      <c r="F535" s="51"/>
      <c r="G535" s="51"/>
      <c r="H535" s="51"/>
      <c r="I535" s="45"/>
      <c r="J535" s="52" t="s">
        <v>1</v>
      </c>
      <c r="K535" s="53">
        <f>24500+2000+3000</f>
        <v>29500</v>
      </c>
      <c r="L535" s="54"/>
      <c r="N535" s="15"/>
      <c r="O535" s="16" t="s">
        <v>20</v>
      </c>
      <c r="P535" s="16">
        <v>31</v>
      </c>
      <c r="Q535" s="16">
        <v>0</v>
      </c>
      <c r="R535" s="16"/>
      <c r="S535" s="17"/>
      <c r="T535" s="16" t="s">
        <v>20</v>
      </c>
      <c r="U535" s="18"/>
      <c r="V535" s="18"/>
      <c r="W535" s="18">
        <f>V535+U535</f>
        <v>0</v>
      </c>
      <c r="X535" s="18"/>
      <c r="Y535" s="18">
        <f>W535-X535</f>
        <v>0</v>
      </c>
      <c r="Z535" s="14"/>
    </row>
    <row r="536" spans="1:26" s="5" customFormat="1" ht="18" customHeight="1" x14ac:dyDescent="0.2">
      <c r="A536" s="47"/>
      <c r="B536" s="45" t="s">
        <v>0</v>
      </c>
      <c r="C536" s="44" t="s">
        <v>62</v>
      </c>
      <c r="D536" s="45"/>
      <c r="E536" s="45"/>
      <c r="F536" s="45"/>
      <c r="G536" s="45"/>
      <c r="H536" s="55"/>
      <c r="I536" s="51"/>
      <c r="J536" s="45"/>
      <c r="K536" s="45"/>
      <c r="L536" s="56"/>
      <c r="M536" s="4"/>
      <c r="N536" s="19"/>
      <c r="O536" s="16" t="s">
        <v>46</v>
      </c>
      <c r="P536" s="16">
        <v>29</v>
      </c>
      <c r="Q536" s="16">
        <v>0</v>
      </c>
      <c r="R536" s="16"/>
      <c r="S536" s="7"/>
      <c r="T536" s="16" t="s">
        <v>46</v>
      </c>
      <c r="U536" s="29">
        <f>Y535</f>
        <v>0</v>
      </c>
      <c r="V536" s="18"/>
      <c r="W536" s="29">
        <f>IF(U536="","",U536+V536)</f>
        <v>0</v>
      </c>
      <c r="X536" s="18"/>
      <c r="Y536" s="29">
        <f>IF(W536="","",W536-X536)</f>
        <v>0</v>
      </c>
      <c r="Z536" s="20"/>
    </row>
    <row r="537" spans="1:26" s="5" customFormat="1" ht="18" customHeight="1" x14ac:dyDescent="0.2">
      <c r="A537" s="47"/>
      <c r="B537" s="57" t="s">
        <v>16</v>
      </c>
      <c r="C537" s="58"/>
      <c r="D537" s="45"/>
      <c r="E537" s="45"/>
      <c r="F537" s="141" t="s">
        <v>18</v>
      </c>
      <c r="G537" s="143"/>
      <c r="H537" s="45"/>
      <c r="I537" s="141" t="s">
        <v>19</v>
      </c>
      <c r="J537" s="142"/>
      <c r="K537" s="143"/>
      <c r="L537" s="59"/>
      <c r="N537" s="15"/>
      <c r="O537" s="16" t="s">
        <v>21</v>
      </c>
      <c r="P537" s="16"/>
      <c r="Q537" s="16"/>
      <c r="R537" s="16">
        <v>0</v>
      </c>
      <c r="S537" s="7"/>
      <c r="T537" s="16" t="s">
        <v>21</v>
      </c>
      <c r="U537" s="29" t="str">
        <f>IF($J$1="February","",Y536)</f>
        <v/>
      </c>
      <c r="V537" s="18"/>
      <c r="W537" s="29" t="str">
        <f t="shared" ref="W537:W546" si="125">IF(U537="","",U537+V537)</f>
        <v/>
      </c>
      <c r="X537" s="18"/>
      <c r="Y537" s="29" t="str">
        <f t="shared" ref="Y537:Y546" si="126">IF(W537="","",W537-X537)</f>
        <v/>
      </c>
      <c r="Z537" s="20"/>
    </row>
    <row r="538" spans="1:26" s="5" customFormat="1" ht="18" customHeight="1" x14ac:dyDescent="0.2">
      <c r="A538" s="47"/>
      <c r="B538" s="45"/>
      <c r="C538" s="45"/>
      <c r="D538" s="45"/>
      <c r="E538" s="45"/>
      <c r="F538" s="45"/>
      <c r="G538" s="45"/>
      <c r="H538" s="60"/>
      <c r="I538" s="45"/>
      <c r="J538" s="45"/>
      <c r="K538" s="45"/>
      <c r="L538" s="61"/>
      <c r="N538" s="15"/>
      <c r="O538" s="16" t="s">
        <v>22</v>
      </c>
      <c r="P538" s="16"/>
      <c r="Q538" s="16"/>
      <c r="R538" s="16">
        <v>0</v>
      </c>
      <c r="S538" s="7"/>
      <c r="T538" s="16" t="s">
        <v>22</v>
      </c>
      <c r="U538" s="29" t="str">
        <f>IF($J$1="March","",Y537)</f>
        <v/>
      </c>
      <c r="V538" s="18"/>
      <c r="W538" s="29" t="str">
        <f t="shared" si="125"/>
        <v/>
      </c>
      <c r="X538" s="18"/>
      <c r="Y538" s="29" t="str">
        <f t="shared" si="126"/>
        <v/>
      </c>
      <c r="Z538" s="20"/>
    </row>
    <row r="539" spans="1:26" s="5" customFormat="1" ht="18" customHeight="1" x14ac:dyDescent="0.2">
      <c r="A539" s="47"/>
      <c r="B539" s="144" t="s">
        <v>17</v>
      </c>
      <c r="C539" s="145"/>
      <c r="D539" s="45"/>
      <c r="E539" s="45"/>
      <c r="F539" s="62" t="s">
        <v>39</v>
      </c>
      <c r="G539" s="63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60"/>
      <c r="I539" s="64">
        <f>IF(C543&gt;=C542,$K$2,C541+C543)</f>
        <v>29</v>
      </c>
      <c r="J539" s="65" t="s">
        <v>36</v>
      </c>
      <c r="K539" s="66">
        <f>K535/$K$2*I539</f>
        <v>29500</v>
      </c>
      <c r="L539" s="67"/>
      <c r="N539" s="15"/>
      <c r="O539" s="16" t="s">
        <v>23</v>
      </c>
      <c r="P539" s="16"/>
      <c r="Q539" s="16"/>
      <c r="R539" s="16">
        <v>0</v>
      </c>
      <c r="S539" s="7"/>
      <c r="T539" s="16" t="s">
        <v>23</v>
      </c>
      <c r="U539" s="29" t="str">
        <f t="shared" ref="U539:U545" si="127">Y538</f>
        <v/>
      </c>
      <c r="V539" s="18"/>
      <c r="W539" s="29" t="str">
        <f t="shared" si="125"/>
        <v/>
      </c>
      <c r="X539" s="18"/>
      <c r="Y539" s="29" t="str">
        <f t="shared" si="126"/>
        <v/>
      </c>
      <c r="Z539" s="20"/>
    </row>
    <row r="540" spans="1:26" s="5" customFormat="1" ht="18" customHeight="1" x14ac:dyDescent="0.2">
      <c r="A540" s="47"/>
      <c r="B540" s="68"/>
      <c r="C540" s="68"/>
      <c r="D540" s="45"/>
      <c r="E540" s="45"/>
      <c r="F540" s="62" t="s">
        <v>10</v>
      </c>
      <c r="G540" s="63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60"/>
      <c r="I540" s="64">
        <v>41</v>
      </c>
      <c r="J540" s="65" t="s">
        <v>37</v>
      </c>
      <c r="K540" s="69">
        <f>K535/$K$2/8*I540</f>
        <v>5213.3620689655172</v>
      </c>
      <c r="L540" s="70"/>
      <c r="N540" s="15"/>
      <c r="O540" s="16" t="s">
        <v>24</v>
      </c>
      <c r="P540" s="16"/>
      <c r="Q540" s="16"/>
      <c r="R540" s="16">
        <v>0</v>
      </c>
      <c r="S540" s="7"/>
      <c r="T540" s="16" t="s">
        <v>24</v>
      </c>
      <c r="U540" s="29" t="str">
        <f t="shared" si="127"/>
        <v/>
      </c>
      <c r="V540" s="18"/>
      <c r="W540" s="29" t="str">
        <f t="shared" si="125"/>
        <v/>
      </c>
      <c r="X540" s="18"/>
      <c r="Y540" s="29" t="str">
        <f t="shared" si="126"/>
        <v/>
      </c>
      <c r="Z540" s="20"/>
    </row>
    <row r="541" spans="1:26" s="5" customFormat="1" ht="18" customHeight="1" x14ac:dyDescent="0.2">
      <c r="A541" s="47"/>
      <c r="B541" s="62" t="s">
        <v>5</v>
      </c>
      <c r="C541" s="68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45"/>
      <c r="E541" s="45"/>
      <c r="F541" s="62" t="s">
        <v>40</v>
      </c>
      <c r="G541" s="63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60"/>
      <c r="I541" s="136" t="s">
        <v>44</v>
      </c>
      <c r="J541" s="137"/>
      <c r="K541" s="69">
        <f>K539+K540</f>
        <v>34713.362068965514</v>
      </c>
      <c r="L541" s="70"/>
      <c r="N541" s="15"/>
      <c r="O541" s="16" t="s">
        <v>25</v>
      </c>
      <c r="P541" s="16"/>
      <c r="Q541" s="16"/>
      <c r="R541" s="16">
        <v>0</v>
      </c>
      <c r="S541" s="7"/>
      <c r="T541" s="16" t="s">
        <v>25</v>
      </c>
      <c r="U541" s="29" t="str">
        <f t="shared" si="127"/>
        <v/>
      </c>
      <c r="V541" s="18"/>
      <c r="W541" s="29" t="str">
        <f t="shared" si="125"/>
        <v/>
      </c>
      <c r="X541" s="18"/>
      <c r="Y541" s="29" t="str">
        <f t="shared" si="126"/>
        <v/>
      </c>
      <c r="Z541" s="20"/>
    </row>
    <row r="542" spans="1:26" s="5" customFormat="1" ht="18" customHeight="1" x14ac:dyDescent="0.2">
      <c r="A542" s="47"/>
      <c r="B542" s="62" t="s">
        <v>4</v>
      </c>
      <c r="C542" s="68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45"/>
      <c r="E542" s="45"/>
      <c r="F542" s="62" t="s">
        <v>11</v>
      </c>
      <c r="G542" s="63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60"/>
      <c r="I542" s="136" t="s">
        <v>45</v>
      </c>
      <c r="J542" s="137"/>
      <c r="K542" s="63">
        <f>G542</f>
        <v>0</v>
      </c>
      <c r="L542" s="71"/>
      <c r="N542" s="15"/>
      <c r="O542" s="16" t="s">
        <v>26</v>
      </c>
      <c r="P542" s="16"/>
      <c r="Q542" s="16"/>
      <c r="R542" s="16">
        <v>0</v>
      </c>
      <c r="S542" s="7"/>
      <c r="T542" s="16" t="s">
        <v>26</v>
      </c>
      <c r="U542" s="29" t="str">
        <f t="shared" si="127"/>
        <v/>
      </c>
      <c r="V542" s="18"/>
      <c r="W542" s="29" t="str">
        <f t="shared" si="125"/>
        <v/>
      </c>
      <c r="X542" s="18"/>
      <c r="Y542" s="29" t="str">
        <f t="shared" si="126"/>
        <v/>
      </c>
      <c r="Z542" s="20"/>
    </row>
    <row r="543" spans="1:26" s="5" customFormat="1" ht="18" customHeight="1" x14ac:dyDescent="0.2">
      <c r="A543" s="47"/>
      <c r="B543" s="77" t="s">
        <v>43</v>
      </c>
      <c r="C543" s="68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45"/>
      <c r="E543" s="45"/>
      <c r="F543" s="77" t="s">
        <v>86</v>
      </c>
      <c r="G543" s="63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45"/>
      <c r="I543" s="141" t="s">
        <v>38</v>
      </c>
      <c r="J543" s="143"/>
      <c r="K543" s="41">
        <f>K541-K542</f>
        <v>34713.362068965514</v>
      </c>
      <c r="L543" s="72"/>
      <c r="N543" s="15"/>
      <c r="O543" s="16" t="s">
        <v>31</v>
      </c>
      <c r="P543" s="16"/>
      <c r="Q543" s="16"/>
      <c r="R543" s="16">
        <v>0</v>
      </c>
      <c r="S543" s="7"/>
      <c r="T543" s="16" t="s">
        <v>31</v>
      </c>
      <c r="U543" s="29" t="str">
        <f t="shared" si="127"/>
        <v/>
      </c>
      <c r="V543" s="18"/>
      <c r="W543" s="29" t="str">
        <f t="shared" si="125"/>
        <v/>
      </c>
      <c r="X543" s="18"/>
      <c r="Y543" s="29" t="str">
        <f t="shared" si="126"/>
        <v/>
      </c>
      <c r="Z543" s="20"/>
    </row>
    <row r="544" spans="1:26" s="5" customFormat="1" ht="18" customHeight="1" x14ac:dyDescent="0.2">
      <c r="A544" s="47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59"/>
      <c r="N544" s="15"/>
      <c r="O544" s="16" t="s">
        <v>27</v>
      </c>
      <c r="P544" s="16"/>
      <c r="Q544" s="16"/>
      <c r="R544" s="16">
        <v>0</v>
      </c>
      <c r="S544" s="7"/>
      <c r="T544" s="16" t="s">
        <v>27</v>
      </c>
      <c r="U544" s="29" t="str">
        <f t="shared" si="127"/>
        <v/>
      </c>
      <c r="V544" s="18"/>
      <c r="W544" s="29" t="str">
        <f t="shared" si="125"/>
        <v/>
      </c>
      <c r="X544" s="18"/>
      <c r="Y544" s="29" t="str">
        <f t="shared" si="126"/>
        <v/>
      </c>
      <c r="Z544" s="20"/>
    </row>
    <row r="545" spans="1:27" s="5" customFormat="1" ht="18" customHeight="1" x14ac:dyDescent="0.3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59"/>
      <c r="N545" s="15"/>
      <c r="O545" s="16" t="s">
        <v>32</v>
      </c>
      <c r="P545" s="16"/>
      <c r="Q545" s="16"/>
      <c r="R545" s="16">
        <v>0</v>
      </c>
      <c r="S545" s="7"/>
      <c r="T545" s="16" t="s">
        <v>32</v>
      </c>
      <c r="U545" s="29" t="str">
        <f t="shared" si="127"/>
        <v/>
      </c>
      <c r="V545" s="18"/>
      <c r="W545" s="29" t="str">
        <f t="shared" si="125"/>
        <v/>
      </c>
      <c r="X545" s="18"/>
      <c r="Y545" s="29" t="str">
        <f t="shared" si="126"/>
        <v/>
      </c>
      <c r="Z545" s="20"/>
    </row>
    <row r="546" spans="1:27" s="5" customFormat="1" ht="18" customHeight="1" thickBot="1" x14ac:dyDescent="0.35">
      <c r="A546" s="73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5"/>
      <c r="N546" s="15"/>
      <c r="O546" s="16" t="s">
        <v>33</v>
      </c>
      <c r="P546" s="16"/>
      <c r="Q546" s="16"/>
      <c r="R546" s="16">
        <v>0</v>
      </c>
      <c r="S546" s="7"/>
      <c r="T546" s="16" t="s">
        <v>33</v>
      </c>
      <c r="U546" s="29" t="str">
        <f>Y545</f>
        <v/>
      </c>
      <c r="V546" s="18"/>
      <c r="W546" s="29" t="str">
        <f t="shared" si="125"/>
        <v/>
      </c>
      <c r="X546" s="18"/>
      <c r="Y546" s="29" t="str">
        <f t="shared" si="126"/>
        <v/>
      </c>
      <c r="Z546" s="20"/>
    </row>
    <row r="547" spans="1:27" s="27" customFormat="1" ht="18" customHeight="1" thickBot="1" x14ac:dyDescent="0.25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7" s="5" customFormat="1" ht="18" customHeight="1" thickBot="1" x14ac:dyDescent="0.25">
      <c r="A548" s="138" t="s">
        <v>15</v>
      </c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40"/>
      <c r="M548" s="4"/>
      <c r="N548" s="8"/>
      <c r="O548" s="133" t="s">
        <v>17</v>
      </c>
      <c r="P548" s="134"/>
      <c r="Q548" s="134"/>
      <c r="R548" s="135"/>
      <c r="S548" s="9"/>
      <c r="T548" s="133" t="s">
        <v>18</v>
      </c>
      <c r="U548" s="134"/>
      <c r="V548" s="134"/>
      <c r="W548" s="134"/>
      <c r="X548" s="134"/>
      <c r="Y548" s="135"/>
      <c r="Z548" s="10"/>
      <c r="AA548" s="4"/>
    </row>
    <row r="549" spans="1:27" s="5" customFormat="1" ht="18" customHeight="1" x14ac:dyDescent="0.2">
      <c r="A549" s="47"/>
      <c r="B549" s="45"/>
      <c r="C549" s="147" t="s">
        <v>94</v>
      </c>
      <c r="D549" s="147"/>
      <c r="E549" s="147"/>
      <c r="F549" s="147"/>
      <c r="G549" s="48" t="str">
        <f>$J$1</f>
        <v>February</v>
      </c>
      <c r="H549" s="146">
        <f>$K$1</f>
        <v>2024</v>
      </c>
      <c r="I549" s="146"/>
      <c r="J549" s="45"/>
      <c r="K549" s="49"/>
      <c r="L549" s="50"/>
      <c r="M549" s="6"/>
      <c r="N549" s="11"/>
      <c r="O549" s="12" t="s">
        <v>28</v>
      </c>
      <c r="P549" s="12" t="s">
        <v>5</v>
      </c>
      <c r="Q549" s="12" t="s">
        <v>4</v>
      </c>
      <c r="R549" s="12" t="s">
        <v>29</v>
      </c>
      <c r="S549" s="13"/>
      <c r="T549" s="12" t="s">
        <v>28</v>
      </c>
      <c r="U549" s="12" t="s">
        <v>30</v>
      </c>
      <c r="V549" s="12" t="s">
        <v>10</v>
      </c>
      <c r="W549" s="12" t="s">
        <v>9</v>
      </c>
      <c r="X549" s="12" t="s">
        <v>11</v>
      </c>
      <c r="Y549" s="12" t="s">
        <v>34</v>
      </c>
      <c r="Z549" s="14"/>
      <c r="AA549" s="6"/>
    </row>
    <row r="550" spans="1:27" s="5" customFormat="1" ht="18" customHeight="1" x14ac:dyDescent="0.2">
      <c r="A550" s="47"/>
      <c r="B550" s="45"/>
      <c r="C550" s="45"/>
      <c r="D550" s="51"/>
      <c r="E550" s="51"/>
      <c r="F550" s="51"/>
      <c r="G550" s="51"/>
      <c r="H550" s="51"/>
      <c r="I550" s="45"/>
      <c r="J550" s="52" t="s">
        <v>1</v>
      </c>
      <c r="K550" s="53">
        <f>18000+3000+1000+3000</f>
        <v>25000</v>
      </c>
      <c r="L550" s="54"/>
      <c r="N550" s="15"/>
      <c r="O550" s="16" t="s">
        <v>20</v>
      </c>
      <c r="P550" s="16">
        <v>31</v>
      </c>
      <c r="Q550" s="16">
        <v>0</v>
      </c>
      <c r="R550" s="16">
        <v>0</v>
      </c>
      <c r="S550" s="17"/>
      <c r="T550" s="16" t="s">
        <v>20</v>
      </c>
      <c r="U550" s="18">
        <v>27000</v>
      </c>
      <c r="V550" s="18"/>
      <c r="W550" s="18">
        <f>V550+U550</f>
        <v>27000</v>
      </c>
      <c r="X550" s="18"/>
      <c r="Y550" s="18">
        <f>W550-X550</f>
        <v>27000</v>
      </c>
      <c r="Z550" s="14"/>
    </row>
    <row r="551" spans="1:27" s="5" customFormat="1" ht="18" customHeight="1" x14ac:dyDescent="0.2">
      <c r="A551" s="47"/>
      <c r="B551" s="45" t="s">
        <v>0</v>
      </c>
      <c r="C551" s="44" t="s">
        <v>76</v>
      </c>
      <c r="D551" s="45"/>
      <c r="E551" s="45"/>
      <c r="F551" s="45"/>
      <c r="G551" s="45"/>
      <c r="H551" s="55"/>
      <c r="I551" s="51"/>
      <c r="J551" s="45"/>
      <c r="K551" s="45"/>
      <c r="L551" s="56"/>
      <c r="M551" s="4"/>
      <c r="N551" s="19"/>
      <c r="O551" s="16" t="s">
        <v>46</v>
      </c>
      <c r="P551" s="16">
        <v>29</v>
      </c>
      <c r="Q551" s="16">
        <v>0</v>
      </c>
      <c r="R551" s="16">
        <v>0</v>
      </c>
      <c r="S551" s="7"/>
      <c r="T551" s="16" t="s">
        <v>46</v>
      </c>
      <c r="U551" s="29">
        <f>Y550</f>
        <v>27000</v>
      </c>
      <c r="V551" s="18"/>
      <c r="W551" s="29">
        <f>IF(U551="","",U551+V551)</f>
        <v>27000</v>
      </c>
      <c r="X551" s="18">
        <v>2000</v>
      </c>
      <c r="Y551" s="29">
        <f>IF(W551="","",W551-X551)</f>
        <v>25000</v>
      </c>
      <c r="Z551" s="20"/>
      <c r="AA551" s="4"/>
    </row>
    <row r="552" spans="1:27" s="5" customFormat="1" ht="18" customHeight="1" x14ac:dyDescent="0.2">
      <c r="A552" s="47"/>
      <c r="B552" s="57" t="s">
        <v>16</v>
      </c>
      <c r="C552" s="58"/>
      <c r="D552" s="45"/>
      <c r="E552" s="45"/>
      <c r="F552" s="141" t="s">
        <v>18</v>
      </c>
      <c r="G552" s="143"/>
      <c r="H552" s="45"/>
      <c r="I552" s="141" t="s">
        <v>19</v>
      </c>
      <c r="J552" s="142"/>
      <c r="K552" s="143"/>
      <c r="L552" s="59"/>
      <c r="N552" s="15"/>
      <c r="O552" s="16" t="s">
        <v>21</v>
      </c>
      <c r="P552" s="16"/>
      <c r="Q552" s="16"/>
      <c r="R552" s="16" t="str">
        <f t="shared" ref="R552" si="128">IF(Q552="","",R551-Q552)</f>
        <v/>
      </c>
      <c r="S552" s="7"/>
      <c r="T552" s="16" t="s">
        <v>21</v>
      </c>
      <c r="U552" s="29"/>
      <c r="V552" s="18"/>
      <c r="W552" s="29" t="str">
        <f t="shared" ref="W552:W561" si="129">IF(U552="","",U552+V552)</f>
        <v/>
      </c>
      <c r="X552" s="18"/>
      <c r="Y552" s="29" t="str">
        <f t="shared" ref="Y552:Y561" si="130">IF(W552="","",W552-X552)</f>
        <v/>
      </c>
      <c r="Z552" s="20"/>
    </row>
    <row r="553" spans="1:27" s="5" customFormat="1" ht="18" customHeight="1" x14ac:dyDescent="0.2">
      <c r="A553" s="47"/>
      <c r="B553" s="45"/>
      <c r="C553" s="45"/>
      <c r="D553" s="45"/>
      <c r="E553" s="45"/>
      <c r="F553" s="45"/>
      <c r="G553" s="45"/>
      <c r="H553" s="60"/>
      <c r="I553" s="45"/>
      <c r="J553" s="45"/>
      <c r="K553" s="45"/>
      <c r="L553" s="61"/>
      <c r="N553" s="15"/>
      <c r="O553" s="16" t="s">
        <v>22</v>
      </c>
      <c r="P553" s="16"/>
      <c r="Q553" s="16"/>
      <c r="R553" s="16">
        <v>0</v>
      </c>
      <c r="S553" s="7"/>
      <c r="T553" s="16" t="s">
        <v>22</v>
      </c>
      <c r="U553" s="29" t="str">
        <f>IF($J$1="March","",Y552)</f>
        <v/>
      </c>
      <c r="V553" s="18"/>
      <c r="W553" s="29" t="str">
        <f t="shared" si="129"/>
        <v/>
      </c>
      <c r="X553" s="18"/>
      <c r="Y553" s="29" t="str">
        <f t="shared" si="130"/>
        <v/>
      </c>
      <c r="Z553" s="20"/>
    </row>
    <row r="554" spans="1:27" s="5" customFormat="1" ht="18" customHeight="1" x14ac:dyDescent="0.2">
      <c r="A554" s="47"/>
      <c r="B554" s="144" t="s">
        <v>17</v>
      </c>
      <c r="C554" s="145"/>
      <c r="D554" s="45"/>
      <c r="E554" s="45"/>
      <c r="F554" s="62" t="s">
        <v>39</v>
      </c>
      <c r="G554" s="63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60"/>
      <c r="I554" s="64">
        <f>IF(C558&gt;=C557,$K$2,C556+C558)</f>
        <v>29</v>
      </c>
      <c r="J554" s="65" t="s">
        <v>36</v>
      </c>
      <c r="K554" s="66">
        <f>K550/$K$2*I554</f>
        <v>25000</v>
      </c>
      <c r="L554" s="67"/>
      <c r="N554" s="15"/>
      <c r="O554" s="16" t="s">
        <v>23</v>
      </c>
      <c r="P554" s="16"/>
      <c r="Q554" s="16"/>
      <c r="R554" s="16">
        <v>0</v>
      </c>
      <c r="S554" s="7"/>
      <c r="T554" s="16" t="s">
        <v>23</v>
      </c>
      <c r="U554" s="29" t="str">
        <f t="shared" ref="U554:U560" si="131">Y553</f>
        <v/>
      </c>
      <c r="V554" s="18"/>
      <c r="W554" s="29" t="str">
        <f t="shared" si="129"/>
        <v/>
      </c>
      <c r="X554" s="18"/>
      <c r="Y554" s="29" t="str">
        <f t="shared" si="130"/>
        <v/>
      </c>
      <c r="Z554" s="20"/>
    </row>
    <row r="555" spans="1:27" s="5" customFormat="1" ht="18" customHeight="1" x14ac:dyDescent="0.2">
      <c r="A555" s="47"/>
      <c r="B555" s="68"/>
      <c r="C555" s="68"/>
      <c r="D555" s="45"/>
      <c r="E555" s="45"/>
      <c r="F555" s="62" t="s">
        <v>10</v>
      </c>
      <c r="G555" s="63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60"/>
      <c r="I555" s="64">
        <v>45</v>
      </c>
      <c r="J555" s="65" t="s">
        <v>37</v>
      </c>
      <c r="K555" s="69">
        <f>K550/$K$2/8*I555</f>
        <v>4849.1379310344828</v>
      </c>
      <c r="L555" s="70"/>
      <c r="N555" s="15"/>
      <c r="O555" s="16" t="s">
        <v>24</v>
      </c>
      <c r="P555" s="16"/>
      <c r="Q555" s="16"/>
      <c r="R555" s="16">
        <v>0</v>
      </c>
      <c r="S555" s="7"/>
      <c r="T555" s="16" t="s">
        <v>24</v>
      </c>
      <c r="U555" s="29" t="str">
        <f t="shared" si="131"/>
        <v/>
      </c>
      <c r="V555" s="18"/>
      <c r="W555" s="29" t="str">
        <f t="shared" si="129"/>
        <v/>
      </c>
      <c r="X555" s="18"/>
      <c r="Y555" s="29" t="str">
        <f t="shared" si="130"/>
        <v/>
      </c>
      <c r="Z555" s="20"/>
    </row>
    <row r="556" spans="1:27" s="5" customFormat="1" ht="18" customHeight="1" x14ac:dyDescent="0.2">
      <c r="A556" s="47"/>
      <c r="B556" s="62" t="s">
        <v>5</v>
      </c>
      <c r="C556" s="68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45"/>
      <c r="E556" s="45"/>
      <c r="F556" s="62" t="s">
        <v>40</v>
      </c>
      <c r="G556" s="63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60"/>
      <c r="I556" s="136" t="s">
        <v>44</v>
      </c>
      <c r="J556" s="137"/>
      <c r="K556" s="69">
        <f>K554+K555</f>
        <v>29849.137931034482</v>
      </c>
      <c r="L556" s="70"/>
      <c r="N556" s="15"/>
      <c r="O556" s="16" t="s">
        <v>25</v>
      </c>
      <c r="P556" s="16"/>
      <c r="Q556" s="16"/>
      <c r="R556" s="16">
        <v>0</v>
      </c>
      <c r="S556" s="7"/>
      <c r="T556" s="16" t="s">
        <v>25</v>
      </c>
      <c r="U556" s="29" t="str">
        <f t="shared" si="131"/>
        <v/>
      </c>
      <c r="V556" s="18"/>
      <c r="W556" s="29" t="str">
        <f t="shared" si="129"/>
        <v/>
      </c>
      <c r="X556" s="18"/>
      <c r="Y556" s="29" t="str">
        <f t="shared" si="130"/>
        <v/>
      </c>
      <c r="Z556" s="20"/>
    </row>
    <row r="557" spans="1:27" s="5" customFormat="1" ht="18" customHeight="1" x14ac:dyDescent="0.2">
      <c r="A557" s="47"/>
      <c r="B557" s="62" t="s">
        <v>4</v>
      </c>
      <c r="C557" s="68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45"/>
      <c r="E557" s="45"/>
      <c r="F557" s="62" t="s">
        <v>11</v>
      </c>
      <c r="G557" s="63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60"/>
      <c r="I557" s="136" t="s">
        <v>45</v>
      </c>
      <c r="J557" s="137"/>
      <c r="K557" s="63">
        <f>G557</f>
        <v>2000</v>
      </c>
      <c r="L557" s="71"/>
      <c r="N557" s="15"/>
      <c r="O557" s="16" t="s">
        <v>26</v>
      </c>
      <c r="P557" s="16"/>
      <c r="Q557" s="16"/>
      <c r="R557" s="16">
        <v>0</v>
      </c>
      <c r="S557" s="7"/>
      <c r="T557" s="16" t="s">
        <v>26</v>
      </c>
      <c r="U557" s="29" t="str">
        <f t="shared" si="131"/>
        <v/>
      </c>
      <c r="V557" s="18"/>
      <c r="W557" s="29" t="str">
        <f t="shared" si="129"/>
        <v/>
      </c>
      <c r="X557" s="18"/>
      <c r="Y557" s="29" t="str">
        <f t="shared" si="130"/>
        <v/>
      </c>
      <c r="Z557" s="20"/>
    </row>
    <row r="558" spans="1:27" s="5" customFormat="1" ht="18" customHeight="1" x14ac:dyDescent="0.2">
      <c r="A558" s="47"/>
      <c r="B558" s="77" t="s">
        <v>43</v>
      </c>
      <c r="C558" s="68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45"/>
      <c r="E558" s="45"/>
      <c r="F558" s="77" t="s">
        <v>86</v>
      </c>
      <c r="G558" s="63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45"/>
      <c r="I558" s="141" t="s">
        <v>38</v>
      </c>
      <c r="J558" s="143"/>
      <c r="K558" s="41">
        <f>K556-K557</f>
        <v>27849.137931034482</v>
      </c>
      <c r="L558" s="72"/>
      <c r="N558" s="15"/>
      <c r="O558" s="16" t="s">
        <v>31</v>
      </c>
      <c r="P558" s="16"/>
      <c r="Q558" s="16"/>
      <c r="R558" s="16">
        <v>0</v>
      </c>
      <c r="S558" s="7"/>
      <c r="T558" s="16" t="s">
        <v>31</v>
      </c>
      <c r="U558" s="29" t="str">
        <f t="shared" si="131"/>
        <v/>
      </c>
      <c r="V558" s="18"/>
      <c r="W558" s="29" t="str">
        <f t="shared" si="129"/>
        <v/>
      </c>
      <c r="X558" s="18"/>
      <c r="Y558" s="29" t="str">
        <f t="shared" si="130"/>
        <v/>
      </c>
      <c r="Z558" s="20"/>
    </row>
    <row r="559" spans="1:27" s="5" customFormat="1" ht="18" customHeight="1" x14ac:dyDescent="0.2">
      <c r="A559" s="47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59"/>
      <c r="N559" s="15"/>
      <c r="O559" s="16" t="s">
        <v>27</v>
      </c>
      <c r="P559" s="16"/>
      <c r="Q559" s="16"/>
      <c r="R559" s="16">
        <v>0</v>
      </c>
      <c r="S559" s="7"/>
      <c r="T559" s="16" t="s">
        <v>27</v>
      </c>
      <c r="U559" s="29" t="str">
        <f t="shared" si="131"/>
        <v/>
      </c>
      <c r="V559" s="18"/>
      <c r="W559" s="29" t="str">
        <f t="shared" si="129"/>
        <v/>
      </c>
      <c r="X559" s="18"/>
      <c r="Y559" s="29" t="str">
        <f t="shared" si="130"/>
        <v/>
      </c>
      <c r="Z559" s="20"/>
    </row>
    <row r="560" spans="1:27" s="5" customFormat="1" ht="18" customHeight="1" x14ac:dyDescent="0.3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59"/>
      <c r="N560" s="15"/>
      <c r="O560" s="16" t="s">
        <v>32</v>
      </c>
      <c r="P560" s="16"/>
      <c r="Q560" s="16"/>
      <c r="R560" s="16">
        <v>0</v>
      </c>
      <c r="S560" s="7"/>
      <c r="T560" s="16" t="s">
        <v>32</v>
      </c>
      <c r="U560" s="29" t="str">
        <f t="shared" si="131"/>
        <v/>
      </c>
      <c r="V560" s="18"/>
      <c r="W560" s="29" t="str">
        <f t="shared" si="129"/>
        <v/>
      </c>
      <c r="X560" s="18"/>
      <c r="Y560" s="29" t="str">
        <f t="shared" si="130"/>
        <v/>
      </c>
      <c r="Z560" s="20"/>
    </row>
    <row r="561" spans="1:27" s="5" customFormat="1" ht="18" customHeight="1" thickBot="1" x14ac:dyDescent="0.35">
      <c r="A561" s="73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5"/>
      <c r="N561" s="15"/>
      <c r="O561" s="16" t="s">
        <v>33</v>
      </c>
      <c r="P561" s="16"/>
      <c r="Q561" s="16"/>
      <c r="R561" s="16">
        <v>0</v>
      </c>
      <c r="S561" s="7"/>
      <c r="T561" s="16" t="s">
        <v>33</v>
      </c>
      <c r="U561" s="29" t="str">
        <f>Y560</f>
        <v/>
      </c>
      <c r="V561" s="18"/>
      <c r="W561" s="29" t="str">
        <f t="shared" si="129"/>
        <v/>
      </c>
      <c r="X561" s="18"/>
      <c r="Y561" s="29" t="str">
        <f t="shared" si="130"/>
        <v/>
      </c>
      <c r="Z561" s="20"/>
    </row>
    <row r="562" spans="1:27" s="27" customFormat="1" ht="18" customHeight="1" thickBot="1" x14ac:dyDescent="0.25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7" s="5" customFormat="1" ht="18" customHeight="1" thickBot="1" x14ac:dyDescent="0.25">
      <c r="A563" s="138" t="s">
        <v>15</v>
      </c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40"/>
      <c r="M563" s="4"/>
      <c r="N563" s="8"/>
      <c r="O563" s="133" t="s">
        <v>17</v>
      </c>
      <c r="P563" s="134"/>
      <c r="Q563" s="134"/>
      <c r="R563" s="135"/>
      <c r="S563" s="9"/>
      <c r="T563" s="133" t="s">
        <v>18</v>
      </c>
      <c r="U563" s="134"/>
      <c r="V563" s="134"/>
      <c r="W563" s="134"/>
      <c r="X563" s="134"/>
      <c r="Y563" s="135"/>
      <c r="Z563" s="10"/>
      <c r="AA563" s="4"/>
    </row>
    <row r="564" spans="1:27" s="5" customFormat="1" ht="18" customHeight="1" x14ac:dyDescent="0.2">
      <c r="A564" s="47"/>
      <c r="B564" s="45"/>
      <c r="C564" s="147" t="s">
        <v>94</v>
      </c>
      <c r="D564" s="147"/>
      <c r="E564" s="147"/>
      <c r="F564" s="147"/>
      <c r="G564" s="48" t="str">
        <f>$J$1</f>
        <v>February</v>
      </c>
      <c r="H564" s="146">
        <f>$K$1</f>
        <v>2024</v>
      </c>
      <c r="I564" s="146"/>
      <c r="J564" s="45"/>
      <c r="K564" s="49"/>
      <c r="L564" s="50"/>
      <c r="M564" s="6"/>
      <c r="N564" s="11"/>
      <c r="O564" s="12" t="s">
        <v>28</v>
      </c>
      <c r="P564" s="12" t="s">
        <v>5</v>
      </c>
      <c r="Q564" s="12" t="s">
        <v>4</v>
      </c>
      <c r="R564" s="12" t="s">
        <v>29</v>
      </c>
      <c r="S564" s="13"/>
      <c r="T564" s="12" t="s">
        <v>28</v>
      </c>
      <c r="U564" s="12" t="s">
        <v>30</v>
      </c>
      <c r="V564" s="12" t="s">
        <v>10</v>
      </c>
      <c r="W564" s="12" t="s">
        <v>9</v>
      </c>
      <c r="X564" s="12" t="s">
        <v>11</v>
      </c>
      <c r="Y564" s="12" t="s">
        <v>34</v>
      </c>
      <c r="Z564" s="14"/>
      <c r="AA564" s="6"/>
    </row>
    <row r="565" spans="1:27" s="5" customFormat="1" ht="18" customHeight="1" x14ac:dyDescent="0.2">
      <c r="A565" s="47"/>
      <c r="B565" s="45"/>
      <c r="C565" s="45"/>
      <c r="D565" s="51"/>
      <c r="E565" s="51"/>
      <c r="F565" s="51"/>
      <c r="G565" s="51"/>
      <c r="H565" s="51"/>
      <c r="I565" s="45"/>
      <c r="J565" s="52" t="s">
        <v>1</v>
      </c>
      <c r="K565" s="53">
        <v>45000</v>
      </c>
      <c r="L565" s="54"/>
      <c r="N565" s="15"/>
      <c r="O565" s="16" t="s">
        <v>20</v>
      </c>
      <c r="P565" s="16">
        <v>31</v>
      </c>
      <c r="Q565" s="16">
        <v>0</v>
      </c>
      <c r="R565" s="16"/>
      <c r="S565" s="17"/>
      <c r="T565" s="16" t="s">
        <v>20</v>
      </c>
      <c r="U565" s="18"/>
      <c r="V565" s="18"/>
      <c r="W565" s="18">
        <f>V565+U565</f>
        <v>0</v>
      </c>
      <c r="X565" s="18"/>
      <c r="Y565" s="18">
        <f>W565-X565</f>
        <v>0</v>
      </c>
      <c r="Z565" s="14"/>
    </row>
    <row r="566" spans="1:27" s="5" customFormat="1" ht="18" customHeight="1" x14ac:dyDescent="0.2">
      <c r="A566" s="47"/>
      <c r="B566" s="45" t="s">
        <v>0</v>
      </c>
      <c r="C566" s="44" t="s">
        <v>89</v>
      </c>
      <c r="D566" s="45"/>
      <c r="E566" s="45"/>
      <c r="F566" s="45"/>
      <c r="G566" s="45"/>
      <c r="H566" s="55"/>
      <c r="I566" s="51"/>
      <c r="J566" s="45"/>
      <c r="K566" s="45"/>
      <c r="L566" s="56"/>
      <c r="M566" s="4"/>
      <c r="N566" s="19"/>
      <c r="O566" s="16" t="s">
        <v>46</v>
      </c>
      <c r="P566" s="16">
        <v>28</v>
      </c>
      <c r="Q566" s="16">
        <v>1</v>
      </c>
      <c r="R566" s="16">
        <f t="shared" ref="R566:R571" si="132">IF(Q566="","",R565-Q566)</f>
        <v>-1</v>
      </c>
      <c r="S566" s="7"/>
      <c r="T566" s="16" t="s">
        <v>46</v>
      </c>
      <c r="U566" s="29"/>
      <c r="V566" s="18"/>
      <c r="W566" s="29" t="str">
        <f>IF(U566="","",U566+V566)</f>
        <v/>
      </c>
      <c r="X566" s="18"/>
      <c r="Y566" s="29" t="str">
        <f>IF(W566="","",W566-X566)</f>
        <v/>
      </c>
      <c r="Z566" s="20"/>
      <c r="AA566" s="4"/>
    </row>
    <row r="567" spans="1:27" s="5" customFormat="1" ht="18" customHeight="1" x14ac:dyDescent="0.2">
      <c r="A567" s="47"/>
      <c r="B567" s="57" t="s">
        <v>16</v>
      </c>
      <c r="C567" s="85">
        <v>45140</v>
      </c>
      <c r="D567" s="45"/>
      <c r="E567" s="45"/>
      <c r="F567" s="141" t="s">
        <v>18</v>
      </c>
      <c r="G567" s="143"/>
      <c r="H567" s="45"/>
      <c r="I567" s="141" t="s">
        <v>19</v>
      </c>
      <c r="J567" s="142"/>
      <c r="K567" s="143"/>
      <c r="L567" s="59"/>
      <c r="N567" s="15"/>
      <c r="O567" s="16" t="s">
        <v>21</v>
      </c>
      <c r="P567" s="16"/>
      <c r="Q567" s="16"/>
      <c r="R567" s="16" t="str">
        <f t="shared" si="132"/>
        <v/>
      </c>
      <c r="S567" s="7"/>
      <c r="T567" s="16" t="s">
        <v>21</v>
      </c>
      <c r="U567" s="29"/>
      <c r="V567" s="18"/>
      <c r="W567" s="29" t="str">
        <f t="shared" ref="W567:W576" si="133">IF(U567="","",U567+V567)</f>
        <v/>
      </c>
      <c r="X567" s="18"/>
      <c r="Y567" s="29" t="str">
        <f t="shared" ref="Y567:Y576" si="134">IF(W567="","",W567-X567)</f>
        <v/>
      </c>
      <c r="Z567" s="20"/>
    </row>
    <row r="568" spans="1:27" s="5" customFormat="1" ht="18" customHeight="1" x14ac:dyDescent="0.2">
      <c r="A568" s="47"/>
      <c r="B568" s="45"/>
      <c r="C568" s="45"/>
      <c r="D568" s="45"/>
      <c r="E568" s="45"/>
      <c r="F568" s="45"/>
      <c r="G568" s="45"/>
      <c r="H568" s="60"/>
      <c r="I568" s="45"/>
      <c r="J568" s="45"/>
      <c r="K568" s="45"/>
      <c r="L568" s="61"/>
      <c r="N568" s="15"/>
      <c r="O568" s="16" t="s">
        <v>22</v>
      </c>
      <c r="P568" s="16"/>
      <c r="Q568" s="16"/>
      <c r="R568" s="16"/>
      <c r="S568" s="7"/>
      <c r="T568" s="16" t="s">
        <v>22</v>
      </c>
      <c r="U568" s="29"/>
      <c r="V568" s="18"/>
      <c r="W568" s="29" t="str">
        <f t="shared" si="133"/>
        <v/>
      </c>
      <c r="X568" s="18"/>
      <c r="Y568" s="29" t="str">
        <f t="shared" si="134"/>
        <v/>
      </c>
      <c r="Z568" s="20"/>
    </row>
    <row r="569" spans="1:27" s="5" customFormat="1" ht="18" customHeight="1" x14ac:dyDescent="0.2">
      <c r="A569" s="47"/>
      <c r="B569" s="144" t="s">
        <v>17</v>
      </c>
      <c r="C569" s="145"/>
      <c r="D569" s="45"/>
      <c r="E569" s="45"/>
      <c r="F569" s="62" t="s">
        <v>39</v>
      </c>
      <c r="G569" s="63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60"/>
      <c r="I569" s="64">
        <f>IF(C573&gt;=C572,$K$2,C571+C573)</f>
        <v>27</v>
      </c>
      <c r="J569" s="65" t="s">
        <v>36</v>
      </c>
      <c r="K569" s="66">
        <f>K565/$K$2*I569</f>
        <v>41896.551724137928</v>
      </c>
      <c r="L569" s="67"/>
      <c r="N569" s="15"/>
      <c r="O569" s="16" t="s">
        <v>23</v>
      </c>
      <c r="P569" s="16"/>
      <c r="Q569" s="16"/>
      <c r="R569" s="16" t="str">
        <f t="shared" si="132"/>
        <v/>
      </c>
      <c r="S569" s="7"/>
      <c r="T569" s="16" t="s">
        <v>23</v>
      </c>
      <c r="U569" s="29"/>
      <c r="V569" s="18"/>
      <c r="W569" s="29" t="str">
        <f t="shared" si="133"/>
        <v/>
      </c>
      <c r="X569" s="18"/>
      <c r="Y569" s="29" t="str">
        <f t="shared" si="134"/>
        <v/>
      </c>
      <c r="Z569" s="20"/>
    </row>
    <row r="570" spans="1:27" s="5" customFormat="1" ht="18" customHeight="1" x14ac:dyDescent="0.2">
      <c r="A570" s="47"/>
      <c r="B570" s="68"/>
      <c r="C570" s="68"/>
      <c r="D570" s="45"/>
      <c r="E570" s="45"/>
      <c r="F570" s="62" t="s">
        <v>10</v>
      </c>
      <c r="G570" s="63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60"/>
      <c r="I570" s="64">
        <v>-14.5</v>
      </c>
      <c r="J570" s="65" t="s">
        <v>37</v>
      </c>
      <c r="K570" s="69">
        <f>K565/$K$2/8*I570</f>
        <v>-2812.5</v>
      </c>
      <c r="L570" s="70"/>
      <c r="N570" s="15"/>
      <c r="O570" s="16" t="s">
        <v>24</v>
      </c>
      <c r="P570" s="16"/>
      <c r="Q570" s="16"/>
      <c r="R570" s="16" t="str">
        <f t="shared" si="132"/>
        <v/>
      </c>
      <c r="S570" s="7"/>
      <c r="T570" s="16" t="s">
        <v>24</v>
      </c>
      <c r="U570" s="29"/>
      <c r="V570" s="18"/>
      <c r="W570" s="29" t="str">
        <f t="shared" si="133"/>
        <v/>
      </c>
      <c r="X570" s="18"/>
      <c r="Y570" s="29" t="str">
        <f t="shared" si="134"/>
        <v/>
      </c>
      <c r="Z570" s="20"/>
    </row>
    <row r="571" spans="1:27" s="5" customFormat="1" ht="18" customHeight="1" x14ac:dyDescent="0.2">
      <c r="A571" s="47"/>
      <c r="B571" s="62" t="s">
        <v>5</v>
      </c>
      <c r="C571" s="68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45"/>
      <c r="E571" s="45"/>
      <c r="F571" s="62" t="s">
        <v>40</v>
      </c>
      <c r="G571" s="63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60"/>
      <c r="I571" s="136" t="s">
        <v>44</v>
      </c>
      <c r="J571" s="137"/>
      <c r="K571" s="69">
        <f>K569+K570</f>
        <v>39084.051724137928</v>
      </c>
      <c r="L571" s="70"/>
      <c r="N571" s="15"/>
      <c r="O571" s="16" t="s">
        <v>25</v>
      </c>
      <c r="P571" s="16"/>
      <c r="Q571" s="16"/>
      <c r="R571" s="16" t="str">
        <f t="shared" si="132"/>
        <v/>
      </c>
      <c r="S571" s="7"/>
      <c r="T571" s="16" t="s">
        <v>25</v>
      </c>
      <c r="U571" s="29"/>
      <c r="V571" s="18"/>
      <c r="W571" s="29">
        <f>V571+U571</f>
        <v>0</v>
      </c>
      <c r="X571" s="18"/>
      <c r="Y571" s="29">
        <f t="shared" si="134"/>
        <v>0</v>
      </c>
      <c r="Z571" s="20"/>
    </row>
    <row r="572" spans="1:27" s="5" customFormat="1" ht="18" customHeight="1" x14ac:dyDescent="0.2">
      <c r="A572" s="47"/>
      <c r="B572" s="62" t="s">
        <v>4</v>
      </c>
      <c r="C572" s="68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45"/>
      <c r="E572" s="45"/>
      <c r="F572" s="62" t="s">
        <v>11</v>
      </c>
      <c r="G572" s="63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60"/>
      <c r="I572" s="136" t="s">
        <v>45</v>
      </c>
      <c r="J572" s="137"/>
      <c r="K572" s="63">
        <f>G572</f>
        <v>0</v>
      </c>
      <c r="L572" s="71"/>
      <c r="N572" s="15"/>
      <c r="O572" s="16" t="s">
        <v>26</v>
      </c>
      <c r="P572" s="16"/>
      <c r="Q572" s="16"/>
      <c r="R572" s="16">
        <v>0</v>
      </c>
      <c r="S572" s="7"/>
      <c r="T572" s="16" t="s">
        <v>26</v>
      </c>
      <c r="U572" s="29">
        <f>Y571</f>
        <v>0</v>
      </c>
      <c r="V572" s="18"/>
      <c r="W572" s="29">
        <f t="shared" si="133"/>
        <v>0</v>
      </c>
      <c r="X572" s="18"/>
      <c r="Y572" s="29">
        <f t="shared" si="134"/>
        <v>0</v>
      </c>
      <c r="Z572" s="20"/>
    </row>
    <row r="573" spans="1:27" s="5" customFormat="1" ht="18" customHeight="1" x14ac:dyDescent="0.2">
      <c r="A573" s="47"/>
      <c r="B573" s="77" t="s">
        <v>43</v>
      </c>
      <c r="C573" s="68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-1</v>
      </c>
      <c r="D573" s="45"/>
      <c r="E573" s="45"/>
      <c r="F573" s="77" t="s">
        <v>86</v>
      </c>
      <c r="G573" s="63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45"/>
      <c r="I573" s="141" t="s">
        <v>38</v>
      </c>
      <c r="J573" s="143"/>
      <c r="K573" s="41">
        <f>K571-K572</f>
        <v>39084.051724137928</v>
      </c>
      <c r="L573" s="72"/>
      <c r="N573" s="15"/>
      <c r="O573" s="16" t="s">
        <v>31</v>
      </c>
      <c r="P573" s="16"/>
      <c r="Q573" s="16"/>
      <c r="R573" s="16">
        <v>0</v>
      </c>
      <c r="S573" s="7"/>
      <c r="T573" s="16" t="s">
        <v>31</v>
      </c>
      <c r="U573" s="29" t="str">
        <f>IF($J$1="September",Y572,"")</f>
        <v/>
      </c>
      <c r="V573" s="18"/>
      <c r="W573" s="29" t="str">
        <f t="shared" si="133"/>
        <v/>
      </c>
      <c r="X573" s="18"/>
      <c r="Y573" s="29" t="str">
        <f t="shared" si="134"/>
        <v/>
      </c>
      <c r="Z573" s="20"/>
    </row>
    <row r="574" spans="1:27" s="5" customFormat="1" ht="18" customHeight="1" x14ac:dyDescent="0.2">
      <c r="A574" s="47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59"/>
      <c r="N574" s="15"/>
      <c r="O574" s="16" t="s">
        <v>27</v>
      </c>
      <c r="P574" s="16"/>
      <c r="Q574" s="16"/>
      <c r="R574" s="16">
        <v>0</v>
      </c>
      <c r="S574" s="7"/>
      <c r="T574" s="16" t="s">
        <v>27</v>
      </c>
      <c r="U574" s="29" t="str">
        <f>IF($J$1="October",Y573,"")</f>
        <v/>
      </c>
      <c r="V574" s="18"/>
      <c r="W574" s="29" t="str">
        <f t="shared" si="133"/>
        <v/>
      </c>
      <c r="X574" s="18"/>
      <c r="Y574" s="29" t="str">
        <f t="shared" si="134"/>
        <v/>
      </c>
      <c r="Z574" s="20"/>
    </row>
    <row r="575" spans="1:27" s="5" customFormat="1" ht="18" customHeight="1" x14ac:dyDescent="0.3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59"/>
      <c r="N575" s="15"/>
      <c r="O575" s="16" t="s">
        <v>32</v>
      </c>
      <c r="P575" s="16"/>
      <c r="Q575" s="16"/>
      <c r="R575" s="16">
        <v>0</v>
      </c>
      <c r="S575" s="7"/>
      <c r="T575" s="16" t="s">
        <v>32</v>
      </c>
      <c r="U575" s="29" t="str">
        <f>Y574</f>
        <v/>
      </c>
      <c r="V575" s="18"/>
      <c r="W575" s="29" t="str">
        <f t="shared" si="133"/>
        <v/>
      </c>
      <c r="X575" s="18"/>
      <c r="Y575" s="29" t="str">
        <f t="shared" si="134"/>
        <v/>
      </c>
      <c r="Z575" s="20"/>
    </row>
    <row r="576" spans="1:27" s="5" customFormat="1" ht="18" customHeight="1" thickBot="1" x14ac:dyDescent="0.35">
      <c r="A576" s="73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5"/>
      <c r="N576" s="15"/>
      <c r="O576" s="16" t="s">
        <v>33</v>
      </c>
      <c r="P576" s="16"/>
      <c r="Q576" s="16"/>
      <c r="R576" s="16">
        <v>0</v>
      </c>
      <c r="S576" s="7"/>
      <c r="T576" s="16" t="s">
        <v>33</v>
      </c>
      <c r="U576" s="29" t="str">
        <f>Y575</f>
        <v/>
      </c>
      <c r="V576" s="18"/>
      <c r="W576" s="29" t="str">
        <f t="shared" si="133"/>
        <v/>
      </c>
      <c r="X576" s="18"/>
      <c r="Y576" s="29" t="str">
        <f t="shared" si="134"/>
        <v/>
      </c>
      <c r="Z576" s="20"/>
    </row>
    <row r="577" spans="1:27" s="27" customFormat="1" ht="18" customHeight="1" thickBot="1" x14ac:dyDescent="0.25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7" s="5" customFormat="1" ht="18" customHeight="1" thickBot="1" x14ac:dyDescent="0.25">
      <c r="A578" s="138" t="s">
        <v>15</v>
      </c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40"/>
      <c r="M578" s="4"/>
      <c r="N578" s="8"/>
      <c r="O578" s="133" t="s">
        <v>17</v>
      </c>
      <c r="P578" s="134"/>
      <c r="Q578" s="134"/>
      <c r="R578" s="135"/>
      <c r="S578" s="9"/>
      <c r="T578" s="133" t="s">
        <v>18</v>
      </c>
      <c r="U578" s="134"/>
      <c r="V578" s="134"/>
      <c r="W578" s="134"/>
      <c r="X578" s="134"/>
      <c r="Y578" s="135"/>
      <c r="Z578" s="10"/>
      <c r="AA578" s="4"/>
    </row>
    <row r="579" spans="1:27" s="5" customFormat="1" ht="18" customHeight="1" x14ac:dyDescent="0.2">
      <c r="A579" s="47"/>
      <c r="B579" s="45"/>
      <c r="C579" s="147" t="s">
        <v>94</v>
      </c>
      <c r="D579" s="147"/>
      <c r="E579" s="147"/>
      <c r="F579" s="147"/>
      <c r="G579" s="48" t="str">
        <f>$J$1</f>
        <v>February</v>
      </c>
      <c r="H579" s="146">
        <f>$K$1</f>
        <v>2024</v>
      </c>
      <c r="I579" s="146"/>
      <c r="J579" s="45"/>
      <c r="K579" s="49"/>
      <c r="L579" s="50"/>
      <c r="M579" s="6"/>
      <c r="N579" s="11"/>
      <c r="O579" s="12" t="s">
        <v>28</v>
      </c>
      <c r="P579" s="12" t="s">
        <v>5</v>
      </c>
      <c r="Q579" s="12" t="s">
        <v>4</v>
      </c>
      <c r="R579" s="12" t="s">
        <v>29</v>
      </c>
      <c r="S579" s="13"/>
      <c r="T579" s="12" t="s">
        <v>28</v>
      </c>
      <c r="U579" s="12" t="s">
        <v>30</v>
      </c>
      <c r="V579" s="12" t="s">
        <v>10</v>
      </c>
      <c r="W579" s="12" t="s">
        <v>9</v>
      </c>
      <c r="X579" s="12" t="s">
        <v>11</v>
      </c>
      <c r="Y579" s="12" t="s">
        <v>34</v>
      </c>
      <c r="Z579" s="14"/>
      <c r="AA579" s="6"/>
    </row>
    <row r="580" spans="1:27" s="5" customFormat="1" ht="18" customHeight="1" x14ac:dyDescent="0.2">
      <c r="A580" s="47"/>
      <c r="B580" s="45"/>
      <c r="C580" s="45"/>
      <c r="D580" s="51"/>
      <c r="E580" s="51"/>
      <c r="F580" s="51"/>
      <c r="G580" s="51"/>
      <c r="H580" s="51"/>
      <c r="I580" s="45"/>
      <c r="J580" s="52" t="s">
        <v>1</v>
      </c>
      <c r="K580" s="53">
        <f>30000+5000</f>
        <v>35000</v>
      </c>
      <c r="L580" s="54"/>
      <c r="N580" s="15"/>
      <c r="O580" s="16" t="s">
        <v>20</v>
      </c>
      <c r="P580" s="16">
        <v>31</v>
      </c>
      <c r="Q580" s="16">
        <v>0</v>
      </c>
      <c r="R580" s="16">
        <f>19-Q580</f>
        <v>19</v>
      </c>
      <c r="S580" s="17"/>
      <c r="T580" s="16" t="s">
        <v>20</v>
      </c>
      <c r="U580" s="18">
        <v>5000</v>
      </c>
      <c r="V580" s="18"/>
      <c r="W580" s="18">
        <f>V580+U580</f>
        <v>5000</v>
      </c>
      <c r="X580" s="18">
        <v>5000</v>
      </c>
      <c r="Y580" s="18">
        <f>W580-X580</f>
        <v>0</v>
      </c>
      <c r="Z580" s="14"/>
    </row>
    <row r="581" spans="1:27" s="5" customFormat="1" ht="18" customHeight="1" x14ac:dyDescent="0.2">
      <c r="A581" s="47"/>
      <c r="B581" s="45" t="s">
        <v>0</v>
      </c>
      <c r="C581" s="44" t="s">
        <v>52</v>
      </c>
      <c r="D581" s="45"/>
      <c r="E581" s="45"/>
      <c r="F581" s="45"/>
      <c r="G581" s="45"/>
      <c r="H581" s="55"/>
      <c r="I581" s="51"/>
      <c r="J581" s="45"/>
      <c r="K581" s="45"/>
      <c r="L581" s="56"/>
      <c r="M581" s="4"/>
      <c r="N581" s="19"/>
      <c r="O581" s="16" t="s">
        <v>46</v>
      </c>
      <c r="P581" s="16">
        <v>29</v>
      </c>
      <c r="Q581" s="16">
        <v>0</v>
      </c>
      <c r="R581" s="16">
        <f t="shared" ref="R581:R591" si="135">IF(Q581="","",R580-Q581)</f>
        <v>19</v>
      </c>
      <c r="S581" s="7"/>
      <c r="T581" s="16" t="s">
        <v>46</v>
      </c>
      <c r="U581" s="29">
        <f>Y580</f>
        <v>0</v>
      </c>
      <c r="V581" s="18"/>
      <c r="W581" s="29">
        <f>IF(U581="","",U581+V581)</f>
        <v>0</v>
      </c>
      <c r="X581" s="18"/>
      <c r="Y581" s="29">
        <f>IF(W581="","",W581-X581)</f>
        <v>0</v>
      </c>
      <c r="Z581" s="20"/>
      <c r="AA581" s="4"/>
    </row>
    <row r="582" spans="1:27" s="5" customFormat="1" ht="18" customHeight="1" x14ac:dyDescent="0.2">
      <c r="A582" s="47"/>
      <c r="B582" s="57" t="s">
        <v>16</v>
      </c>
      <c r="C582" s="58"/>
      <c r="D582" s="45"/>
      <c r="E582" s="45"/>
      <c r="F582" s="141" t="s">
        <v>18</v>
      </c>
      <c r="G582" s="143"/>
      <c r="H582" s="45"/>
      <c r="I582" s="141" t="s">
        <v>19</v>
      </c>
      <c r="J582" s="142"/>
      <c r="K582" s="143"/>
      <c r="L582" s="59"/>
      <c r="N582" s="15"/>
      <c r="O582" s="16" t="s">
        <v>21</v>
      </c>
      <c r="P582" s="16"/>
      <c r="Q582" s="16"/>
      <c r="R582" s="16" t="str">
        <f t="shared" si="135"/>
        <v/>
      </c>
      <c r="S582" s="7"/>
      <c r="T582" s="16" t="s">
        <v>21</v>
      </c>
      <c r="U582" s="29"/>
      <c r="V582" s="18"/>
      <c r="W582" s="29" t="str">
        <f t="shared" ref="W582:W591" si="136">IF(U582="","",U582+V582)</f>
        <v/>
      </c>
      <c r="X582" s="18"/>
      <c r="Y582" s="29" t="str">
        <f t="shared" ref="Y582:Y591" si="137">IF(W582="","",W582-X582)</f>
        <v/>
      </c>
      <c r="Z582" s="20"/>
    </row>
    <row r="583" spans="1:27" s="5" customFormat="1" ht="18" customHeight="1" x14ac:dyDescent="0.2">
      <c r="A583" s="47"/>
      <c r="B583" s="45"/>
      <c r="C583" s="45"/>
      <c r="D583" s="45"/>
      <c r="E583" s="45"/>
      <c r="F583" s="45"/>
      <c r="G583" s="45"/>
      <c r="H583" s="60"/>
      <c r="I583" s="45"/>
      <c r="J583" s="45"/>
      <c r="K583" s="45"/>
      <c r="L583" s="61"/>
      <c r="N583" s="15"/>
      <c r="O583" s="16" t="s">
        <v>22</v>
      </c>
      <c r="P583" s="16"/>
      <c r="Q583" s="16"/>
      <c r="R583" s="16" t="str">
        <f t="shared" si="135"/>
        <v/>
      </c>
      <c r="S583" s="7"/>
      <c r="T583" s="16" t="s">
        <v>22</v>
      </c>
      <c r="U583" s="29"/>
      <c r="V583" s="18"/>
      <c r="W583" s="29" t="str">
        <f t="shared" si="136"/>
        <v/>
      </c>
      <c r="X583" s="18"/>
      <c r="Y583" s="29" t="str">
        <f t="shared" si="137"/>
        <v/>
      </c>
      <c r="Z583" s="20"/>
    </row>
    <row r="584" spans="1:27" s="5" customFormat="1" ht="18" customHeight="1" x14ac:dyDescent="0.2">
      <c r="A584" s="47"/>
      <c r="B584" s="144" t="s">
        <v>17</v>
      </c>
      <c r="C584" s="145"/>
      <c r="D584" s="45"/>
      <c r="E584" s="45"/>
      <c r="F584" s="62" t="s">
        <v>39</v>
      </c>
      <c r="G584" s="63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60"/>
      <c r="I584" s="64">
        <f>IF(C588&gt;=C587,$K$2,C586+C588)</f>
        <v>29</v>
      </c>
      <c r="J584" s="65" t="s">
        <v>36</v>
      </c>
      <c r="K584" s="66">
        <f>K580/$K$2*I584</f>
        <v>35000</v>
      </c>
      <c r="L584" s="67"/>
      <c r="N584" s="15"/>
      <c r="O584" s="16" t="s">
        <v>23</v>
      </c>
      <c r="P584" s="16"/>
      <c r="Q584" s="16"/>
      <c r="R584" s="16" t="str">
        <f t="shared" si="135"/>
        <v/>
      </c>
      <c r="S584" s="7"/>
      <c r="T584" s="16" t="s">
        <v>23</v>
      </c>
      <c r="U584" s="29"/>
      <c r="V584" s="18"/>
      <c r="W584" s="29" t="str">
        <f t="shared" si="136"/>
        <v/>
      </c>
      <c r="X584" s="18"/>
      <c r="Y584" s="29" t="str">
        <f t="shared" si="137"/>
        <v/>
      </c>
      <c r="Z584" s="20"/>
    </row>
    <row r="585" spans="1:27" s="5" customFormat="1" ht="18" customHeight="1" x14ac:dyDescent="0.2">
      <c r="A585" s="47"/>
      <c r="B585" s="68"/>
      <c r="C585" s="68"/>
      <c r="D585" s="45"/>
      <c r="E585" s="45"/>
      <c r="F585" s="62" t="s">
        <v>10</v>
      </c>
      <c r="G585" s="63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60"/>
      <c r="I585" s="64">
        <v>111</v>
      </c>
      <c r="J585" s="65" t="s">
        <v>37</v>
      </c>
      <c r="K585" s="69">
        <f>K580/$K$2/8*I585</f>
        <v>16745.689655172413</v>
      </c>
      <c r="L585" s="70"/>
      <c r="N585" s="15"/>
      <c r="O585" s="16" t="s">
        <v>24</v>
      </c>
      <c r="P585" s="16"/>
      <c r="Q585" s="16"/>
      <c r="R585" s="16" t="str">
        <f t="shared" si="135"/>
        <v/>
      </c>
      <c r="S585" s="7"/>
      <c r="T585" s="16" t="s">
        <v>24</v>
      </c>
      <c r="U585" s="29"/>
      <c r="V585" s="18"/>
      <c r="W585" s="29" t="str">
        <f t="shared" si="136"/>
        <v/>
      </c>
      <c r="X585" s="18"/>
      <c r="Y585" s="29" t="str">
        <f t="shared" si="137"/>
        <v/>
      </c>
      <c r="Z585" s="20"/>
    </row>
    <row r="586" spans="1:27" s="5" customFormat="1" ht="18" customHeight="1" x14ac:dyDescent="0.2">
      <c r="A586" s="47"/>
      <c r="B586" s="62" t="s">
        <v>5</v>
      </c>
      <c r="C586" s="68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45"/>
      <c r="E586" s="45"/>
      <c r="F586" s="62" t="s">
        <v>40</v>
      </c>
      <c r="G586" s="63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60"/>
      <c r="I586" s="136" t="s">
        <v>44</v>
      </c>
      <c r="J586" s="137"/>
      <c r="K586" s="69">
        <f>K584+K585</f>
        <v>51745.689655172413</v>
      </c>
      <c r="L586" s="70"/>
      <c r="N586" s="15"/>
      <c r="O586" s="16" t="s">
        <v>25</v>
      </c>
      <c r="P586" s="16"/>
      <c r="Q586" s="16"/>
      <c r="R586" s="16" t="str">
        <f t="shared" si="135"/>
        <v/>
      </c>
      <c r="S586" s="7"/>
      <c r="T586" s="16" t="s">
        <v>25</v>
      </c>
      <c r="U586" s="29"/>
      <c r="V586" s="18"/>
      <c r="W586" s="29" t="str">
        <f t="shared" si="136"/>
        <v/>
      </c>
      <c r="X586" s="18"/>
      <c r="Y586" s="29" t="str">
        <f t="shared" si="137"/>
        <v/>
      </c>
      <c r="Z586" s="20"/>
    </row>
    <row r="587" spans="1:27" s="5" customFormat="1" ht="18" customHeight="1" x14ac:dyDescent="0.2">
      <c r="A587" s="47"/>
      <c r="B587" s="62" t="s">
        <v>4</v>
      </c>
      <c r="C587" s="68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45"/>
      <c r="E587" s="45"/>
      <c r="F587" s="62" t="s">
        <v>11</v>
      </c>
      <c r="G587" s="63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60"/>
      <c r="I587" s="136" t="s">
        <v>45</v>
      </c>
      <c r="J587" s="137"/>
      <c r="K587" s="63">
        <f>G587</f>
        <v>0</v>
      </c>
      <c r="L587" s="71"/>
      <c r="N587" s="15"/>
      <c r="O587" s="16" t="s">
        <v>26</v>
      </c>
      <c r="P587" s="16"/>
      <c r="Q587" s="16"/>
      <c r="R587" s="16" t="str">
        <f t="shared" si="135"/>
        <v/>
      </c>
      <c r="S587" s="7"/>
      <c r="T587" s="16" t="s">
        <v>26</v>
      </c>
      <c r="U587" s="29"/>
      <c r="V587" s="18"/>
      <c r="W587" s="29" t="str">
        <f t="shared" si="136"/>
        <v/>
      </c>
      <c r="X587" s="18"/>
      <c r="Y587" s="29" t="str">
        <f t="shared" si="137"/>
        <v/>
      </c>
      <c r="Z587" s="20"/>
    </row>
    <row r="588" spans="1:27" s="5" customFormat="1" ht="18" customHeight="1" x14ac:dyDescent="0.2">
      <c r="A588" s="47"/>
      <c r="B588" s="77" t="s">
        <v>43</v>
      </c>
      <c r="C588" s="68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45"/>
      <c r="E588" s="45"/>
      <c r="F588" s="77" t="s">
        <v>86</v>
      </c>
      <c r="G588" s="63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45"/>
      <c r="I588" s="141" t="s">
        <v>38</v>
      </c>
      <c r="J588" s="143"/>
      <c r="K588" s="41">
        <f>K586-K587</f>
        <v>51745.689655172413</v>
      </c>
      <c r="L588" s="72"/>
      <c r="N588" s="15"/>
      <c r="O588" s="16" t="s">
        <v>31</v>
      </c>
      <c r="P588" s="16"/>
      <c r="Q588" s="16"/>
      <c r="R588" s="16" t="str">
        <f t="shared" si="135"/>
        <v/>
      </c>
      <c r="S588" s="7"/>
      <c r="T588" s="16" t="s">
        <v>31</v>
      </c>
      <c r="U588" s="29"/>
      <c r="V588" s="18"/>
      <c r="W588" s="29" t="str">
        <f t="shared" si="136"/>
        <v/>
      </c>
      <c r="X588" s="18"/>
      <c r="Y588" s="29" t="str">
        <f t="shared" si="137"/>
        <v/>
      </c>
      <c r="Z588" s="20"/>
    </row>
    <row r="589" spans="1:27" s="5" customFormat="1" ht="18" customHeight="1" x14ac:dyDescent="0.2">
      <c r="A589" s="47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59"/>
      <c r="N589" s="15"/>
      <c r="O589" s="16" t="s">
        <v>27</v>
      </c>
      <c r="P589" s="16"/>
      <c r="Q589" s="16"/>
      <c r="R589" s="16" t="str">
        <f t="shared" si="135"/>
        <v/>
      </c>
      <c r="S589" s="7"/>
      <c r="T589" s="16" t="s">
        <v>27</v>
      </c>
      <c r="U589" s="29"/>
      <c r="V589" s="18"/>
      <c r="W589" s="29" t="str">
        <f t="shared" si="136"/>
        <v/>
      </c>
      <c r="X589" s="18"/>
      <c r="Y589" s="29" t="str">
        <f t="shared" si="137"/>
        <v/>
      </c>
      <c r="Z589" s="20"/>
    </row>
    <row r="590" spans="1:27" s="5" customFormat="1" ht="18" customHeight="1" x14ac:dyDescent="0.3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59"/>
      <c r="N590" s="15"/>
      <c r="O590" s="16" t="s">
        <v>32</v>
      </c>
      <c r="P590" s="16"/>
      <c r="Q590" s="16"/>
      <c r="R590" s="16" t="str">
        <f t="shared" si="135"/>
        <v/>
      </c>
      <c r="S590" s="7"/>
      <c r="T590" s="16" t="s">
        <v>32</v>
      </c>
      <c r="U590" s="29"/>
      <c r="V590" s="18"/>
      <c r="W590" s="29" t="str">
        <f t="shared" si="136"/>
        <v/>
      </c>
      <c r="X590" s="18"/>
      <c r="Y590" s="29" t="str">
        <f t="shared" si="137"/>
        <v/>
      </c>
      <c r="Z590" s="20"/>
    </row>
    <row r="591" spans="1:27" s="5" customFormat="1" ht="18" customHeight="1" thickBot="1" x14ac:dyDescent="0.35">
      <c r="A591" s="73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5"/>
      <c r="N591" s="15"/>
      <c r="O591" s="16" t="s">
        <v>33</v>
      </c>
      <c r="P591" s="16"/>
      <c r="Q591" s="16"/>
      <c r="R591" s="16" t="str">
        <f t="shared" si="135"/>
        <v/>
      </c>
      <c r="S591" s="7"/>
      <c r="T591" s="16" t="s">
        <v>33</v>
      </c>
      <c r="U591" s="29"/>
      <c r="V591" s="18"/>
      <c r="W591" s="29" t="str">
        <f t="shared" si="136"/>
        <v/>
      </c>
      <c r="X591" s="18"/>
      <c r="Y591" s="29" t="str">
        <f t="shared" si="137"/>
        <v/>
      </c>
      <c r="Z591" s="20"/>
    </row>
    <row r="592" spans="1:27" s="27" customFormat="1" ht="18" customHeight="1" thickBot="1" x14ac:dyDescent="0.25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7" s="5" customFormat="1" ht="18" customHeight="1" x14ac:dyDescent="0.2">
      <c r="A593" s="153" t="s">
        <v>15</v>
      </c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5"/>
      <c r="M593" s="4"/>
      <c r="N593" s="8"/>
      <c r="O593" s="133" t="s">
        <v>17</v>
      </c>
      <c r="P593" s="134"/>
      <c r="Q593" s="134"/>
      <c r="R593" s="135"/>
      <c r="S593" s="9"/>
      <c r="T593" s="133" t="s">
        <v>18</v>
      </c>
      <c r="U593" s="134"/>
      <c r="V593" s="134"/>
      <c r="W593" s="134"/>
      <c r="X593" s="134"/>
      <c r="Y593" s="135"/>
      <c r="Z593" s="10"/>
      <c r="AA593" s="4"/>
    </row>
    <row r="594" spans="1:27" s="5" customFormat="1" ht="18" customHeight="1" x14ac:dyDescent="0.2">
      <c r="A594" s="47"/>
      <c r="B594" s="45"/>
      <c r="C594" s="147" t="s">
        <v>94</v>
      </c>
      <c r="D594" s="147"/>
      <c r="E594" s="147"/>
      <c r="F594" s="147"/>
      <c r="G594" s="48" t="str">
        <f>$J$1</f>
        <v>February</v>
      </c>
      <c r="H594" s="146">
        <f>$K$1</f>
        <v>2024</v>
      </c>
      <c r="I594" s="146"/>
      <c r="J594" s="45"/>
      <c r="K594" s="49"/>
      <c r="L594" s="50"/>
      <c r="M594" s="6"/>
      <c r="N594" s="11"/>
      <c r="O594" s="12" t="s">
        <v>28</v>
      </c>
      <c r="P594" s="12" t="s">
        <v>5</v>
      </c>
      <c r="Q594" s="12" t="s">
        <v>4</v>
      </c>
      <c r="R594" s="12" t="s">
        <v>29</v>
      </c>
      <c r="S594" s="13"/>
      <c r="T594" s="12" t="s">
        <v>28</v>
      </c>
      <c r="U594" s="12" t="s">
        <v>30</v>
      </c>
      <c r="V594" s="12" t="s">
        <v>10</v>
      </c>
      <c r="W594" s="12" t="s">
        <v>9</v>
      </c>
      <c r="X594" s="12" t="s">
        <v>11</v>
      </c>
      <c r="Y594" s="12" t="s">
        <v>34</v>
      </c>
      <c r="Z594" s="14"/>
      <c r="AA594" s="6"/>
    </row>
    <row r="595" spans="1:27" s="5" customFormat="1" ht="18" customHeight="1" x14ac:dyDescent="0.2">
      <c r="A595" s="47"/>
      <c r="B595" s="45"/>
      <c r="C595" s="45"/>
      <c r="D595" s="51"/>
      <c r="E595" s="51"/>
      <c r="F595" s="51"/>
      <c r="G595" s="51"/>
      <c r="H595" s="51"/>
      <c r="I595" s="45"/>
      <c r="J595" s="52" t="s">
        <v>1</v>
      </c>
      <c r="K595" s="53">
        <v>40000</v>
      </c>
      <c r="L595" s="54"/>
      <c r="N595" s="15"/>
      <c r="O595" s="16" t="s">
        <v>20</v>
      </c>
      <c r="P595" s="16">
        <v>28</v>
      </c>
      <c r="Q595" s="16">
        <v>3</v>
      </c>
      <c r="R595" s="16">
        <v>0</v>
      </c>
      <c r="S595" s="17"/>
      <c r="T595" s="16" t="s">
        <v>20</v>
      </c>
      <c r="U595" s="18"/>
      <c r="V595" s="18"/>
      <c r="W595" s="18">
        <f>V595+U595</f>
        <v>0</v>
      </c>
      <c r="X595" s="18"/>
      <c r="Y595" s="18">
        <f>W595-X595</f>
        <v>0</v>
      </c>
      <c r="Z595" s="14"/>
    </row>
    <row r="596" spans="1:27" s="5" customFormat="1" ht="18" customHeight="1" x14ac:dyDescent="0.2">
      <c r="A596" s="47"/>
      <c r="B596" s="45" t="s">
        <v>0</v>
      </c>
      <c r="C596" s="44" t="s">
        <v>97</v>
      </c>
      <c r="D596" s="45"/>
      <c r="E596" s="45"/>
      <c r="F596" s="45"/>
      <c r="G596" s="45"/>
      <c r="H596" s="55"/>
      <c r="I596" s="51"/>
      <c r="J596" s="45"/>
      <c r="K596" s="45"/>
      <c r="L596" s="56"/>
      <c r="M596" s="4"/>
      <c r="N596" s="19"/>
      <c r="O596" s="16" t="s">
        <v>46</v>
      </c>
      <c r="P596" s="16">
        <v>28</v>
      </c>
      <c r="Q596" s="16">
        <v>2</v>
      </c>
      <c r="R596" s="16">
        <v>0</v>
      </c>
      <c r="S596" s="7"/>
      <c r="T596" s="16" t="s">
        <v>46</v>
      </c>
      <c r="U596" s="29">
        <f>IF($J$1="January","",Y595)</f>
        <v>0</v>
      </c>
      <c r="V596" s="18">
        <v>4000</v>
      </c>
      <c r="W596" s="29">
        <f>IF(U596="","",U596+V596)</f>
        <v>4000</v>
      </c>
      <c r="X596" s="18">
        <v>2000</v>
      </c>
      <c r="Y596" s="29">
        <f>IF(W596="","",W596-X596)</f>
        <v>2000</v>
      </c>
      <c r="Z596" s="20"/>
      <c r="AA596" s="4"/>
    </row>
    <row r="597" spans="1:27" s="5" customFormat="1" ht="18" customHeight="1" x14ac:dyDescent="0.2">
      <c r="A597" s="47"/>
      <c r="B597" s="57" t="s">
        <v>16</v>
      </c>
      <c r="C597" s="84"/>
      <c r="D597" s="45"/>
      <c r="E597" s="45"/>
      <c r="F597" s="148" t="s">
        <v>18</v>
      </c>
      <c r="G597" s="148"/>
      <c r="H597" s="45"/>
      <c r="I597" s="148" t="s">
        <v>19</v>
      </c>
      <c r="J597" s="148"/>
      <c r="K597" s="148"/>
      <c r="L597" s="59"/>
      <c r="N597" s="15"/>
      <c r="O597" s="16" t="s">
        <v>21</v>
      </c>
      <c r="P597" s="16"/>
      <c r="Q597" s="16"/>
      <c r="R597" s="16">
        <v>0</v>
      </c>
      <c r="S597" s="7"/>
      <c r="T597" s="16" t="s">
        <v>21</v>
      </c>
      <c r="U597" s="29" t="str">
        <f>IF($J$1="February","",Y596)</f>
        <v/>
      </c>
      <c r="V597" s="18"/>
      <c r="W597" s="29" t="str">
        <f t="shared" ref="W597:W606" si="138">IF(U597="","",U597+V597)</f>
        <v/>
      </c>
      <c r="X597" s="18"/>
      <c r="Y597" s="29" t="str">
        <f t="shared" ref="Y597:Y606" si="139">IF(W597="","",W597-X597)</f>
        <v/>
      </c>
      <c r="Z597" s="20"/>
    </row>
    <row r="598" spans="1:27" s="5" customFormat="1" ht="18" customHeight="1" x14ac:dyDescent="0.2">
      <c r="A598" s="47"/>
      <c r="B598" s="45"/>
      <c r="C598" s="45"/>
      <c r="D598" s="45"/>
      <c r="E598" s="45"/>
      <c r="F598" s="45"/>
      <c r="G598" s="45"/>
      <c r="H598" s="60"/>
      <c r="I598" s="45"/>
      <c r="J598" s="45"/>
      <c r="K598" s="45"/>
      <c r="L598" s="61"/>
      <c r="N598" s="15"/>
      <c r="O598" s="16" t="s">
        <v>22</v>
      </c>
      <c r="P598" s="16"/>
      <c r="Q598" s="16"/>
      <c r="R598" s="16">
        <v>0</v>
      </c>
      <c r="S598" s="7"/>
      <c r="T598" s="16" t="s">
        <v>22</v>
      </c>
      <c r="U598" s="29" t="str">
        <f>IF($J$1="March","",Y597)</f>
        <v/>
      </c>
      <c r="V598" s="18"/>
      <c r="W598" s="29" t="str">
        <f t="shared" si="138"/>
        <v/>
      </c>
      <c r="X598" s="18"/>
      <c r="Y598" s="29" t="str">
        <f t="shared" si="139"/>
        <v/>
      </c>
      <c r="Z598" s="20"/>
    </row>
    <row r="599" spans="1:27" s="5" customFormat="1" ht="18" customHeight="1" x14ac:dyDescent="0.2">
      <c r="A599" s="47"/>
      <c r="B599" s="144" t="s">
        <v>17</v>
      </c>
      <c r="C599" s="145"/>
      <c r="D599" s="45"/>
      <c r="E599" s="45"/>
      <c r="F599" s="62" t="s">
        <v>39</v>
      </c>
      <c r="G599" s="63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60"/>
      <c r="I599" s="64">
        <f>IF(C603&gt;0,$K$2,C601)</f>
        <v>28</v>
      </c>
      <c r="J599" s="65" t="s">
        <v>36</v>
      </c>
      <c r="K599" s="66">
        <f>K595/$K$2*I599</f>
        <v>38620.689655172413</v>
      </c>
      <c r="L599" s="67"/>
      <c r="N599" s="15"/>
      <c r="O599" s="16" t="s">
        <v>23</v>
      </c>
      <c r="P599" s="16"/>
      <c r="Q599" s="16"/>
      <c r="R599" s="16">
        <v>0</v>
      </c>
      <c r="S599" s="7"/>
      <c r="T599" s="16" t="s">
        <v>23</v>
      </c>
      <c r="U599" s="29" t="str">
        <f>IF($J$1="April","",Y598)</f>
        <v/>
      </c>
      <c r="V599" s="18"/>
      <c r="W599" s="29" t="str">
        <f t="shared" si="138"/>
        <v/>
      </c>
      <c r="X599" s="18"/>
      <c r="Y599" s="29" t="str">
        <f t="shared" si="139"/>
        <v/>
      </c>
      <c r="Z599" s="20"/>
    </row>
    <row r="600" spans="1:27" s="5" customFormat="1" ht="18" customHeight="1" x14ac:dyDescent="0.2">
      <c r="A600" s="47"/>
      <c r="B600" s="68"/>
      <c r="C600" s="68"/>
      <c r="D600" s="45"/>
      <c r="E600" s="45"/>
      <c r="F600" s="62" t="s">
        <v>10</v>
      </c>
      <c r="G600" s="63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60"/>
      <c r="I600" s="82">
        <v>71</v>
      </c>
      <c r="J600" s="65" t="s">
        <v>37</v>
      </c>
      <c r="K600" s="69">
        <f>K595/$K$2/8*I600</f>
        <v>12241.379310344828</v>
      </c>
      <c r="L600" s="70"/>
      <c r="N600" s="15"/>
      <c r="O600" s="16" t="s">
        <v>24</v>
      </c>
      <c r="P600" s="16"/>
      <c r="Q600" s="16"/>
      <c r="R600" s="16">
        <v>0</v>
      </c>
      <c r="S600" s="7"/>
      <c r="T600" s="16" t="s">
        <v>24</v>
      </c>
      <c r="U600" s="29" t="str">
        <f>IF($J$1="May","",Y599)</f>
        <v/>
      </c>
      <c r="V600" s="18"/>
      <c r="W600" s="29" t="str">
        <f t="shared" si="138"/>
        <v/>
      </c>
      <c r="X600" s="18"/>
      <c r="Y600" s="29" t="str">
        <f t="shared" si="139"/>
        <v/>
      </c>
      <c r="Z600" s="20"/>
    </row>
    <row r="601" spans="1:27" s="5" customFormat="1" ht="18" customHeight="1" x14ac:dyDescent="0.2">
      <c r="A601" s="47"/>
      <c r="B601" s="62" t="s">
        <v>5</v>
      </c>
      <c r="C601" s="68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45"/>
      <c r="E601" s="45"/>
      <c r="F601" s="62" t="s">
        <v>40</v>
      </c>
      <c r="G601" s="63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60"/>
      <c r="I601" s="136" t="s">
        <v>44</v>
      </c>
      <c r="J601" s="137"/>
      <c r="K601" s="69">
        <f>K599+K600</f>
        <v>50862.068965517239</v>
      </c>
      <c r="L601" s="70"/>
      <c r="N601" s="15"/>
      <c r="O601" s="16" t="s">
        <v>25</v>
      </c>
      <c r="P601" s="16"/>
      <c r="Q601" s="16"/>
      <c r="R601" s="16">
        <v>0</v>
      </c>
      <c r="S601" s="7"/>
      <c r="T601" s="16" t="s">
        <v>25</v>
      </c>
      <c r="U601" s="29" t="str">
        <f>IF($J$1="June","",Y600)</f>
        <v/>
      </c>
      <c r="V601" s="18"/>
      <c r="W601" s="29" t="str">
        <f t="shared" si="138"/>
        <v/>
      </c>
      <c r="X601" s="18"/>
      <c r="Y601" s="29" t="str">
        <f t="shared" si="139"/>
        <v/>
      </c>
      <c r="Z601" s="20"/>
    </row>
    <row r="602" spans="1:27" s="5" customFormat="1" ht="18" customHeight="1" x14ac:dyDescent="0.2">
      <c r="A602" s="47"/>
      <c r="B602" s="62" t="s">
        <v>4</v>
      </c>
      <c r="C602" s="68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45"/>
      <c r="E602" s="45"/>
      <c r="F602" s="62" t="s">
        <v>11</v>
      </c>
      <c r="G602" s="63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60"/>
      <c r="I602" s="136" t="s">
        <v>45</v>
      </c>
      <c r="J602" s="137"/>
      <c r="K602" s="63">
        <f>G602</f>
        <v>2000</v>
      </c>
      <c r="L602" s="71"/>
      <c r="N602" s="15"/>
      <c r="O602" s="16" t="s">
        <v>26</v>
      </c>
      <c r="P602" s="16"/>
      <c r="Q602" s="16"/>
      <c r="R602" s="16">
        <v>0</v>
      </c>
      <c r="S602" s="7"/>
      <c r="T602" s="16" t="s">
        <v>26</v>
      </c>
      <c r="U602" s="29" t="str">
        <f>IF($J$1="July","",Y601)</f>
        <v/>
      </c>
      <c r="V602" s="18"/>
      <c r="W602" s="29" t="str">
        <f t="shared" si="138"/>
        <v/>
      </c>
      <c r="X602" s="18"/>
      <c r="Y602" s="29" t="str">
        <f t="shared" si="139"/>
        <v/>
      </c>
      <c r="Z602" s="20"/>
    </row>
    <row r="603" spans="1:27" s="5" customFormat="1" ht="18" customHeight="1" x14ac:dyDescent="0.2">
      <c r="A603" s="47"/>
      <c r="B603" s="80" t="s">
        <v>43</v>
      </c>
      <c r="C603" s="68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5"/>
      <c r="E603" s="45"/>
      <c r="F603" s="62" t="s">
        <v>42</v>
      </c>
      <c r="G603" s="63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45"/>
      <c r="I603" s="141" t="s">
        <v>38</v>
      </c>
      <c r="J603" s="143"/>
      <c r="K603" s="41">
        <f>K601-K602</f>
        <v>48862.068965517239</v>
      </c>
      <c r="L603" s="72"/>
      <c r="N603" s="15"/>
      <c r="O603" s="16" t="s">
        <v>31</v>
      </c>
      <c r="P603" s="16"/>
      <c r="Q603" s="16"/>
      <c r="R603" s="16">
        <v>0</v>
      </c>
      <c r="S603" s="7"/>
      <c r="T603" s="16" t="s">
        <v>31</v>
      </c>
      <c r="U603" s="29" t="str">
        <f>IF($J$1="August","",Y602)</f>
        <v/>
      </c>
      <c r="V603" s="18"/>
      <c r="W603" s="29" t="str">
        <f t="shared" si="138"/>
        <v/>
      </c>
      <c r="X603" s="18"/>
      <c r="Y603" s="29" t="str">
        <f t="shared" si="139"/>
        <v/>
      </c>
      <c r="Z603" s="20"/>
    </row>
    <row r="604" spans="1:27" s="5" customFormat="1" ht="18" customHeight="1" x14ac:dyDescent="0.2">
      <c r="A604" s="47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59"/>
      <c r="N604" s="15"/>
      <c r="O604" s="16" t="s">
        <v>27</v>
      </c>
      <c r="P604" s="16"/>
      <c r="Q604" s="16"/>
      <c r="R604" s="16">
        <v>0</v>
      </c>
      <c r="S604" s="7"/>
      <c r="T604" s="16" t="s">
        <v>27</v>
      </c>
      <c r="U604" s="29" t="str">
        <f>IF($J$1="September","",Y603)</f>
        <v/>
      </c>
      <c r="V604" s="18"/>
      <c r="W604" s="29" t="str">
        <f t="shared" si="138"/>
        <v/>
      </c>
      <c r="X604" s="18"/>
      <c r="Y604" s="29" t="str">
        <f t="shared" si="139"/>
        <v/>
      </c>
      <c r="Z604" s="20"/>
    </row>
    <row r="605" spans="1:27" s="5" customFormat="1" ht="18" customHeight="1" x14ac:dyDescent="0.2">
      <c r="A605" s="47"/>
      <c r="B605" s="152" t="s">
        <v>57</v>
      </c>
      <c r="C605" s="152"/>
      <c r="D605" s="152"/>
      <c r="E605" s="152"/>
      <c r="F605" s="152"/>
      <c r="G605" s="152"/>
      <c r="H605" s="152"/>
      <c r="I605" s="152"/>
      <c r="J605" s="152"/>
      <c r="K605" s="152"/>
      <c r="L605" s="59"/>
      <c r="N605" s="15"/>
      <c r="O605" s="16" t="s">
        <v>32</v>
      </c>
      <c r="P605" s="99"/>
      <c r="Q605" s="99"/>
      <c r="R605" s="16">
        <v>0</v>
      </c>
      <c r="S605" s="7"/>
      <c r="T605" s="16" t="s">
        <v>32</v>
      </c>
      <c r="U605" s="29" t="str">
        <f>IF($J$1="October","",Y604)</f>
        <v/>
      </c>
      <c r="V605" s="18"/>
      <c r="W605" s="29" t="str">
        <f t="shared" si="138"/>
        <v/>
      </c>
      <c r="X605" s="18"/>
      <c r="Y605" s="29" t="str">
        <f t="shared" si="139"/>
        <v/>
      </c>
      <c r="Z605" s="20"/>
    </row>
    <row r="606" spans="1:27" s="5" customFormat="1" ht="18" customHeight="1" x14ac:dyDescent="0.2">
      <c r="A606" s="47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59"/>
      <c r="N606" s="15"/>
      <c r="O606" s="16" t="s">
        <v>33</v>
      </c>
      <c r="P606" s="16"/>
      <c r="Q606" s="16"/>
      <c r="R606" s="16">
        <v>0</v>
      </c>
      <c r="S606" s="7"/>
      <c r="T606" s="16" t="s">
        <v>33</v>
      </c>
      <c r="U606" s="29" t="str">
        <f>IF($J$1="November","",Y605)</f>
        <v/>
      </c>
      <c r="V606" s="18"/>
      <c r="W606" s="29" t="str">
        <f t="shared" si="138"/>
        <v/>
      </c>
      <c r="X606" s="18"/>
      <c r="Y606" s="29" t="str">
        <f t="shared" si="139"/>
        <v/>
      </c>
      <c r="Z606" s="20"/>
    </row>
    <row r="607" spans="1:27" s="5" customFormat="1" ht="18" customHeight="1" thickBot="1" x14ac:dyDescent="0.25">
      <c r="A607" s="73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75"/>
      <c r="N607" s="21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3"/>
    </row>
    <row r="608" spans="1:27" s="5" customFormat="1" ht="18" customHeight="1" thickBot="1" x14ac:dyDescent="0.25">
      <c r="A608" s="73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75"/>
      <c r="N608" s="15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42"/>
    </row>
    <row r="609" spans="1:27" s="5" customFormat="1" ht="18" customHeight="1" thickBot="1" x14ac:dyDescent="0.25">
      <c r="A609" s="138" t="s">
        <v>15</v>
      </c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40"/>
      <c r="M609" s="4"/>
      <c r="N609" s="8"/>
      <c r="O609" s="133" t="s">
        <v>17</v>
      </c>
      <c r="P609" s="134"/>
      <c r="Q609" s="134"/>
      <c r="R609" s="135"/>
      <c r="S609" s="9"/>
      <c r="T609" s="133" t="s">
        <v>18</v>
      </c>
      <c r="U609" s="134"/>
      <c r="V609" s="134"/>
      <c r="W609" s="134"/>
      <c r="X609" s="134"/>
      <c r="Y609" s="135"/>
      <c r="Z609" s="10"/>
      <c r="AA609" s="4"/>
    </row>
    <row r="610" spans="1:27" s="5" customFormat="1" ht="18" customHeight="1" x14ac:dyDescent="0.2">
      <c r="A610" s="47"/>
      <c r="B610" s="45"/>
      <c r="C610" s="147" t="s">
        <v>94</v>
      </c>
      <c r="D610" s="147"/>
      <c r="E610" s="147"/>
      <c r="F610" s="147"/>
      <c r="G610" s="48" t="str">
        <f>$J$1</f>
        <v>February</v>
      </c>
      <c r="H610" s="146">
        <f>$K$1</f>
        <v>2024</v>
      </c>
      <c r="I610" s="146"/>
      <c r="J610" s="45"/>
      <c r="K610" s="49"/>
      <c r="L610" s="50"/>
      <c r="M610" s="6"/>
      <c r="N610" s="11"/>
      <c r="O610" s="12" t="s">
        <v>28</v>
      </c>
      <c r="P610" s="12" t="s">
        <v>5</v>
      </c>
      <c r="Q610" s="12" t="s">
        <v>4</v>
      </c>
      <c r="R610" s="12" t="s">
        <v>29</v>
      </c>
      <c r="S610" s="13"/>
      <c r="T610" s="12" t="s">
        <v>28</v>
      </c>
      <c r="U610" s="12" t="s">
        <v>30</v>
      </c>
      <c r="V610" s="12" t="s">
        <v>10</v>
      </c>
      <c r="W610" s="12" t="s">
        <v>9</v>
      </c>
      <c r="X610" s="12" t="s">
        <v>11</v>
      </c>
      <c r="Y610" s="12" t="s">
        <v>34</v>
      </c>
      <c r="Z610" s="14"/>
      <c r="AA610" s="6"/>
    </row>
    <row r="611" spans="1:27" s="5" customFormat="1" ht="18" customHeight="1" x14ac:dyDescent="0.2">
      <c r="A611" s="47"/>
      <c r="B611" s="45"/>
      <c r="C611" s="45"/>
      <c r="D611" s="51"/>
      <c r="E611" s="51"/>
      <c r="F611" s="51"/>
      <c r="G611" s="51"/>
      <c r="H611" s="51"/>
      <c r="I611" s="45"/>
      <c r="J611" s="52" t="s">
        <v>1</v>
      </c>
      <c r="K611" s="53">
        <v>32000</v>
      </c>
      <c r="L611" s="54"/>
      <c r="N611" s="15"/>
      <c r="O611" s="16" t="s">
        <v>20</v>
      </c>
      <c r="P611" s="16"/>
      <c r="Q611" s="16"/>
      <c r="R611" s="16"/>
      <c r="S611" s="17"/>
      <c r="T611" s="16" t="s">
        <v>20</v>
      </c>
      <c r="U611" s="18"/>
      <c r="V611" s="18"/>
      <c r="W611" s="18">
        <f>V611+U611</f>
        <v>0</v>
      </c>
      <c r="X611" s="18"/>
      <c r="Y611" s="18">
        <f>W611-X611</f>
        <v>0</v>
      </c>
      <c r="Z611" s="14"/>
    </row>
    <row r="612" spans="1:27" s="5" customFormat="1" ht="18" customHeight="1" x14ac:dyDescent="0.2">
      <c r="A612" s="47"/>
      <c r="B612" s="45" t="s">
        <v>0</v>
      </c>
      <c r="C612" s="44" t="s">
        <v>107</v>
      </c>
      <c r="D612" s="45"/>
      <c r="E612" s="45"/>
      <c r="F612" s="45"/>
      <c r="G612" s="45"/>
      <c r="H612" s="55"/>
      <c r="I612" s="51"/>
      <c r="J612" s="45"/>
      <c r="K612" s="45"/>
      <c r="L612" s="56"/>
      <c r="M612" s="4"/>
      <c r="N612" s="19"/>
      <c r="O612" s="16" t="s">
        <v>46</v>
      </c>
      <c r="P612" s="16">
        <v>26</v>
      </c>
      <c r="Q612" s="16">
        <v>2</v>
      </c>
      <c r="R612" s="16">
        <v>0</v>
      </c>
      <c r="S612" s="7"/>
      <c r="T612" s="16" t="s">
        <v>46</v>
      </c>
      <c r="U612" s="29">
        <f>Y611</f>
        <v>0</v>
      </c>
      <c r="V612" s="18"/>
      <c r="W612" s="29">
        <f>IF(U612="","",U612+V612)</f>
        <v>0</v>
      </c>
      <c r="X612" s="18"/>
      <c r="Y612" s="29">
        <f>IF(W612="","",W612-X612)</f>
        <v>0</v>
      </c>
      <c r="Z612" s="20"/>
      <c r="AA612" s="4"/>
    </row>
    <row r="613" spans="1:27" s="5" customFormat="1" ht="18" customHeight="1" x14ac:dyDescent="0.2">
      <c r="A613" s="47"/>
      <c r="B613" s="57" t="s">
        <v>16</v>
      </c>
      <c r="C613" s="85">
        <v>45324</v>
      </c>
      <c r="D613" s="45"/>
      <c r="E613" s="45"/>
      <c r="F613" s="141" t="s">
        <v>18</v>
      </c>
      <c r="G613" s="143"/>
      <c r="H613" s="45"/>
      <c r="I613" s="141" t="s">
        <v>19</v>
      </c>
      <c r="J613" s="142"/>
      <c r="K613" s="143"/>
      <c r="L613" s="59"/>
      <c r="N613" s="15"/>
      <c r="O613" s="16" t="s">
        <v>21</v>
      </c>
      <c r="P613" s="16"/>
      <c r="Q613" s="16"/>
      <c r="R613" s="16" t="str">
        <f t="shared" ref="R613:R616" si="140">IF(Q613="","",R612-Q613)</f>
        <v/>
      </c>
      <c r="S613" s="7"/>
      <c r="T613" s="16" t="s">
        <v>21</v>
      </c>
      <c r="U613" s="29"/>
      <c r="V613" s="18"/>
      <c r="W613" s="29" t="str">
        <f t="shared" ref="W613:W622" si="141">IF(U613="","",U613+V613)</f>
        <v/>
      </c>
      <c r="X613" s="18"/>
      <c r="Y613" s="29" t="str">
        <f t="shared" ref="Y613:Y622" si="142">IF(W613="","",W613-X613)</f>
        <v/>
      </c>
      <c r="Z613" s="20"/>
    </row>
    <row r="614" spans="1:27" s="5" customFormat="1" ht="18" customHeight="1" x14ac:dyDescent="0.2">
      <c r="A614" s="47"/>
      <c r="B614" s="45"/>
      <c r="C614" s="45"/>
      <c r="D614" s="45"/>
      <c r="E614" s="45"/>
      <c r="F614" s="45"/>
      <c r="G614" s="45"/>
      <c r="H614" s="60"/>
      <c r="I614" s="45"/>
      <c r="J614" s="45"/>
      <c r="K614" s="45"/>
      <c r="L614" s="61"/>
      <c r="N614" s="15"/>
      <c r="O614" s="16" t="s">
        <v>22</v>
      </c>
      <c r="P614" s="16"/>
      <c r="Q614" s="16"/>
      <c r="R614" s="16" t="str">
        <f t="shared" si="140"/>
        <v/>
      </c>
      <c r="S614" s="7"/>
      <c r="T614" s="16" t="s">
        <v>22</v>
      </c>
      <c r="U614" s="29" t="str">
        <f t="shared" ref="U614:U617" si="143">Y613</f>
        <v/>
      </c>
      <c r="V614" s="18"/>
      <c r="W614" s="29" t="str">
        <f t="shared" si="141"/>
        <v/>
      </c>
      <c r="X614" s="18"/>
      <c r="Y614" s="29" t="str">
        <f t="shared" si="142"/>
        <v/>
      </c>
      <c r="Z614" s="20"/>
    </row>
    <row r="615" spans="1:27" s="5" customFormat="1" ht="18" customHeight="1" x14ac:dyDescent="0.2">
      <c r="A615" s="47"/>
      <c r="B615" s="144" t="s">
        <v>17</v>
      </c>
      <c r="C615" s="145"/>
      <c r="D615" s="45"/>
      <c r="E615" s="45"/>
      <c r="F615" s="62" t="s">
        <v>39</v>
      </c>
      <c r="G615" s="63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60"/>
      <c r="I615" s="64">
        <f>IF(C619&gt;=C618,$K$2,C617+C619)</f>
        <v>26</v>
      </c>
      <c r="J615" s="65" t="s">
        <v>36</v>
      </c>
      <c r="K615" s="66">
        <f>K611/$K$2*I615</f>
        <v>28689.655172413797</v>
      </c>
      <c r="L615" s="67"/>
      <c r="N615" s="15"/>
      <c r="O615" s="16" t="s">
        <v>23</v>
      </c>
      <c r="P615" s="16"/>
      <c r="Q615" s="16"/>
      <c r="R615" s="16" t="str">
        <f t="shared" si="140"/>
        <v/>
      </c>
      <c r="S615" s="7"/>
      <c r="T615" s="16" t="s">
        <v>23</v>
      </c>
      <c r="U615" s="29" t="str">
        <f t="shared" si="143"/>
        <v/>
      </c>
      <c r="V615" s="18"/>
      <c r="W615" s="29" t="str">
        <f t="shared" si="141"/>
        <v/>
      </c>
      <c r="X615" s="18"/>
      <c r="Y615" s="29" t="str">
        <f t="shared" si="142"/>
        <v/>
      </c>
      <c r="Z615" s="20"/>
    </row>
    <row r="616" spans="1:27" s="5" customFormat="1" ht="18" customHeight="1" x14ac:dyDescent="0.2">
      <c r="A616" s="47"/>
      <c r="B616" s="68"/>
      <c r="C616" s="68"/>
      <c r="D616" s="45"/>
      <c r="E616" s="45"/>
      <c r="F616" s="62" t="s">
        <v>10</v>
      </c>
      <c r="G616" s="63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60"/>
      <c r="I616" s="64">
        <v>44</v>
      </c>
      <c r="J616" s="65" t="s">
        <v>37</v>
      </c>
      <c r="K616" s="69">
        <f>K611/$K$2/8*I616</f>
        <v>6068.9655172413795</v>
      </c>
      <c r="L616" s="70"/>
      <c r="N616" s="15"/>
      <c r="O616" s="16" t="s">
        <v>24</v>
      </c>
      <c r="P616" s="16"/>
      <c r="Q616" s="16"/>
      <c r="R616" s="16" t="str">
        <f t="shared" si="140"/>
        <v/>
      </c>
      <c r="S616" s="7"/>
      <c r="T616" s="16" t="s">
        <v>24</v>
      </c>
      <c r="U616" s="29" t="str">
        <f t="shared" si="143"/>
        <v/>
      </c>
      <c r="V616" s="18"/>
      <c r="W616" s="29" t="str">
        <f t="shared" si="141"/>
        <v/>
      </c>
      <c r="X616" s="18"/>
      <c r="Y616" s="29" t="str">
        <f t="shared" si="142"/>
        <v/>
      </c>
      <c r="Z616" s="20"/>
    </row>
    <row r="617" spans="1:27" s="5" customFormat="1" ht="18" customHeight="1" x14ac:dyDescent="0.2">
      <c r="A617" s="47"/>
      <c r="B617" s="62" t="s">
        <v>5</v>
      </c>
      <c r="C617" s="68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45"/>
      <c r="E617" s="45"/>
      <c r="F617" s="62" t="s">
        <v>40</v>
      </c>
      <c r="G617" s="63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60"/>
      <c r="I617" s="136" t="s">
        <v>44</v>
      </c>
      <c r="J617" s="137"/>
      <c r="K617" s="69">
        <f>K615+K616</f>
        <v>34758.620689655174</v>
      </c>
      <c r="L617" s="70"/>
      <c r="N617" s="15"/>
      <c r="O617" s="16" t="s">
        <v>25</v>
      </c>
      <c r="P617" s="99"/>
      <c r="Q617" s="99"/>
      <c r="R617" s="16">
        <v>0</v>
      </c>
      <c r="S617" s="7"/>
      <c r="T617" s="16" t="s">
        <v>25</v>
      </c>
      <c r="U617" s="29" t="str">
        <f t="shared" si="143"/>
        <v/>
      </c>
      <c r="V617" s="18"/>
      <c r="W617" s="29" t="str">
        <f t="shared" si="141"/>
        <v/>
      </c>
      <c r="X617" s="18"/>
      <c r="Y617" s="29" t="str">
        <f t="shared" si="142"/>
        <v/>
      </c>
      <c r="Z617" s="20"/>
    </row>
    <row r="618" spans="1:27" s="5" customFormat="1" ht="18" customHeight="1" x14ac:dyDescent="0.2">
      <c r="A618" s="47"/>
      <c r="B618" s="62" t="s">
        <v>4</v>
      </c>
      <c r="C618" s="68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45"/>
      <c r="E618" s="45"/>
      <c r="F618" s="62" t="s">
        <v>11</v>
      </c>
      <c r="G618" s="63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60"/>
      <c r="I618" s="136" t="s">
        <v>45</v>
      </c>
      <c r="J618" s="137"/>
      <c r="K618" s="63">
        <f>G618</f>
        <v>0</v>
      </c>
      <c r="L618" s="71"/>
      <c r="N618" s="15"/>
      <c r="O618" s="16" t="s">
        <v>26</v>
      </c>
      <c r="P618" s="16"/>
      <c r="Q618" s="16"/>
      <c r="R618" s="16">
        <v>0</v>
      </c>
      <c r="S618" s="7"/>
      <c r="T618" s="16" t="s">
        <v>26</v>
      </c>
      <c r="U618" s="29" t="str">
        <f>Y617</f>
        <v/>
      </c>
      <c r="V618" s="18"/>
      <c r="W618" s="29" t="str">
        <f t="shared" si="141"/>
        <v/>
      </c>
      <c r="X618" s="18"/>
      <c r="Y618" s="29" t="str">
        <f t="shared" si="142"/>
        <v/>
      </c>
      <c r="Z618" s="20"/>
    </row>
    <row r="619" spans="1:27" s="5" customFormat="1" ht="18" customHeight="1" x14ac:dyDescent="0.2">
      <c r="A619" s="47"/>
      <c r="B619" s="77" t="s">
        <v>43</v>
      </c>
      <c r="C619" s="68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45"/>
      <c r="E619" s="45"/>
      <c r="F619" s="77" t="s">
        <v>86</v>
      </c>
      <c r="G619" s="63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45"/>
      <c r="I619" s="141" t="s">
        <v>38</v>
      </c>
      <c r="J619" s="143"/>
      <c r="K619" s="41">
        <f>K617-K618</f>
        <v>34758.620689655174</v>
      </c>
      <c r="L619" s="72"/>
      <c r="N619" s="15"/>
      <c r="O619" s="16" t="s">
        <v>31</v>
      </c>
      <c r="P619" s="16"/>
      <c r="Q619" s="16"/>
      <c r="R619" s="16">
        <v>0</v>
      </c>
      <c r="S619" s="7"/>
      <c r="T619" s="16" t="s">
        <v>31</v>
      </c>
      <c r="U619" s="29" t="str">
        <f>Y618</f>
        <v/>
      </c>
      <c r="V619" s="18"/>
      <c r="W619" s="29" t="str">
        <f t="shared" si="141"/>
        <v/>
      </c>
      <c r="X619" s="18"/>
      <c r="Y619" s="29" t="str">
        <f t="shared" si="142"/>
        <v/>
      </c>
      <c r="Z619" s="20"/>
    </row>
    <row r="620" spans="1:27" s="5" customFormat="1" ht="18" customHeight="1" x14ac:dyDescent="0.2">
      <c r="A620" s="47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59"/>
      <c r="N620" s="15"/>
      <c r="O620" s="16" t="s">
        <v>27</v>
      </c>
      <c r="P620" s="16"/>
      <c r="Q620" s="16"/>
      <c r="R620" s="16">
        <v>0</v>
      </c>
      <c r="S620" s="7"/>
      <c r="T620" s="16" t="s">
        <v>27</v>
      </c>
      <c r="U620" s="29" t="str">
        <f>Y619</f>
        <v/>
      </c>
      <c r="V620" s="18"/>
      <c r="W620" s="29" t="str">
        <f t="shared" si="141"/>
        <v/>
      </c>
      <c r="X620" s="18"/>
      <c r="Y620" s="29" t="str">
        <f t="shared" si="142"/>
        <v/>
      </c>
      <c r="Z620" s="20"/>
    </row>
    <row r="621" spans="1:27" s="5" customFormat="1" ht="18" customHeight="1" x14ac:dyDescent="0.3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59"/>
      <c r="N621" s="15"/>
      <c r="O621" s="16" t="s">
        <v>32</v>
      </c>
      <c r="P621" s="16"/>
      <c r="Q621" s="16"/>
      <c r="R621" s="16">
        <v>0</v>
      </c>
      <c r="S621" s="7"/>
      <c r="T621" s="16" t="s">
        <v>32</v>
      </c>
      <c r="U621" s="29" t="str">
        <f>Y620</f>
        <v/>
      </c>
      <c r="V621" s="18"/>
      <c r="W621" s="29" t="str">
        <f t="shared" si="141"/>
        <v/>
      </c>
      <c r="X621" s="18"/>
      <c r="Y621" s="29" t="str">
        <f t="shared" si="142"/>
        <v/>
      </c>
      <c r="Z621" s="20"/>
    </row>
    <row r="622" spans="1:27" s="5" customFormat="1" ht="18" customHeight="1" thickBot="1" x14ac:dyDescent="0.35">
      <c r="A622" s="73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5"/>
      <c r="N622" s="15"/>
      <c r="O622" s="16" t="s">
        <v>33</v>
      </c>
      <c r="P622" s="16"/>
      <c r="Q622" s="16"/>
      <c r="R622" s="16">
        <v>0</v>
      </c>
      <c r="S622" s="7"/>
      <c r="T622" s="16" t="s">
        <v>33</v>
      </c>
      <c r="U622" s="29" t="str">
        <f>Y621</f>
        <v/>
      </c>
      <c r="V622" s="18"/>
      <c r="W622" s="29" t="str">
        <f t="shared" si="141"/>
        <v/>
      </c>
      <c r="X622" s="18"/>
      <c r="Y622" s="29" t="str">
        <f t="shared" si="142"/>
        <v/>
      </c>
      <c r="Z622" s="20"/>
    </row>
    <row r="623" spans="1:27" s="27" customFormat="1" ht="18" customHeight="1" thickBot="1" x14ac:dyDescent="0.25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7" s="5" customFormat="1" ht="18" customHeight="1" thickBot="1" x14ac:dyDescent="0.25">
      <c r="A624" s="138" t="s">
        <v>15</v>
      </c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40"/>
      <c r="M624" s="4"/>
      <c r="N624" s="8"/>
      <c r="O624" s="133" t="s">
        <v>17</v>
      </c>
      <c r="P624" s="134"/>
      <c r="Q624" s="134"/>
      <c r="R624" s="135"/>
      <c r="S624" s="9"/>
      <c r="T624" s="133" t="s">
        <v>18</v>
      </c>
      <c r="U624" s="134"/>
      <c r="V624" s="134"/>
      <c r="W624" s="134"/>
      <c r="X624" s="134"/>
      <c r="Y624" s="135"/>
      <c r="Z624" s="10"/>
      <c r="AA624" s="4"/>
    </row>
    <row r="625" spans="1:27" s="5" customFormat="1" ht="18" customHeight="1" x14ac:dyDescent="0.2">
      <c r="A625" s="47"/>
      <c r="B625" s="45"/>
      <c r="C625" s="147" t="s">
        <v>94</v>
      </c>
      <c r="D625" s="147"/>
      <c r="E625" s="147"/>
      <c r="F625" s="147"/>
      <c r="G625" s="48" t="str">
        <f>$J$1</f>
        <v>February</v>
      </c>
      <c r="H625" s="146">
        <f>$K$1</f>
        <v>2024</v>
      </c>
      <c r="I625" s="146"/>
      <c r="J625" s="45"/>
      <c r="K625" s="49"/>
      <c r="L625" s="50"/>
      <c r="M625" s="6"/>
      <c r="N625" s="11"/>
      <c r="O625" s="12" t="s">
        <v>28</v>
      </c>
      <c r="P625" s="12" t="s">
        <v>5</v>
      </c>
      <c r="Q625" s="12" t="s">
        <v>4</v>
      </c>
      <c r="R625" s="12" t="s">
        <v>29</v>
      </c>
      <c r="S625" s="13"/>
      <c r="T625" s="12" t="s">
        <v>28</v>
      </c>
      <c r="U625" s="12" t="s">
        <v>30</v>
      </c>
      <c r="V625" s="12" t="s">
        <v>10</v>
      </c>
      <c r="W625" s="12" t="s">
        <v>9</v>
      </c>
      <c r="X625" s="12" t="s">
        <v>11</v>
      </c>
      <c r="Y625" s="12" t="s">
        <v>34</v>
      </c>
      <c r="Z625" s="14"/>
      <c r="AA625" s="6"/>
    </row>
    <row r="626" spans="1:27" s="5" customFormat="1" ht="18" customHeight="1" x14ac:dyDescent="0.2">
      <c r="A626" s="47"/>
      <c r="B626" s="45"/>
      <c r="C626" s="45"/>
      <c r="D626" s="51"/>
      <c r="E626" s="51"/>
      <c r="F626" s="51"/>
      <c r="G626" s="51"/>
      <c r="H626" s="51"/>
      <c r="I626" s="45"/>
      <c r="J626" s="52" t="s">
        <v>1</v>
      </c>
      <c r="K626" s="53">
        <v>30000</v>
      </c>
      <c r="L626" s="54"/>
      <c r="N626" s="15"/>
      <c r="O626" s="16" t="s">
        <v>20</v>
      </c>
      <c r="P626" s="16">
        <v>28</v>
      </c>
      <c r="Q626" s="16">
        <v>3</v>
      </c>
      <c r="R626" s="16">
        <v>0</v>
      </c>
      <c r="S626" s="17"/>
      <c r="T626" s="16" t="s">
        <v>20</v>
      </c>
      <c r="U626" s="18"/>
      <c r="V626" s="18"/>
      <c r="W626" s="18">
        <f>V626+U626</f>
        <v>0</v>
      </c>
      <c r="X626" s="18"/>
      <c r="Y626" s="18">
        <f>W626-X626</f>
        <v>0</v>
      </c>
      <c r="Z626" s="14"/>
    </row>
    <row r="627" spans="1:27" s="5" customFormat="1" ht="18" customHeight="1" x14ac:dyDescent="0.2">
      <c r="A627" s="47"/>
      <c r="B627" s="45" t="s">
        <v>0</v>
      </c>
      <c r="C627" s="44" t="s">
        <v>81</v>
      </c>
      <c r="D627" s="45"/>
      <c r="E627" s="45"/>
      <c r="F627" s="45"/>
      <c r="G627" s="45"/>
      <c r="H627" s="55"/>
      <c r="I627" s="51"/>
      <c r="J627" s="45"/>
      <c r="K627" s="45"/>
      <c r="L627" s="56"/>
      <c r="M627" s="4"/>
      <c r="N627" s="19"/>
      <c r="O627" s="16" t="s">
        <v>46</v>
      </c>
      <c r="P627" s="16">
        <v>29</v>
      </c>
      <c r="Q627" s="16">
        <v>0</v>
      </c>
      <c r="R627" s="16">
        <v>0</v>
      </c>
      <c r="S627" s="7"/>
      <c r="T627" s="16" t="s">
        <v>46</v>
      </c>
      <c r="U627" s="29">
        <f>Y626</f>
        <v>0</v>
      </c>
      <c r="V627" s="18">
        <v>500</v>
      </c>
      <c r="W627" s="29">
        <f>IF(U627="","",U627+V627)</f>
        <v>500</v>
      </c>
      <c r="X627" s="18">
        <v>500</v>
      </c>
      <c r="Y627" s="29">
        <f>IF(W627="","",W627-X627)</f>
        <v>0</v>
      </c>
      <c r="Z627" s="20"/>
      <c r="AA627" s="4"/>
    </row>
    <row r="628" spans="1:27" s="5" customFormat="1" ht="18" customHeight="1" x14ac:dyDescent="0.2">
      <c r="A628" s="47"/>
      <c r="B628" s="57" t="s">
        <v>16</v>
      </c>
      <c r="C628" s="58"/>
      <c r="D628" s="45"/>
      <c r="E628" s="45"/>
      <c r="F628" s="141" t="s">
        <v>18</v>
      </c>
      <c r="G628" s="143"/>
      <c r="H628" s="45"/>
      <c r="I628" s="141" t="s">
        <v>19</v>
      </c>
      <c r="J628" s="142"/>
      <c r="K628" s="143"/>
      <c r="L628" s="59"/>
      <c r="N628" s="15"/>
      <c r="O628" s="16" t="s">
        <v>21</v>
      </c>
      <c r="P628" s="16"/>
      <c r="Q628" s="16"/>
      <c r="R628" s="16">
        <v>0</v>
      </c>
      <c r="S628" s="7"/>
      <c r="T628" s="16" t="s">
        <v>21</v>
      </c>
      <c r="U628" s="29"/>
      <c r="V628" s="18"/>
      <c r="W628" s="29" t="str">
        <f t="shared" ref="W628:W630" si="144">IF(U628="","",U628+V628)</f>
        <v/>
      </c>
      <c r="X628" s="18"/>
      <c r="Y628" s="29" t="str">
        <f t="shared" ref="Y628:Y630" si="145">IF(W628="","",W628-X628)</f>
        <v/>
      </c>
      <c r="Z628" s="20"/>
    </row>
    <row r="629" spans="1:27" s="5" customFormat="1" ht="18" customHeight="1" x14ac:dyDescent="0.2">
      <c r="A629" s="47"/>
      <c r="B629" s="45"/>
      <c r="C629" s="45"/>
      <c r="D629" s="45"/>
      <c r="E629" s="45"/>
      <c r="F629" s="45"/>
      <c r="G629" s="45"/>
      <c r="H629" s="60"/>
      <c r="I629" s="45"/>
      <c r="J629" s="45"/>
      <c r="K629" s="45"/>
      <c r="L629" s="61"/>
      <c r="N629" s="15"/>
      <c r="O629" s="16" t="s">
        <v>22</v>
      </c>
      <c r="P629" s="99"/>
      <c r="Q629" s="99"/>
      <c r="R629" s="16">
        <v>0</v>
      </c>
      <c r="S629" s="7"/>
      <c r="T629" s="16" t="s">
        <v>22</v>
      </c>
      <c r="U629" s="29" t="str">
        <f>IF($J$1="March","",Y628)</f>
        <v/>
      </c>
      <c r="V629" s="18"/>
      <c r="W629" s="29" t="str">
        <f t="shared" si="144"/>
        <v/>
      </c>
      <c r="X629" s="18"/>
      <c r="Y629" s="29" t="str">
        <f t="shared" si="145"/>
        <v/>
      </c>
      <c r="Z629" s="20"/>
    </row>
    <row r="630" spans="1:27" s="5" customFormat="1" ht="18" customHeight="1" x14ac:dyDescent="0.2">
      <c r="A630" s="47"/>
      <c r="B630" s="144" t="s">
        <v>17</v>
      </c>
      <c r="C630" s="145"/>
      <c r="D630" s="45"/>
      <c r="E630" s="45"/>
      <c r="F630" s="62" t="s">
        <v>39</v>
      </c>
      <c r="G630" s="63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60"/>
      <c r="I630" s="64">
        <f>IF(C634&gt;=C633,$K$2,C632+C634)</f>
        <v>29</v>
      </c>
      <c r="J630" s="65" t="s">
        <v>36</v>
      </c>
      <c r="K630" s="66">
        <f>K626/$K$2*I630</f>
        <v>30000.000000000004</v>
      </c>
      <c r="L630" s="67"/>
      <c r="N630" s="15"/>
      <c r="O630" s="16" t="s">
        <v>23</v>
      </c>
      <c r="P630" s="16"/>
      <c r="Q630" s="16"/>
      <c r="R630" s="16">
        <v>0</v>
      </c>
      <c r="S630" s="7"/>
      <c r="T630" s="16" t="s">
        <v>23</v>
      </c>
      <c r="U630" s="29" t="str">
        <f t="shared" ref="U630:U636" si="146">Y629</f>
        <v/>
      </c>
      <c r="V630" s="18"/>
      <c r="W630" s="29" t="str">
        <f t="shared" si="144"/>
        <v/>
      </c>
      <c r="X630" s="18"/>
      <c r="Y630" s="29" t="str">
        <f t="shared" si="145"/>
        <v/>
      </c>
      <c r="Z630" s="20"/>
    </row>
    <row r="631" spans="1:27" s="5" customFormat="1" ht="18" customHeight="1" x14ac:dyDescent="0.2">
      <c r="A631" s="47"/>
      <c r="B631" s="68"/>
      <c r="C631" s="68"/>
      <c r="D631" s="45"/>
      <c r="E631" s="45"/>
      <c r="F631" s="62" t="s">
        <v>10</v>
      </c>
      <c r="G631" s="63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60"/>
      <c r="I631" s="64">
        <v>70</v>
      </c>
      <c r="J631" s="65" t="s">
        <v>37</v>
      </c>
      <c r="K631" s="69">
        <f>K626/$K$2/8*I631</f>
        <v>9051.7241379310362</v>
      </c>
      <c r="L631" s="70"/>
      <c r="N631" s="15"/>
      <c r="O631" s="16" t="s">
        <v>24</v>
      </c>
      <c r="P631" s="16"/>
      <c r="Q631" s="16"/>
      <c r="R631" s="16">
        <v>0</v>
      </c>
      <c r="S631" s="7"/>
      <c r="T631" s="16" t="s">
        <v>24</v>
      </c>
      <c r="U631" s="29" t="str">
        <f t="shared" si="146"/>
        <v/>
      </c>
      <c r="V631" s="18"/>
      <c r="W631" s="29" t="str">
        <f t="shared" ref="W631:W637" si="147">IF(U631="","",U631+V631)</f>
        <v/>
      </c>
      <c r="X631" s="35"/>
      <c r="Y631" s="29" t="str">
        <f t="shared" ref="Y631:Y637" si="148">IF(W631="","",W631-X631)</f>
        <v/>
      </c>
      <c r="Z631" s="20"/>
    </row>
    <row r="632" spans="1:27" s="5" customFormat="1" ht="18" customHeight="1" x14ac:dyDescent="0.2">
      <c r="A632" s="47"/>
      <c r="B632" s="62" t="s">
        <v>5</v>
      </c>
      <c r="C632" s="68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45"/>
      <c r="E632" s="45"/>
      <c r="F632" s="62" t="s">
        <v>40</v>
      </c>
      <c r="G632" s="63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60"/>
      <c r="I632" s="136" t="s">
        <v>44</v>
      </c>
      <c r="J632" s="137"/>
      <c r="K632" s="69">
        <f>K630+K631</f>
        <v>39051.724137931044</v>
      </c>
      <c r="L632" s="70"/>
      <c r="N632" s="15"/>
      <c r="O632" s="16" t="s">
        <v>25</v>
      </c>
      <c r="P632" s="16"/>
      <c r="Q632" s="16"/>
      <c r="R632" s="16">
        <v>0</v>
      </c>
      <c r="S632" s="7"/>
      <c r="T632" s="16" t="s">
        <v>25</v>
      </c>
      <c r="U632" s="29" t="str">
        <f t="shared" si="146"/>
        <v/>
      </c>
      <c r="V632" s="18"/>
      <c r="W632" s="29" t="str">
        <f t="shared" si="147"/>
        <v/>
      </c>
      <c r="X632" s="35"/>
      <c r="Y632" s="29" t="str">
        <f t="shared" si="148"/>
        <v/>
      </c>
      <c r="Z632" s="20"/>
    </row>
    <row r="633" spans="1:27" s="5" customFormat="1" ht="18" customHeight="1" x14ac:dyDescent="0.2">
      <c r="A633" s="47"/>
      <c r="B633" s="62" t="s">
        <v>4</v>
      </c>
      <c r="C633" s="68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45"/>
      <c r="E633" s="45"/>
      <c r="F633" s="62" t="s">
        <v>11</v>
      </c>
      <c r="G633" s="63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60"/>
      <c r="I633" s="136" t="s">
        <v>45</v>
      </c>
      <c r="J633" s="137"/>
      <c r="K633" s="63">
        <f>G633</f>
        <v>500</v>
      </c>
      <c r="L633" s="71"/>
      <c r="N633" s="15"/>
      <c r="O633" s="16" t="s">
        <v>26</v>
      </c>
      <c r="P633" s="16"/>
      <c r="Q633" s="16"/>
      <c r="R633" s="16">
        <v>0</v>
      </c>
      <c r="S633" s="7"/>
      <c r="T633" s="16" t="s">
        <v>26</v>
      </c>
      <c r="U633" s="29" t="str">
        <f t="shared" si="146"/>
        <v/>
      </c>
      <c r="V633" s="18"/>
      <c r="W633" s="29" t="str">
        <f t="shared" si="147"/>
        <v/>
      </c>
      <c r="X633" s="35"/>
      <c r="Y633" s="29" t="str">
        <f t="shared" si="148"/>
        <v/>
      </c>
      <c r="Z633" s="20"/>
    </row>
    <row r="634" spans="1:27" s="5" customFormat="1" ht="18" customHeight="1" x14ac:dyDescent="0.2">
      <c r="A634" s="47"/>
      <c r="B634" s="77" t="s">
        <v>43</v>
      </c>
      <c r="C634" s="68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45"/>
      <c r="E634" s="45"/>
      <c r="F634" s="77" t="s">
        <v>86</v>
      </c>
      <c r="G634" s="63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45"/>
      <c r="I634" s="141" t="s">
        <v>38</v>
      </c>
      <c r="J634" s="143"/>
      <c r="K634" s="41">
        <f>K632-K633</f>
        <v>38551.724137931044</v>
      </c>
      <c r="L634" s="72"/>
      <c r="N634" s="15"/>
      <c r="O634" s="16" t="s">
        <v>31</v>
      </c>
      <c r="P634" s="16"/>
      <c r="Q634" s="16"/>
      <c r="R634" s="16">
        <v>0</v>
      </c>
      <c r="S634" s="7"/>
      <c r="T634" s="16" t="s">
        <v>31</v>
      </c>
      <c r="U634" s="29" t="str">
        <f t="shared" si="146"/>
        <v/>
      </c>
      <c r="V634" s="18"/>
      <c r="W634" s="29" t="str">
        <f t="shared" si="147"/>
        <v/>
      </c>
      <c r="X634" s="18"/>
      <c r="Y634" s="29" t="str">
        <f t="shared" si="148"/>
        <v/>
      </c>
      <c r="Z634" s="20"/>
    </row>
    <row r="635" spans="1:27" s="5" customFormat="1" ht="18" customHeight="1" x14ac:dyDescent="0.2">
      <c r="A635" s="47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59"/>
      <c r="N635" s="15"/>
      <c r="O635" s="16" t="s">
        <v>27</v>
      </c>
      <c r="P635" s="16"/>
      <c r="Q635" s="16"/>
      <c r="R635" s="16">
        <v>0</v>
      </c>
      <c r="S635" s="7"/>
      <c r="T635" s="16" t="s">
        <v>27</v>
      </c>
      <c r="U635" s="29" t="str">
        <f t="shared" si="146"/>
        <v/>
      </c>
      <c r="V635" s="18"/>
      <c r="W635" s="29" t="str">
        <f t="shared" si="147"/>
        <v/>
      </c>
      <c r="X635" s="18"/>
      <c r="Y635" s="29" t="str">
        <f t="shared" si="148"/>
        <v/>
      </c>
      <c r="Z635" s="20"/>
    </row>
    <row r="636" spans="1:27" s="5" customFormat="1" ht="18" customHeight="1" x14ac:dyDescent="0.3">
      <c r="A636" s="47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59"/>
      <c r="N636" s="15"/>
      <c r="O636" s="16" t="s">
        <v>32</v>
      </c>
      <c r="P636" s="16"/>
      <c r="Q636" s="16"/>
      <c r="R636" s="16">
        <v>0</v>
      </c>
      <c r="S636" s="7"/>
      <c r="T636" s="16" t="s">
        <v>32</v>
      </c>
      <c r="U636" s="29" t="str">
        <f t="shared" si="146"/>
        <v/>
      </c>
      <c r="V636" s="18"/>
      <c r="W636" s="29" t="str">
        <f t="shared" si="147"/>
        <v/>
      </c>
      <c r="X636" s="18"/>
      <c r="Y636" s="29" t="str">
        <f t="shared" si="148"/>
        <v/>
      </c>
      <c r="Z636" s="20"/>
    </row>
    <row r="637" spans="1:27" s="5" customFormat="1" ht="18" customHeight="1" thickBot="1" x14ac:dyDescent="0.35">
      <c r="A637" s="73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5"/>
      <c r="N637" s="15"/>
      <c r="O637" s="16" t="s">
        <v>33</v>
      </c>
      <c r="P637" s="16"/>
      <c r="Q637" s="16"/>
      <c r="R637" s="16">
        <v>0</v>
      </c>
      <c r="S637" s="7"/>
      <c r="T637" s="16" t="s">
        <v>33</v>
      </c>
      <c r="U637" s="29">
        <v>0</v>
      </c>
      <c r="V637" s="18"/>
      <c r="W637" s="29">
        <f t="shared" si="147"/>
        <v>0</v>
      </c>
      <c r="X637" s="18"/>
      <c r="Y637" s="29">
        <f t="shared" si="148"/>
        <v>0</v>
      </c>
      <c r="Z637" s="20"/>
    </row>
    <row r="638" spans="1:27" s="27" customFormat="1" ht="18" customHeight="1" thickBot="1" x14ac:dyDescent="0.25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7" s="5" customFormat="1" ht="18" customHeight="1" x14ac:dyDescent="0.2">
      <c r="A639" s="153" t="s">
        <v>15</v>
      </c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5"/>
      <c r="M639" s="4"/>
      <c r="N639" s="8"/>
      <c r="O639" s="133" t="s">
        <v>17</v>
      </c>
      <c r="P639" s="134"/>
      <c r="Q639" s="134"/>
      <c r="R639" s="135"/>
      <c r="S639" s="9"/>
      <c r="T639" s="133" t="s">
        <v>18</v>
      </c>
      <c r="U639" s="134"/>
      <c r="V639" s="134"/>
      <c r="W639" s="134"/>
      <c r="X639" s="134"/>
      <c r="Y639" s="135"/>
      <c r="Z639" s="7"/>
    </row>
    <row r="640" spans="1:27" s="5" customFormat="1" ht="18" customHeight="1" x14ac:dyDescent="0.2">
      <c r="A640" s="47"/>
      <c r="B640" s="45"/>
      <c r="C640" s="147" t="s">
        <v>94</v>
      </c>
      <c r="D640" s="147"/>
      <c r="E640" s="147"/>
      <c r="F640" s="147"/>
      <c r="G640" s="48" t="str">
        <f>$J$1</f>
        <v>February</v>
      </c>
      <c r="H640" s="146">
        <f>$K$1</f>
        <v>2024</v>
      </c>
      <c r="I640" s="146"/>
      <c r="J640" s="45"/>
      <c r="K640" s="49"/>
      <c r="L640" s="50"/>
      <c r="M640" s="6"/>
      <c r="N640" s="11"/>
      <c r="O640" s="12" t="s">
        <v>28</v>
      </c>
      <c r="P640" s="12" t="s">
        <v>5</v>
      </c>
      <c r="Q640" s="12" t="s">
        <v>4</v>
      </c>
      <c r="R640" s="12" t="s">
        <v>29</v>
      </c>
      <c r="S640" s="13"/>
      <c r="T640" s="12" t="s">
        <v>28</v>
      </c>
      <c r="U640" s="12" t="s">
        <v>30</v>
      </c>
      <c r="V640" s="12" t="s">
        <v>10</v>
      </c>
      <c r="W640" s="12" t="s">
        <v>9</v>
      </c>
      <c r="X640" s="12" t="s">
        <v>11</v>
      </c>
      <c r="Y640" s="12" t="s">
        <v>34</v>
      </c>
      <c r="Z640" s="7"/>
    </row>
    <row r="641" spans="1:26" s="5" customFormat="1" ht="18" customHeight="1" x14ac:dyDescent="0.2">
      <c r="A641" s="47"/>
      <c r="B641" s="45"/>
      <c r="C641" s="45"/>
      <c r="D641" s="51"/>
      <c r="E641" s="51"/>
      <c r="F641" s="51"/>
      <c r="G641" s="51"/>
      <c r="H641" s="51"/>
      <c r="I641" s="45"/>
      <c r="J641" s="52" t="s">
        <v>1</v>
      </c>
      <c r="K641" s="53">
        <f>35000+10000</f>
        <v>45000</v>
      </c>
      <c r="L641" s="54"/>
      <c r="N641" s="15"/>
      <c r="O641" s="16" t="s">
        <v>20</v>
      </c>
      <c r="P641" s="16">
        <v>31</v>
      </c>
      <c r="Q641" s="16">
        <v>0</v>
      </c>
      <c r="R641" s="16">
        <v>0</v>
      </c>
      <c r="S641" s="17"/>
      <c r="T641" s="16" t="s">
        <v>20</v>
      </c>
      <c r="U641" s="18"/>
      <c r="V641" s="18"/>
      <c r="W641" s="18">
        <f>V641+U641</f>
        <v>0</v>
      </c>
      <c r="X641" s="18"/>
      <c r="Y641" s="18">
        <f>W641-X641</f>
        <v>0</v>
      </c>
      <c r="Z641" s="7"/>
    </row>
    <row r="642" spans="1:26" s="5" customFormat="1" ht="18" customHeight="1" x14ac:dyDescent="0.2">
      <c r="A642" s="47"/>
      <c r="B642" s="45" t="s">
        <v>0</v>
      </c>
      <c r="C642" s="44" t="s">
        <v>87</v>
      </c>
      <c r="D642" s="45"/>
      <c r="E642" s="45"/>
      <c r="F642" s="45"/>
      <c r="G642" s="45"/>
      <c r="H642" s="55"/>
      <c r="I642" s="51"/>
      <c r="J642" s="45"/>
      <c r="K642" s="45"/>
      <c r="L642" s="56"/>
      <c r="M642" s="4"/>
      <c r="N642" s="19"/>
      <c r="O642" s="16" t="s">
        <v>46</v>
      </c>
      <c r="P642" s="16">
        <v>28</v>
      </c>
      <c r="Q642" s="16">
        <v>1</v>
      </c>
      <c r="R642" s="16">
        <v>0</v>
      </c>
      <c r="S642" s="7"/>
      <c r="T642" s="16" t="s">
        <v>46</v>
      </c>
      <c r="U642" s="29">
        <f>Y641</f>
        <v>0</v>
      </c>
      <c r="V642" s="18"/>
      <c r="W642" s="29">
        <f>IF(U642="","",U642+V642)</f>
        <v>0</v>
      </c>
      <c r="X642" s="18"/>
      <c r="Y642" s="29">
        <f>IF(W642="","",W642-X642)</f>
        <v>0</v>
      </c>
      <c r="Z642" s="7"/>
    </row>
    <row r="643" spans="1:26" s="5" customFormat="1" ht="18" customHeight="1" x14ac:dyDescent="0.2">
      <c r="A643" s="47"/>
      <c r="B643" s="57" t="s">
        <v>16</v>
      </c>
      <c r="C643" s="85">
        <v>45156</v>
      </c>
      <c r="D643" s="45"/>
      <c r="E643" s="45"/>
      <c r="F643" s="148" t="s">
        <v>18</v>
      </c>
      <c r="G643" s="148"/>
      <c r="H643" s="45"/>
      <c r="I643" s="148" t="s">
        <v>19</v>
      </c>
      <c r="J643" s="148"/>
      <c r="K643" s="148"/>
      <c r="L643" s="59"/>
      <c r="N643" s="15"/>
      <c r="O643" s="16" t="s">
        <v>21</v>
      </c>
      <c r="P643" s="16"/>
      <c r="Q643" s="16"/>
      <c r="R643" s="16">
        <v>0</v>
      </c>
      <c r="S643" s="7"/>
      <c r="T643" s="16" t="s">
        <v>21</v>
      </c>
      <c r="U643" s="29">
        <f>Y642</f>
        <v>0</v>
      </c>
      <c r="V643" s="18"/>
      <c r="W643" s="29">
        <f t="shared" ref="W643:W649" si="149">IF(U643="","",U643+V643)</f>
        <v>0</v>
      </c>
      <c r="X643" s="18"/>
      <c r="Y643" s="29">
        <f t="shared" ref="Y643:Y649" si="150">IF(W643="","",W643-X643)</f>
        <v>0</v>
      </c>
      <c r="Z643" s="7"/>
    </row>
    <row r="644" spans="1:26" s="5" customFormat="1" ht="18" customHeight="1" x14ac:dyDescent="0.2">
      <c r="A644" s="47"/>
      <c r="B644" s="45"/>
      <c r="C644" s="45"/>
      <c r="D644" s="45"/>
      <c r="E644" s="45"/>
      <c r="F644" s="45"/>
      <c r="G644" s="45"/>
      <c r="H644" s="60"/>
      <c r="I644" s="45"/>
      <c r="J644" s="45"/>
      <c r="K644" s="45"/>
      <c r="L644" s="61"/>
      <c r="N644" s="15"/>
      <c r="O644" s="16" t="s">
        <v>22</v>
      </c>
      <c r="P644" s="16"/>
      <c r="Q644" s="16"/>
      <c r="R644" s="16">
        <v>0</v>
      </c>
      <c r="S644" s="7"/>
      <c r="T644" s="16" t="s">
        <v>22</v>
      </c>
      <c r="U644" s="29">
        <f>IF($J$1="March","",Y643)</f>
        <v>0</v>
      </c>
      <c r="V644" s="18"/>
      <c r="W644" s="29">
        <f t="shared" si="149"/>
        <v>0</v>
      </c>
      <c r="X644" s="18"/>
      <c r="Y644" s="29">
        <f t="shared" si="150"/>
        <v>0</v>
      </c>
      <c r="Z644" s="7"/>
    </row>
    <row r="645" spans="1:26" s="5" customFormat="1" ht="18" customHeight="1" x14ac:dyDescent="0.2">
      <c r="A645" s="47"/>
      <c r="B645" s="144" t="s">
        <v>17</v>
      </c>
      <c r="C645" s="145"/>
      <c r="D645" s="45"/>
      <c r="E645" s="45"/>
      <c r="F645" s="62" t="s">
        <v>39</v>
      </c>
      <c r="G645" s="63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60"/>
      <c r="I645" s="64">
        <f>IF(C649&gt;0,$K$2,C647)</f>
        <v>28</v>
      </c>
      <c r="J645" s="65" t="s">
        <v>36</v>
      </c>
      <c r="K645" s="66">
        <f>K641/$K$2*I645</f>
        <v>43448.275862068964</v>
      </c>
      <c r="L645" s="67"/>
      <c r="N645" s="15"/>
      <c r="O645" s="16" t="s">
        <v>23</v>
      </c>
      <c r="P645" s="16"/>
      <c r="Q645" s="16"/>
      <c r="R645" s="16">
        <v>0</v>
      </c>
      <c r="S645" s="7"/>
      <c r="T645" s="16" t="s">
        <v>23</v>
      </c>
      <c r="U645" s="29">
        <f>Y644</f>
        <v>0</v>
      </c>
      <c r="V645" s="18"/>
      <c r="W645" s="29">
        <f t="shared" si="149"/>
        <v>0</v>
      </c>
      <c r="X645" s="18"/>
      <c r="Y645" s="29">
        <f t="shared" si="150"/>
        <v>0</v>
      </c>
      <c r="Z645" s="7"/>
    </row>
    <row r="646" spans="1:26" s="5" customFormat="1" ht="18" customHeight="1" x14ac:dyDescent="0.2">
      <c r="A646" s="47"/>
      <c r="B646" s="68"/>
      <c r="C646" s="68"/>
      <c r="D646" s="45"/>
      <c r="E646" s="45"/>
      <c r="F646" s="62" t="s">
        <v>10</v>
      </c>
      <c r="G646" s="63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60"/>
      <c r="I646" s="64">
        <v>58</v>
      </c>
      <c r="J646" s="65" t="s">
        <v>37</v>
      </c>
      <c r="K646" s="69">
        <f>K641/$K$2/8*I646</f>
        <v>11250</v>
      </c>
      <c r="L646" s="70"/>
      <c r="N646" s="15"/>
      <c r="O646" s="16" t="s">
        <v>24</v>
      </c>
      <c r="P646" s="16"/>
      <c r="Q646" s="16"/>
      <c r="R646" s="16">
        <v>0</v>
      </c>
      <c r="S646" s="7"/>
      <c r="T646" s="16" t="s">
        <v>24</v>
      </c>
      <c r="U646" s="29">
        <f>Y645</f>
        <v>0</v>
      </c>
      <c r="V646" s="18"/>
      <c r="W646" s="29">
        <f t="shared" si="149"/>
        <v>0</v>
      </c>
      <c r="X646" s="35"/>
      <c r="Y646" s="29">
        <f t="shared" si="150"/>
        <v>0</v>
      </c>
      <c r="Z646" s="7"/>
    </row>
    <row r="647" spans="1:26" s="5" customFormat="1" ht="18" customHeight="1" x14ac:dyDescent="0.2">
      <c r="A647" s="47"/>
      <c r="B647" s="62" t="s">
        <v>5</v>
      </c>
      <c r="C647" s="68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45"/>
      <c r="E647" s="45"/>
      <c r="F647" s="62" t="s">
        <v>40</v>
      </c>
      <c r="G647" s="63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60"/>
      <c r="I647" s="136" t="s">
        <v>44</v>
      </c>
      <c r="J647" s="137"/>
      <c r="K647" s="69">
        <f>K645+K646</f>
        <v>54698.275862068964</v>
      </c>
      <c r="L647" s="70"/>
      <c r="N647" s="15"/>
      <c r="O647" s="16" t="s">
        <v>25</v>
      </c>
      <c r="P647" s="99"/>
      <c r="Q647" s="99"/>
      <c r="R647" s="16">
        <v>0</v>
      </c>
      <c r="S647" s="7"/>
      <c r="T647" s="16" t="s">
        <v>25</v>
      </c>
      <c r="U647" s="29">
        <f>Y646</f>
        <v>0</v>
      </c>
      <c r="V647" s="18"/>
      <c r="W647" s="29">
        <f t="shared" si="149"/>
        <v>0</v>
      </c>
      <c r="X647" s="35"/>
      <c r="Y647" s="29">
        <f t="shared" si="150"/>
        <v>0</v>
      </c>
      <c r="Z647" s="7"/>
    </row>
    <row r="648" spans="1:26" s="5" customFormat="1" ht="18" customHeight="1" x14ac:dyDescent="0.2">
      <c r="A648" s="47"/>
      <c r="B648" s="62" t="s">
        <v>4</v>
      </c>
      <c r="C648" s="68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45"/>
      <c r="E648" s="45"/>
      <c r="F648" s="62" t="s">
        <v>11</v>
      </c>
      <c r="G648" s="63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60"/>
      <c r="I648" s="136" t="s">
        <v>45</v>
      </c>
      <c r="J648" s="137"/>
      <c r="K648" s="63">
        <f>G648</f>
        <v>0</v>
      </c>
      <c r="L648" s="71"/>
      <c r="N648" s="15"/>
      <c r="O648" s="16" t="s">
        <v>26</v>
      </c>
      <c r="P648" s="16"/>
      <c r="Q648" s="16"/>
      <c r="R648" s="16">
        <v>0</v>
      </c>
      <c r="S648" s="7"/>
      <c r="T648" s="16" t="s">
        <v>26</v>
      </c>
      <c r="U648" s="29">
        <f>Y647</f>
        <v>0</v>
      </c>
      <c r="V648" s="18"/>
      <c r="W648" s="29">
        <f t="shared" si="149"/>
        <v>0</v>
      </c>
      <c r="X648" s="35"/>
      <c r="Y648" s="29">
        <f t="shared" si="150"/>
        <v>0</v>
      </c>
      <c r="Z648" s="7"/>
    </row>
    <row r="649" spans="1:26" s="5" customFormat="1" ht="18" customHeight="1" x14ac:dyDescent="0.2">
      <c r="A649" s="47"/>
      <c r="B649" s="80" t="s">
        <v>43</v>
      </c>
      <c r="C649" s="68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45"/>
      <c r="E649" s="45"/>
      <c r="F649" s="62" t="s">
        <v>42</v>
      </c>
      <c r="G649" s="63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45"/>
      <c r="I649" s="141" t="s">
        <v>38</v>
      </c>
      <c r="J649" s="143"/>
      <c r="K649" s="41">
        <f>K647-K648</f>
        <v>54698.275862068964</v>
      </c>
      <c r="L649" s="72"/>
      <c r="N649" s="15"/>
      <c r="O649" s="16" t="s">
        <v>31</v>
      </c>
      <c r="P649" s="16"/>
      <c r="Q649" s="16"/>
      <c r="R649" s="16" t="str">
        <f t="shared" ref="R649:R650" si="151">IF(Q649="","",R648-Q649)</f>
        <v/>
      </c>
      <c r="S649" s="7"/>
      <c r="T649" s="16" t="s">
        <v>31</v>
      </c>
      <c r="U649" s="29">
        <f>Y648</f>
        <v>0</v>
      </c>
      <c r="V649" s="18"/>
      <c r="W649" s="29">
        <f t="shared" si="149"/>
        <v>0</v>
      </c>
      <c r="X649" s="18"/>
      <c r="Y649" s="29">
        <f t="shared" si="150"/>
        <v>0</v>
      </c>
      <c r="Z649" s="7"/>
    </row>
    <row r="650" spans="1:26" s="5" customFormat="1" ht="18" customHeight="1" x14ac:dyDescent="0.2">
      <c r="A650" s="47"/>
      <c r="B650" s="45"/>
      <c r="C650" s="45"/>
      <c r="D650" s="45"/>
      <c r="E650" s="45"/>
      <c r="F650" s="45"/>
      <c r="G650" s="45"/>
      <c r="H650" s="45"/>
      <c r="I650" s="45"/>
      <c r="J650" s="45"/>
      <c r="K650" s="79"/>
      <c r="L650" s="59"/>
      <c r="N650" s="15"/>
      <c r="O650" s="16" t="s">
        <v>27</v>
      </c>
      <c r="P650" s="16"/>
      <c r="Q650" s="16"/>
      <c r="R650" s="16" t="str">
        <f t="shared" si="151"/>
        <v/>
      </c>
      <c r="S650" s="7"/>
      <c r="T650" s="16" t="s">
        <v>27</v>
      </c>
      <c r="U650" s="29" t="str">
        <f>IF($J$1="October",Y649,"")</f>
        <v/>
      </c>
      <c r="V650" s="18"/>
      <c r="W650" s="29"/>
      <c r="X650" s="18"/>
      <c r="Y650" s="29"/>
      <c r="Z650" s="7"/>
    </row>
    <row r="651" spans="1:26" s="5" customFormat="1" ht="18" customHeight="1" x14ac:dyDescent="0.2">
      <c r="A651" s="47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59"/>
      <c r="N651" s="15"/>
      <c r="O651" s="16" t="s">
        <v>32</v>
      </c>
      <c r="P651" s="16"/>
      <c r="Q651" s="16"/>
      <c r="R651" s="16">
        <v>0</v>
      </c>
      <c r="S651" s="7"/>
      <c r="T651" s="16" t="s">
        <v>32</v>
      </c>
      <c r="U651" s="29"/>
      <c r="V651" s="18"/>
      <c r="W651" s="29"/>
      <c r="X651" s="18"/>
      <c r="Y651" s="29"/>
      <c r="Z651" s="7"/>
    </row>
    <row r="652" spans="1:26" s="5" customFormat="1" ht="18" customHeight="1" x14ac:dyDescent="0.2">
      <c r="A652" s="47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59"/>
      <c r="N652" s="15"/>
      <c r="O652" s="16" t="s">
        <v>33</v>
      </c>
      <c r="P652" s="16"/>
      <c r="Q652" s="16"/>
      <c r="R652" s="16">
        <v>0</v>
      </c>
      <c r="S652" s="7"/>
      <c r="T652" s="16" t="s">
        <v>33</v>
      </c>
      <c r="U652" s="29"/>
      <c r="V652" s="18"/>
      <c r="W652" s="29"/>
      <c r="X652" s="18"/>
      <c r="Y652" s="29"/>
      <c r="Z652" s="7"/>
    </row>
    <row r="653" spans="1:26" s="5" customFormat="1" ht="18" customHeight="1" thickBot="1" x14ac:dyDescent="0.25">
      <c r="A653" s="73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75"/>
      <c r="N653" s="21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7"/>
    </row>
    <row r="654" spans="1:26" s="5" customFormat="1" ht="18" customHeight="1" thickBot="1" x14ac:dyDescent="0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s="5" customFormat="1" ht="18" customHeight="1" x14ac:dyDescent="0.2">
      <c r="A655" s="153" t="s">
        <v>15</v>
      </c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5"/>
      <c r="M655" s="4"/>
      <c r="N655" s="8"/>
      <c r="O655" s="133" t="s">
        <v>17</v>
      </c>
      <c r="P655" s="134"/>
      <c r="Q655" s="134"/>
      <c r="R655" s="135"/>
      <c r="S655" s="9"/>
      <c r="T655" s="133" t="s">
        <v>18</v>
      </c>
      <c r="U655" s="134"/>
      <c r="V655" s="134"/>
      <c r="W655" s="134"/>
      <c r="X655" s="134"/>
      <c r="Y655" s="135"/>
      <c r="Z655" s="10"/>
    </row>
    <row r="656" spans="1:26" s="5" customFormat="1" ht="18" customHeight="1" x14ac:dyDescent="0.2">
      <c r="A656" s="47"/>
      <c r="B656" s="45"/>
      <c r="C656" s="147" t="s">
        <v>94</v>
      </c>
      <c r="D656" s="147"/>
      <c r="E656" s="147"/>
      <c r="F656" s="147"/>
      <c r="G656" s="48" t="str">
        <f>$J$1</f>
        <v>February</v>
      </c>
      <c r="H656" s="146">
        <f>$K$1</f>
        <v>2024</v>
      </c>
      <c r="I656" s="146"/>
      <c r="J656" s="45"/>
      <c r="K656" s="49"/>
      <c r="L656" s="50"/>
      <c r="M656" s="6"/>
      <c r="N656" s="11"/>
      <c r="O656" s="12" t="s">
        <v>28</v>
      </c>
      <c r="P656" s="12" t="s">
        <v>5</v>
      </c>
      <c r="Q656" s="12" t="s">
        <v>4</v>
      </c>
      <c r="R656" s="12" t="s">
        <v>29</v>
      </c>
      <c r="S656" s="13"/>
      <c r="T656" s="12" t="s">
        <v>28</v>
      </c>
      <c r="U656" s="12" t="s">
        <v>30</v>
      </c>
      <c r="V656" s="12" t="s">
        <v>10</v>
      </c>
      <c r="W656" s="12" t="s">
        <v>9</v>
      </c>
      <c r="X656" s="12" t="s">
        <v>11</v>
      </c>
      <c r="Y656" s="12" t="s">
        <v>34</v>
      </c>
      <c r="Z656" s="14"/>
    </row>
    <row r="657" spans="1:26" s="5" customFormat="1" ht="18" customHeight="1" x14ac:dyDescent="0.2">
      <c r="A657" s="47"/>
      <c r="B657" s="45"/>
      <c r="C657" s="45"/>
      <c r="D657" s="51"/>
      <c r="E657" s="51"/>
      <c r="F657" s="51"/>
      <c r="G657" s="51"/>
      <c r="H657" s="51"/>
      <c r="I657" s="45"/>
      <c r="J657" s="52" t="s">
        <v>1</v>
      </c>
      <c r="K657" s="53">
        <v>45000</v>
      </c>
      <c r="L657" s="54"/>
      <c r="N657" s="15"/>
      <c r="O657" s="16" t="s">
        <v>20</v>
      </c>
      <c r="P657" s="16">
        <v>30</v>
      </c>
      <c r="Q657" s="16">
        <v>1</v>
      </c>
      <c r="R657" s="16"/>
      <c r="S657" s="17"/>
      <c r="T657" s="16" t="s">
        <v>20</v>
      </c>
      <c r="U657" s="18">
        <v>4000</v>
      </c>
      <c r="V657" s="18">
        <f>5000+5000+5000+500</f>
        <v>15500</v>
      </c>
      <c r="W657" s="18">
        <f>V657+U657</f>
        <v>19500</v>
      </c>
      <c r="X657" s="18">
        <v>10000</v>
      </c>
      <c r="Y657" s="18">
        <f>W657-X657</f>
        <v>9500</v>
      </c>
      <c r="Z657" s="14"/>
    </row>
    <row r="658" spans="1:26" s="5" customFormat="1" ht="18" customHeight="1" x14ac:dyDescent="0.2">
      <c r="A658" s="47"/>
      <c r="B658" s="45" t="s">
        <v>0</v>
      </c>
      <c r="C658" s="44" t="s">
        <v>88</v>
      </c>
      <c r="D658" s="45"/>
      <c r="E658" s="45"/>
      <c r="F658" s="45"/>
      <c r="G658" s="45"/>
      <c r="H658" s="55"/>
      <c r="I658" s="51"/>
      <c r="J658" s="45"/>
      <c r="K658" s="45"/>
      <c r="L658" s="56"/>
      <c r="M658" s="4"/>
      <c r="N658" s="19"/>
      <c r="O658" s="16" t="s">
        <v>46</v>
      </c>
      <c r="P658" s="16">
        <v>28</v>
      </c>
      <c r="Q658" s="16">
        <v>1</v>
      </c>
      <c r="R658" s="16"/>
      <c r="S658" s="7"/>
      <c r="T658" s="16" t="s">
        <v>46</v>
      </c>
      <c r="U658" s="29">
        <f>Y657</f>
        <v>9500</v>
      </c>
      <c r="V658" s="18">
        <f>4000+3000</f>
        <v>7000</v>
      </c>
      <c r="W658" s="29">
        <f>IF(U658="","",U658+V658)</f>
        <v>16500</v>
      </c>
      <c r="X658" s="18">
        <v>10000</v>
      </c>
      <c r="Y658" s="29">
        <f>IF(W658="","",W658-X658)</f>
        <v>6500</v>
      </c>
      <c r="Z658" s="20"/>
    </row>
    <row r="659" spans="1:26" s="5" customFormat="1" ht="18" customHeight="1" x14ac:dyDescent="0.2">
      <c r="A659" s="47"/>
      <c r="B659" s="57" t="s">
        <v>16</v>
      </c>
      <c r="C659" s="78"/>
      <c r="D659" s="45"/>
      <c r="E659" s="45"/>
      <c r="F659" s="148" t="s">
        <v>18</v>
      </c>
      <c r="G659" s="148"/>
      <c r="H659" s="45"/>
      <c r="I659" s="148" t="s">
        <v>19</v>
      </c>
      <c r="J659" s="148"/>
      <c r="K659" s="148"/>
      <c r="L659" s="59"/>
      <c r="N659" s="15"/>
      <c r="O659" s="16" t="s">
        <v>21</v>
      </c>
      <c r="P659" s="16"/>
      <c r="Q659" s="16"/>
      <c r="R659" s="16"/>
      <c r="S659" s="7"/>
      <c r="T659" s="16" t="s">
        <v>21</v>
      </c>
      <c r="U659" s="29"/>
      <c r="V659" s="18"/>
      <c r="W659" s="29" t="str">
        <f t="shared" ref="W659:W664" si="152">IF(U659="","",U659+V659)</f>
        <v/>
      </c>
      <c r="X659" s="18"/>
      <c r="Y659" s="29" t="str">
        <f t="shared" ref="Y659:Y664" si="153">IF(W659="","",W659-X659)</f>
        <v/>
      </c>
      <c r="Z659" s="20"/>
    </row>
    <row r="660" spans="1:26" s="5" customFormat="1" ht="18" customHeight="1" x14ac:dyDescent="0.2">
      <c r="A660" s="47"/>
      <c r="B660" s="45"/>
      <c r="C660" s="45"/>
      <c r="D660" s="45"/>
      <c r="E660" s="45"/>
      <c r="F660" s="45"/>
      <c r="G660" s="45"/>
      <c r="H660" s="60"/>
      <c r="I660" s="45"/>
      <c r="J660" s="45"/>
      <c r="K660" s="45"/>
      <c r="L660" s="61"/>
      <c r="N660" s="15"/>
      <c r="O660" s="16" t="s">
        <v>22</v>
      </c>
      <c r="P660" s="16"/>
      <c r="Q660" s="16"/>
      <c r="R660" s="16"/>
      <c r="S660" s="7"/>
      <c r="T660" s="16" t="s">
        <v>22</v>
      </c>
      <c r="U660" s="29" t="str">
        <f>IF($J$1="March","",Y659)</f>
        <v/>
      </c>
      <c r="V660" s="18"/>
      <c r="W660" s="29" t="str">
        <f t="shared" si="152"/>
        <v/>
      </c>
      <c r="X660" s="18"/>
      <c r="Y660" s="29" t="str">
        <f t="shared" si="153"/>
        <v/>
      </c>
      <c r="Z660" s="20"/>
    </row>
    <row r="661" spans="1:26" s="5" customFormat="1" ht="18" customHeight="1" x14ac:dyDescent="0.2">
      <c r="A661" s="47"/>
      <c r="B661" s="144" t="s">
        <v>17</v>
      </c>
      <c r="C661" s="145"/>
      <c r="D661" s="45"/>
      <c r="E661" s="45"/>
      <c r="F661" s="62" t="s">
        <v>39</v>
      </c>
      <c r="G661" s="63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60"/>
      <c r="I661" s="64">
        <f>IF(C665&gt;=C664,$K$2,C663+C665)</f>
        <v>28</v>
      </c>
      <c r="J661" s="65" t="s">
        <v>36</v>
      </c>
      <c r="K661" s="66">
        <f>K657/$K$2*I661</f>
        <v>43448.275862068964</v>
      </c>
      <c r="L661" s="67"/>
      <c r="N661" s="15"/>
      <c r="O661" s="16" t="s">
        <v>23</v>
      </c>
      <c r="P661" s="16"/>
      <c r="Q661" s="16"/>
      <c r="R661" s="16"/>
      <c r="S661" s="7"/>
      <c r="T661" s="16" t="s">
        <v>23</v>
      </c>
      <c r="U661" s="29" t="str">
        <f t="shared" ref="U661:U667" si="154">Y660</f>
        <v/>
      </c>
      <c r="V661" s="18"/>
      <c r="W661" s="29" t="str">
        <f t="shared" si="152"/>
        <v/>
      </c>
      <c r="X661" s="18"/>
      <c r="Y661" s="29" t="str">
        <f t="shared" si="153"/>
        <v/>
      </c>
      <c r="Z661" s="20"/>
    </row>
    <row r="662" spans="1:26" s="5" customFormat="1" ht="18" customHeight="1" x14ac:dyDescent="0.2">
      <c r="A662" s="47"/>
      <c r="B662" s="68"/>
      <c r="C662" s="68"/>
      <c r="D662" s="45"/>
      <c r="E662" s="45"/>
      <c r="F662" s="62" t="s">
        <v>10</v>
      </c>
      <c r="G662" s="63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60"/>
      <c r="I662" s="82">
        <v>86</v>
      </c>
      <c r="J662" s="65" t="s">
        <v>37</v>
      </c>
      <c r="K662" s="69">
        <f>K657/$K$2/8*I662</f>
        <v>16681.03448275862</v>
      </c>
      <c r="L662" s="70"/>
      <c r="N662" s="15"/>
      <c r="O662" s="16" t="s">
        <v>24</v>
      </c>
      <c r="P662" s="16"/>
      <c r="Q662" s="16"/>
      <c r="R662" s="16"/>
      <c r="S662" s="7"/>
      <c r="T662" s="16" t="s">
        <v>24</v>
      </c>
      <c r="U662" s="29" t="str">
        <f t="shared" si="154"/>
        <v/>
      </c>
      <c r="V662" s="18"/>
      <c r="W662" s="29" t="str">
        <f t="shared" si="152"/>
        <v/>
      </c>
      <c r="X662" s="35"/>
      <c r="Y662" s="29" t="str">
        <f t="shared" si="153"/>
        <v/>
      </c>
      <c r="Z662" s="20"/>
    </row>
    <row r="663" spans="1:26" s="5" customFormat="1" ht="18" customHeight="1" x14ac:dyDescent="0.2">
      <c r="A663" s="47"/>
      <c r="B663" s="62" t="s">
        <v>5</v>
      </c>
      <c r="C663" s="68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45"/>
      <c r="E663" s="45"/>
      <c r="F663" s="62" t="s">
        <v>40</v>
      </c>
      <c r="G663" s="63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60"/>
      <c r="I663" s="136" t="s">
        <v>44</v>
      </c>
      <c r="J663" s="137"/>
      <c r="K663" s="69">
        <f>K661+K662</f>
        <v>60129.31034482758</v>
      </c>
      <c r="L663" s="70"/>
      <c r="N663" s="15"/>
      <c r="O663" s="16" t="s">
        <v>25</v>
      </c>
      <c r="P663" s="16"/>
      <c r="Q663" s="16"/>
      <c r="R663" s="16">
        <f t="shared" ref="R663:R668" si="155">R662-Q663</f>
        <v>0</v>
      </c>
      <c r="S663" s="7"/>
      <c r="T663" s="16" t="s">
        <v>25</v>
      </c>
      <c r="U663" s="29" t="str">
        <f t="shared" si="154"/>
        <v/>
      </c>
      <c r="V663" s="18"/>
      <c r="W663" s="29" t="str">
        <f t="shared" si="152"/>
        <v/>
      </c>
      <c r="X663" s="35"/>
      <c r="Y663" s="29" t="str">
        <f t="shared" si="153"/>
        <v/>
      </c>
      <c r="Z663" s="20"/>
    </row>
    <row r="664" spans="1:26" s="5" customFormat="1" ht="18" customHeight="1" x14ac:dyDescent="0.2">
      <c r="A664" s="47"/>
      <c r="B664" s="62" t="s">
        <v>4</v>
      </c>
      <c r="C664" s="68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45"/>
      <c r="E664" s="45"/>
      <c r="F664" s="62" t="s">
        <v>11</v>
      </c>
      <c r="G664" s="63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60"/>
      <c r="I664" s="136" t="s">
        <v>45</v>
      </c>
      <c r="J664" s="137"/>
      <c r="K664" s="63">
        <f>G664</f>
        <v>10000</v>
      </c>
      <c r="L664" s="71"/>
      <c r="N664" s="15"/>
      <c r="O664" s="16" t="s">
        <v>26</v>
      </c>
      <c r="P664" s="99"/>
      <c r="Q664" s="99"/>
      <c r="R664" s="16">
        <v>0</v>
      </c>
      <c r="S664" s="7"/>
      <c r="T664" s="16" t="s">
        <v>26</v>
      </c>
      <c r="U664" s="29" t="str">
        <f t="shared" si="154"/>
        <v/>
      </c>
      <c r="V664" s="18"/>
      <c r="W664" s="29" t="str">
        <f t="shared" si="152"/>
        <v/>
      </c>
      <c r="X664" s="35"/>
      <c r="Y664" s="29" t="str">
        <f t="shared" si="153"/>
        <v/>
      </c>
      <c r="Z664" s="20"/>
    </row>
    <row r="665" spans="1:26" s="5" customFormat="1" ht="18" customHeight="1" x14ac:dyDescent="0.2">
      <c r="A665" s="47"/>
      <c r="B665" s="80" t="s">
        <v>43</v>
      </c>
      <c r="C665" s="68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45"/>
      <c r="E665" s="45"/>
      <c r="F665" s="62" t="s">
        <v>42</v>
      </c>
      <c r="G665" s="63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45"/>
      <c r="I665" s="141" t="s">
        <v>38</v>
      </c>
      <c r="J665" s="143"/>
      <c r="K665" s="41">
        <f>K663-K664</f>
        <v>50129.31034482758</v>
      </c>
      <c r="L665" s="72"/>
      <c r="N665" s="15"/>
      <c r="O665" s="16" t="s">
        <v>31</v>
      </c>
      <c r="P665" s="16"/>
      <c r="Q665" s="16"/>
      <c r="R665" s="16">
        <f t="shared" si="155"/>
        <v>0</v>
      </c>
      <c r="S665" s="7"/>
      <c r="T665" s="16" t="s">
        <v>31</v>
      </c>
      <c r="U665" s="29" t="str">
        <f t="shared" si="154"/>
        <v/>
      </c>
      <c r="V665" s="18"/>
      <c r="W665" s="29" t="str">
        <f t="shared" ref="W665:W668" si="156">IF(U665="","",U665+V665)</f>
        <v/>
      </c>
      <c r="X665" s="35"/>
      <c r="Y665" s="29" t="str">
        <f t="shared" ref="Y665:Y668" si="157">IF(W665="","",W665-X665)</f>
        <v/>
      </c>
      <c r="Z665" s="20"/>
    </row>
    <row r="666" spans="1:26" s="5" customFormat="1" ht="18" customHeight="1" x14ac:dyDescent="0.2">
      <c r="A666" s="47"/>
      <c r="B666" s="45"/>
      <c r="C666" s="45"/>
      <c r="D666" s="45"/>
      <c r="E666" s="45"/>
      <c r="F666" s="45"/>
      <c r="G666" s="45"/>
      <c r="H666" s="45"/>
      <c r="I666" s="45"/>
      <c r="J666" s="45"/>
      <c r="K666" s="79"/>
      <c r="L666" s="59"/>
      <c r="N666" s="15"/>
      <c r="O666" s="16" t="s">
        <v>27</v>
      </c>
      <c r="P666" s="16"/>
      <c r="Q666" s="16"/>
      <c r="R666" s="16">
        <v>0</v>
      </c>
      <c r="S666" s="7"/>
      <c r="T666" s="16" t="s">
        <v>27</v>
      </c>
      <c r="U666" s="29" t="str">
        <f t="shared" si="154"/>
        <v/>
      </c>
      <c r="V666" s="18"/>
      <c r="W666" s="29" t="str">
        <f t="shared" si="156"/>
        <v/>
      </c>
      <c r="X666" s="18"/>
      <c r="Y666" s="29" t="str">
        <f t="shared" si="157"/>
        <v/>
      </c>
      <c r="Z666" s="20"/>
    </row>
    <row r="667" spans="1:26" s="5" customFormat="1" ht="18" customHeight="1" x14ac:dyDescent="0.2">
      <c r="A667" s="47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59"/>
      <c r="N667" s="15"/>
      <c r="O667" s="16" t="s">
        <v>32</v>
      </c>
      <c r="P667" s="16"/>
      <c r="Q667" s="16"/>
      <c r="R667" s="16">
        <v>0</v>
      </c>
      <c r="S667" s="7"/>
      <c r="T667" s="16" t="s">
        <v>32</v>
      </c>
      <c r="U667" s="29" t="str">
        <f t="shared" si="154"/>
        <v/>
      </c>
      <c r="V667" s="18"/>
      <c r="W667" s="29" t="str">
        <f t="shared" si="156"/>
        <v/>
      </c>
      <c r="X667" s="18"/>
      <c r="Y667" s="29" t="str">
        <f t="shared" si="157"/>
        <v/>
      </c>
      <c r="Z667" s="20"/>
    </row>
    <row r="668" spans="1:26" s="5" customFormat="1" ht="18" customHeight="1" x14ac:dyDescent="0.2">
      <c r="A668" s="47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59"/>
      <c r="N668" s="15"/>
      <c r="O668" s="16" t="s">
        <v>33</v>
      </c>
      <c r="P668" s="16"/>
      <c r="Q668" s="16"/>
      <c r="R668" s="16">
        <f t="shared" si="155"/>
        <v>0</v>
      </c>
      <c r="S668" s="7"/>
      <c r="T668" s="16" t="s">
        <v>33</v>
      </c>
      <c r="U668" s="29" t="str">
        <f>Y667</f>
        <v/>
      </c>
      <c r="V668" s="18"/>
      <c r="W668" s="29" t="str">
        <f t="shared" si="156"/>
        <v/>
      </c>
      <c r="X668" s="18"/>
      <c r="Y668" s="29" t="str">
        <f t="shared" si="157"/>
        <v/>
      </c>
      <c r="Z668" s="20"/>
    </row>
    <row r="669" spans="1:26" s="5" customFormat="1" ht="18" customHeight="1" thickBot="1" x14ac:dyDescent="0.25">
      <c r="A669" s="73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75"/>
      <c r="N669" s="21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3"/>
    </row>
    <row r="670" spans="1:26" s="5" customFormat="1" ht="18" customHeight="1" thickBot="1" x14ac:dyDescent="0.25">
      <c r="A670" s="47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59"/>
      <c r="N670" s="15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42"/>
    </row>
    <row r="671" spans="1:26" s="5" customFormat="1" ht="18" customHeight="1" x14ac:dyDescent="0.2">
      <c r="A671" s="153" t="s">
        <v>15</v>
      </c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5"/>
      <c r="M671" s="4"/>
      <c r="N671" s="8"/>
      <c r="O671" s="133" t="s">
        <v>17</v>
      </c>
      <c r="P671" s="134"/>
      <c r="Q671" s="134"/>
      <c r="R671" s="135"/>
      <c r="S671" s="9"/>
      <c r="T671" s="133" t="s">
        <v>18</v>
      </c>
      <c r="U671" s="134"/>
      <c r="V671" s="134"/>
      <c r="W671" s="134"/>
      <c r="X671" s="134"/>
      <c r="Y671" s="135"/>
      <c r="Z671" s="10"/>
    </row>
    <row r="672" spans="1:26" s="5" customFormat="1" ht="18" customHeight="1" x14ac:dyDescent="0.2">
      <c r="A672" s="47"/>
      <c r="B672" s="45"/>
      <c r="C672" s="147" t="s">
        <v>94</v>
      </c>
      <c r="D672" s="147"/>
      <c r="E672" s="147"/>
      <c r="F672" s="147"/>
      <c r="G672" s="48" t="str">
        <f>$J$1</f>
        <v>February</v>
      </c>
      <c r="H672" s="146">
        <f>$K$1</f>
        <v>2024</v>
      </c>
      <c r="I672" s="146"/>
      <c r="J672" s="45"/>
      <c r="K672" s="49"/>
      <c r="L672" s="50"/>
      <c r="M672" s="6"/>
      <c r="N672" s="11"/>
      <c r="O672" s="12" t="s">
        <v>28</v>
      </c>
      <c r="P672" s="12" t="s">
        <v>5</v>
      </c>
      <c r="Q672" s="12" t="s">
        <v>4</v>
      </c>
      <c r="R672" s="12" t="s">
        <v>29</v>
      </c>
      <c r="S672" s="13"/>
      <c r="T672" s="12" t="s">
        <v>28</v>
      </c>
      <c r="U672" s="12" t="s">
        <v>30</v>
      </c>
      <c r="V672" s="12" t="s">
        <v>10</v>
      </c>
      <c r="W672" s="12" t="s">
        <v>9</v>
      </c>
      <c r="X672" s="12" t="s">
        <v>11</v>
      </c>
      <c r="Y672" s="12" t="s">
        <v>34</v>
      </c>
      <c r="Z672" s="14"/>
    </row>
    <row r="673" spans="1:27" s="5" customFormat="1" ht="18" customHeight="1" x14ac:dyDescent="0.2">
      <c r="A673" s="47"/>
      <c r="B673" s="45"/>
      <c r="C673" s="45"/>
      <c r="D673" s="51"/>
      <c r="E673" s="51"/>
      <c r="F673" s="51"/>
      <c r="G673" s="51"/>
      <c r="H673" s="51"/>
      <c r="I673" s="45"/>
      <c r="J673" s="52" t="s">
        <v>1</v>
      </c>
      <c r="K673" s="53">
        <v>22000</v>
      </c>
      <c r="L673" s="54"/>
      <c r="N673" s="15"/>
      <c r="O673" s="16" t="s">
        <v>20</v>
      </c>
      <c r="P673" s="16">
        <v>24</v>
      </c>
      <c r="Q673" s="16">
        <v>7</v>
      </c>
      <c r="R673" s="16"/>
      <c r="S673" s="17"/>
      <c r="T673" s="16" t="s">
        <v>20</v>
      </c>
      <c r="U673" s="18"/>
      <c r="V673" s="18"/>
      <c r="W673" s="18"/>
      <c r="X673" s="18"/>
      <c r="Y673" s="18"/>
      <c r="Z673" s="14"/>
    </row>
    <row r="674" spans="1:27" s="5" customFormat="1" ht="18" customHeight="1" x14ac:dyDescent="0.2">
      <c r="A674" s="47"/>
      <c r="B674" s="45" t="s">
        <v>0</v>
      </c>
      <c r="C674" s="44" t="s">
        <v>90</v>
      </c>
      <c r="D674" s="45"/>
      <c r="E674" s="45"/>
      <c r="F674" s="45"/>
      <c r="G674" s="45"/>
      <c r="H674" s="55"/>
      <c r="I674" s="51"/>
      <c r="J674" s="45"/>
      <c r="K674" s="45"/>
      <c r="L674" s="56"/>
      <c r="M674" s="4"/>
      <c r="N674" s="19"/>
      <c r="O674" s="16" t="s">
        <v>46</v>
      </c>
      <c r="P674" s="16">
        <v>26</v>
      </c>
      <c r="Q674" s="16">
        <v>3</v>
      </c>
      <c r="R674" s="33"/>
      <c r="S674" s="7"/>
      <c r="T674" s="16" t="s">
        <v>46</v>
      </c>
      <c r="U674" s="29"/>
      <c r="V674" s="18"/>
      <c r="W674" s="29"/>
      <c r="X674" s="18"/>
      <c r="Y674" s="29"/>
      <c r="Z674" s="20"/>
    </row>
    <row r="675" spans="1:27" s="5" customFormat="1" ht="18" customHeight="1" x14ac:dyDescent="0.2">
      <c r="A675" s="47"/>
      <c r="B675" s="57" t="s">
        <v>16</v>
      </c>
      <c r="C675" s="44"/>
      <c r="D675" s="45"/>
      <c r="E675" s="45"/>
      <c r="F675" s="148" t="s">
        <v>18</v>
      </c>
      <c r="G675" s="148"/>
      <c r="H675" s="45"/>
      <c r="I675" s="148" t="s">
        <v>19</v>
      </c>
      <c r="J675" s="148"/>
      <c r="K675" s="148"/>
      <c r="L675" s="59"/>
      <c r="N675" s="15"/>
      <c r="O675" s="16" t="s">
        <v>21</v>
      </c>
      <c r="P675" s="16"/>
      <c r="Q675" s="16"/>
      <c r="R675" s="33"/>
      <c r="S675" s="7"/>
      <c r="T675" s="16" t="s">
        <v>21</v>
      </c>
      <c r="U675" s="29"/>
      <c r="V675" s="18"/>
      <c r="W675" s="29"/>
      <c r="X675" s="18"/>
      <c r="Y675" s="29"/>
      <c r="Z675" s="20"/>
    </row>
    <row r="676" spans="1:27" s="5" customFormat="1" ht="18" customHeight="1" x14ac:dyDescent="0.2">
      <c r="A676" s="47"/>
      <c r="B676" s="45"/>
      <c r="C676" s="45"/>
      <c r="D676" s="45"/>
      <c r="E676" s="45"/>
      <c r="F676" s="45"/>
      <c r="G676" s="45"/>
      <c r="H676" s="60"/>
      <c r="I676" s="45"/>
      <c r="J676" s="45"/>
      <c r="K676" s="45"/>
      <c r="L676" s="61"/>
      <c r="N676" s="15"/>
      <c r="O676" s="16" t="s">
        <v>22</v>
      </c>
      <c r="P676" s="16"/>
      <c r="Q676" s="16"/>
      <c r="R676" s="16">
        <v>0</v>
      </c>
      <c r="S676" s="7"/>
      <c r="T676" s="16" t="s">
        <v>22</v>
      </c>
      <c r="U676" s="29"/>
      <c r="V676" s="18"/>
      <c r="W676" s="29"/>
      <c r="X676" s="18"/>
      <c r="Y676" s="29"/>
      <c r="Z676" s="20"/>
    </row>
    <row r="677" spans="1:27" s="5" customFormat="1" ht="18" customHeight="1" x14ac:dyDescent="0.2">
      <c r="A677" s="47"/>
      <c r="B677" s="144" t="s">
        <v>17</v>
      </c>
      <c r="C677" s="145"/>
      <c r="D677" s="45"/>
      <c r="E677" s="45"/>
      <c r="F677" s="62" t="s">
        <v>39</v>
      </c>
      <c r="G677" s="63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60"/>
      <c r="I677" s="64">
        <f>IF(C681&gt;0,$K$2,C679)</f>
        <v>26</v>
      </c>
      <c r="J677" s="65" t="s">
        <v>36</v>
      </c>
      <c r="K677" s="66">
        <f>K673/$K$2*I677</f>
        <v>19724.137931034482</v>
      </c>
      <c r="L677" s="67"/>
      <c r="N677" s="15"/>
      <c r="O677" s="16" t="s">
        <v>23</v>
      </c>
      <c r="P677" s="16"/>
      <c r="Q677" s="16"/>
      <c r="R677" s="16">
        <v>0</v>
      </c>
      <c r="S677" s="7"/>
      <c r="T677" s="16" t="s">
        <v>23</v>
      </c>
      <c r="U677" s="29"/>
      <c r="V677" s="18"/>
      <c r="W677" s="29"/>
      <c r="X677" s="18"/>
      <c r="Y677" s="29"/>
      <c r="Z677" s="20"/>
    </row>
    <row r="678" spans="1:27" s="5" customFormat="1" ht="18" customHeight="1" x14ac:dyDescent="0.2">
      <c r="A678" s="47"/>
      <c r="B678" s="68"/>
      <c r="C678" s="68"/>
      <c r="D678" s="45"/>
      <c r="E678" s="45"/>
      <c r="F678" s="62" t="s">
        <v>10</v>
      </c>
      <c r="G678" s="63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60"/>
      <c r="I678" s="82">
        <v>89</v>
      </c>
      <c r="J678" s="65" t="s">
        <v>37</v>
      </c>
      <c r="K678" s="69">
        <f>K673/$K$2/8*I678</f>
        <v>8439.6551724137935</v>
      </c>
      <c r="L678" s="70"/>
      <c r="N678" s="15"/>
      <c r="O678" s="16" t="s">
        <v>24</v>
      </c>
      <c r="P678" s="16"/>
      <c r="Q678" s="16"/>
      <c r="R678" s="16">
        <v>0</v>
      </c>
      <c r="S678" s="7"/>
      <c r="T678" s="16" t="s">
        <v>24</v>
      </c>
      <c r="U678" s="29"/>
      <c r="V678" s="18"/>
      <c r="W678" s="29"/>
      <c r="X678" s="18"/>
      <c r="Y678" s="29"/>
      <c r="Z678" s="20"/>
    </row>
    <row r="679" spans="1:27" s="5" customFormat="1" ht="18" customHeight="1" x14ac:dyDescent="0.2">
      <c r="A679" s="47"/>
      <c r="B679" s="62" t="s">
        <v>5</v>
      </c>
      <c r="C679" s="68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45"/>
      <c r="E679" s="45"/>
      <c r="F679" s="62" t="s">
        <v>40</v>
      </c>
      <c r="G679" s="63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60"/>
      <c r="I679" s="136" t="s">
        <v>44</v>
      </c>
      <c r="J679" s="137"/>
      <c r="K679" s="69">
        <f>K677+K678</f>
        <v>28163.793103448275</v>
      </c>
      <c r="L679" s="70"/>
      <c r="N679" s="15"/>
      <c r="O679" s="16" t="s">
        <v>25</v>
      </c>
      <c r="P679" s="16"/>
      <c r="Q679" s="16"/>
      <c r="R679" s="16">
        <v>0</v>
      </c>
      <c r="S679" s="7"/>
      <c r="T679" s="16" t="s">
        <v>25</v>
      </c>
      <c r="U679" s="29"/>
      <c r="V679" s="18"/>
      <c r="W679" s="29"/>
      <c r="X679" s="18"/>
      <c r="Y679" s="29"/>
      <c r="Z679" s="20"/>
    </row>
    <row r="680" spans="1:27" s="5" customFormat="1" ht="18" customHeight="1" x14ac:dyDescent="0.2">
      <c r="A680" s="47"/>
      <c r="B680" s="62" t="s">
        <v>4</v>
      </c>
      <c r="C680" s="68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45"/>
      <c r="E680" s="45"/>
      <c r="F680" s="62" t="s">
        <v>11</v>
      </c>
      <c r="G680" s="63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60"/>
      <c r="I680" s="136" t="s">
        <v>45</v>
      </c>
      <c r="J680" s="137"/>
      <c r="K680" s="63">
        <f>G680</f>
        <v>0</v>
      </c>
      <c r="L680" s="71"/>
      <c r="N680" s="15"/>
      <c r="O680" s="16" t="s">
        <v>26</v>
      </c>
      <c r="P680" s="99"/>
      <c r="Q680" s="99"/>
      <c r="R680" s="16">
        <v>0</v>
      </c>
      <c r="S680" s="7"/>
      <c r="T680" s="16" t="s">
        <v>26</v>
      </c>
      <c r="U680" s="29"/>
      <c r="V680" s="18"/>
      <c r="W680" s="29"/>
      <c r="X680" s="18"/>
      <c r="Y680" s="29"/>
      <c r="Z680" s="20"/>
    </row>
    <row r="681" spans="1:27" s="5" customFormat="1" ht="18" customHeight="1" x14ac:dyDescent="0.2">
      <c r="A681" s="47"/>
      <c r="B681" s="80" t="s">
        <v>43</v>
      </c>
      <c r="C681" s="68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45"/>
      <c r="E681" s="45"/>
      <c r="F681" s="62" t="s">
        <v>42</v>
      </c>
      <c r="G681" s="63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45"/>
      <c r="I681" s="141" t="s">
        <v>38</v>
      </c>
      <c r="J681" s="143"/>
      <c r="K681" s="41">
        <f>K679-K680</f>
        <v>28163.793103448275</v>
      </c>
      <c r="L681" s="72"/>
      <c r="N681" s="15"/>
      <c r="O681" s="16" t="s">
        <v>31</v>
      </c>
      <c r="P681" s="16"/>
      <c r="Q681" s="16"/>
      <c r="R681" s="16">
        <v>0</v>
      </c>
      <c r="S681" s="7"/>
      <c r="T681" s="16" t="s">
        <v>31</v>
      </c>
      <c r="U681" s="29"/>
      <c r="V681" s="18"/>
      <c r="W681" s="29"/>
      <c r="X681" s="18"/>
      <c r="Y681" s="29"/>
      <c r="Z681" s="20"/>
    </row>
    <row r="682" spans="1:27" s="5" customFormat="1" ht="18" customHeight="1" x14ac:dyDescent="0.2">
      <c r="A682" s="47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59"/>
      <c r="N682" s="15"/>
      <c r="O682" s="16" t="s">
        <v>27</v>
      </c>
      <c r="P682" s="16"/>
      <c r="Q682" s="16"/>
      <c r="R682" s="16">
        <v>0</v>
      </c>
      <c r="S682" s="7"/>
      <c r="T682" s="16" t="s">
        <v>27</v>
      </c>
      <c r="U682" s="29"/>
      <c r="V682" s="18"/>
      <c r="W682" s="29"/>
      <c r="X682" s="18"/>
      <c r="Y682" s="29"/>
      <c r="Z682" s="20"/>
    </row>
    <row r="683" spans="1:27" s="5" customFormat="1" ht="18" customHeight="1" x14ac:dyDescent="0.2">
      <c r="A683" s="47"/>
      <c r="B683" s="152" t="s">
        <v>57</v>
      </c>
      <c r="C683" s="152"/>
      <c r="D683" s="152"/>
      <c r="E683" s="152"/>
      <c r="F683" s="152"/>
      <c r="G683" s="152"/>
      <c r="H683" s="152"/>
      <c r="I683" s="152"/>
      <c r="J683" s="152"/>
      <c r="K683" s="152"/>
      <c r="L683" s="59"/>
      <c r="N683" s="15"/>
      <c r="O683" s="16" t="s">
        <v>32</v>
      </c>
      <c r="P683" s="16"/>
      <c r="Q683" s="16"/>
      <c r="R683" s="16">
        <v>0</v>
      </c>
      <c r="S683" s="7"/>
      <c r="T683" s="16" t="s">
        <v>32</v>
      </c>
      <c r="U683" s="29">
        <f>IF($J$1="October","",Y682)</f>
        <v>0</v>
      </c>
      <c r="V683" s="18"/>
      <c r="W683" s="29">
        <f t="shared" ref="W683:W684" si="158">IF(U683="","",U683+V683)</f>
        <v>0</v>
      </c>
      <c r="X683" s="18"/>
      <c r="Y683" s="29">
        <f t="shared" ref="Y683:Y684" si="159">IF(W683="","",W683-X683)</f>
        <v>0</v>
      </c>
      <c r="Z683" s="20"/>
    </row>
    <row r="684" spans="1:27" s="5" customFormat="1" ht="18" customHeight="1" x14ac:dyDescent="0.2">
      <c r="A684" s="47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59"/>
      <c r="N684" s="15"/>
      <c r="O684" s="16" t="s">
        <v>33</v>
      </c>
      <c r="P684" s="16"/>
      <c r="Q684" s="16"/>
      <c r="R684" s="16">
        <v>0</v>
      </c>
      <c r="S684" s="7"/>
      <c r="T684" s="16" t="s">
        <v>33</v>
      </c>
      <c r="U684" s="29">
        <f>IF($J$1="November","",Y683)</f>
        <v>0</v>
      </c>
      <c r="V684" s="18"/>
      <c r="W684" s="29">
        <f t="shared" si="158"/>
        <v>0</v>
      </c>
      <c r="X684" s="18"/>
      <c r="Y684" s="29">
        <f t="shared" si="159"/>
        <v>0</v>
      </c>
      <c r="Z684" s="20"/>
    </row>
    <row r="685" spans="1:27" s="5" customFormat="1" ht="18" customHeight="1" thickBot="1" x14ac:dyDescent="0.25">
      <c r="A685" s="73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75"/>
      <c r="N685" s="21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3"/>
    </row>
    <row r="686" spans="1:27" s="5" customFormat="1" ht="18" customHeight="1" thickBot="1" x14ac:dyDescent="0.25">
      <c r="A686" s="47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59"/>
      <c r="N686" s="15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42"/>
    </row>
    <row r="687" spans="1:27" s="5" customFormat="1" ht="18" customHeight="1" thickBot="1" x14ac:dyDescent="0.25">
      <c r="A687" s="138" t="s">
        <v>15</v>
      </c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40"/>
      <c r="M687" s="4"/>
      <c r="N687" s="8"/>
      <c r="O687" s="133" t="s">
        <v>17</v>
      </c>
      <c r="P687" s="134"/>
      <c r="Q687" s="134"/>
      <c r="R687" s="135"/>
      <c r="S687" s="9"/>
      <c r="T687" s="133" t="s">
        <v>18</v>
      </c>
      <c r="U687" s="134"/>
      <c r="V687" s="134"/>
      <c r="W687" s="134"/>
      <c r="X687" s="134"/>
      <c r="Y687" s="135"/>
      <c r="Z687" s="10"/>
      <c r="AA687" s="4"/>
    </row>
    <row r="688" spans="1:27" s="5" customFormat="1" ht="18" customHeight="1" x14ac:dyDescent="0.2">
      <c r="A688" s="47"/>
      <c r="B688" s="45"/>
      <c r="C688" s="147" t="s">
        <v>94</v>
      </c>
      <c r="D688" s="147"/>
      <c r="E688" s="147"/>
      <c r="F688" s="147"/>
      <c r="G688" s="48" t="str">
        <f>$J$1</f>
        <v>February</v>
      </c>
      <c r="H688" s="146">
        <f>$K$1</f>
        <v>2024</v>
      </c>
      <c r="I688" s="146"/>
      <c r="J688" s="45"/>
      <c r="K688" s="49"/>
      <c r="L688" s="50"/>
      <c r="M688" s="6"/>
      <c r="N688" s="11"/>
      <c r="O688" s="12" t="s">
        <v>28</v>
      </c>
      <c r="P688" s="12" t="s">
        <v>5</v>
      </c>
      <c r="Q688" s="12" t="s">
        <v>4</v>
      </c>
      <c r="R688" s="12" t="s">
        <v>29</v>
      </c>
      <c r="S688" s="13"/>
      <c r="T688" s="12" t="s">
        <v>28</v>
      </c>
      <c r="U688" s="12" t="s">
        <v>30</v>
      </c>
      <c r="V688" s="12" t="s">
        <v>10</v>
      </c>
      <c r="W688" s="12" t="s">
        <v>9</v>
      </c>
      <c r="X688" s="12" t="s">
        <v>11</v>
      </c>
      <c r="Y688" s="12" t="s">
        <v>34</v>
      </c>
      <c r="Z688" s="14"/>
      <c r="AA688" s="6"/>
    </row>
    <row r="689" spans="1:27" s="5" customFormat="1" ht="18" customHeight="1" x14ac:dyDescent="0.2">
      <c r="A689" s="47"/>
      <c r="B689" s="45"/>
      <c r="C689" s="45"/>
      <c r="D689" s="51"/>
      <c r="E689" s="51"/>
      <c r="F689" s="51"/>
      <c r="G689" s="51"/>
      <c r="H689" s="51"/>
      <c r="I689" s="45"/>
      <c r="J689" s="52" t="s">
        <v>1</v>
      </c>
      <c r="K689" s="53">
        <v>170000</v>
      </c>
      <c r="L689" s="54"/>
      <c r="N689" s="15"/>
      <c r="O689" s="16" t="s">
        <v>20</v>
      </c>
      <c r="P689" s="16">
        <v>31</v>
      </c>
      <c r="Q689" s="16">
        <v>0</v>
      </c>
      <c r="R689" s="16">
        <v>0</v>
      </c>
      <c r="S689" s="17"/>
      <c r="T689" s="16" t="s">
        <v>20</v>
      </c>
      <c r="U689" s="18"/>
      <c r="V689" s="18"/>
      <c r="W689" s="18">
        <f>V689+U689</f>
        <v>0</v>
      </c>
      <c r="X689" s="18"/>
      <c r="Y689" s="18">
        <f>W689-X689</f>
        <v>0</v>
      </c>
      <c r="Z689" s="14"/>
    </row>
    <row r="690" spans="1:27" s="5" customFormat="1" ht="18" customHeight="1" x14ac:dyDescent="0.2">
      <c r="A690" s="47"/>
      <c r="B690" s="45" t="s">
        <v>0</v>
      </c>
      <c r="C690" s="44" t="s">
        <v>96</v>
      </c>
      <c r="D690" s="45"/>
      <c r="E690" s="45"/>
      <c r="F690" s="45"/>
      <c r="G690" s="45"/>
      <c r="H690" s="55"/>
      <c r="I690" s="51"/>
      <c r="J690" s="45"/>
      <c r="K690" s="45"/>
      <c r="L690" s="56"/>
      <c r="M690" s="4"/>
      <c r="N690" s="19"/>
      <c r="O690" s="16" t="s">
        <v>46</v>
      </c>
      <c r="P690" s="16">
        <v>29</v>
      </c>
      <c r="Q690" s="16">
        <v>0</v>
      </c>
      <c r="R690" s="16">
        <f>IF(Q690="","",R689-Q690)</f>
        <v>0</v>
      </c>
      <c r="S690" s="7"/>
      <c r="T690" s="16" t="s">
        <v>46</v>
      </c>
      <c r="U690" s="29">
        <f>Y689</f>
        <v>0</v>
      </c>
      <c r="V690" s="18"/>
      <c r="W690" s="29">
        <f>IF(U690="","",U690+V690)</f>
        <v>0</v>
      </c>
      <c r="X690" s="18"/>
      <c r="Y690" s="29">
        <f>IF(W690="","",W690-X690)</f>
        <v>0</v>
      </c>
      <c r="Z690" s="20"/>
      <c r="AA690" s="4"/>
    </row>
    <row r="691" spans="1:27" s="5" customFormat="1" ht="18" customHeight="1" x14ac:dyDescent="0.2">
      <c r="A691" s="47"/>
      <c r="B691" s="57" t="s">
        <v>16</v>
      </c>
      <c r="C691" s="159">
        <v>45208</v>
      </c>
      <c r="D691" s="159"/>
      <c r="E691" s="160"/>
      <c r="F691" s="141" t="s">
        <v>18</v>
      </c>
      <c r="G691" s="143"/>
      <c r="H691" s="45"/>
      <c r="I691" s="141" t="s">
        <v>19</v>
      </c>
      <c r="J691" s="142"/>
      <c r="K691" s="143"/>
      <c r="L691" s="59"/>
      <c r="N691" s="15"/>
      <c r="O691" s="16" t="s">
        <v>21</v>
      </c>
      <c r="P691" s="16"/>
      <c r="Q691" s="16"/>
      <c r="R691" s="16" t="str">
        <f t="shared" ref="R691:R694" si="160">IF(Q691="","",R690-Q691)</f>
        <v/>
      </c>
      <c r="S691" s="7"/>
      <c r="T691" s="16" t="s">
        <v>21</v>
      </c>
      <c r="U691" s="29">
        <f>IF($J$1="April",Y690,Y690)</f>
        <v>0</v>
      </c>
      <c r="V691" s="18"/>
      <c r="W691" s="29">
        <f t="shared" ref="W691:W700" si="161">IF(U691="","",U691+V691)</f>
        <v>0</v>
      </c>
      <c r="X691" s="18"/>
      <c r="Y691" s="29">
        <f t="shared" ref="Y691:Y700" si="162">IF(W691="","",W691-X691)</f>
        <v>0</v>
      </c>
      <c r="Z691" s="20"/>
    </row>
    <row r="692" spans="1:27" s="5" customFormat="1" ht="18" customHeight="1" x14ac:dyDescent="0.2">
      <c r="A692" s="47"/>
      <c r="B692" s="45"/>
      <c r="C692" s="45"/>
      <c r="D692" s="45"/>
      <c r="E692" s="45"/>
      <c r="F692" s="45"/>
      <c r="G692" s="45"/>
      <c r="H692" s="60"/>
      <c r="I692" s="45"/>
      <c r="J692" s="45"/>
      <c r="K692" s="45"/>
      <c r="L692" s="61"/>
      <c r="N692" s="15"/>
      <c r="O692" s="16" t="s">
        <v>22</v>
      </c>
      <c r="P692" s="16"/>
      <c r="Q692" s="16"/>
      <c r="R692" s="16" t="str">
        <f t="shared" si="160"/>
        <v/>
      </c>
      <c r="S692" s="7"/>
      <c r="T692" s="16" t="s">
        <v>22</v>
      </c>
      <c r="U692" s="29">
        <f>IF($J$1="April",Y691,Y691)</f>
        <v>0</v>
      </c>
      <c r="V692" s="18"/>
      <c r="W692" s="29">
        <f t="shared" si="161"/>
        <v>0</v>
      </c>
      <c r="X692" s="18"/>
      <c r="Y692" s="29">
        <f t="shared" si="162"/>
        <v>0</v>
      </c>
      <c r="Z692" s="20"/>
    </row>
    <row r="693" spans="1:27" s="5" customFormat="1" ht="18" customHeight="1" x14ac:dyDescent="0.2">
      <c r="A693" s="47"/>
      <c r="B693" s="144" t="s">
        <v>17</v>
      </c>
      <c r="C693" s="145"/>
      <c r="D693" s="45"/>
      <c r="E693" s="45"/>
      <c r="F693" s="62" t="s">
        <v>39</v>
      </c>
      <c r="G693" s="63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60"/>
      <c r="I693" s="64">
        <f>IF(C697&gt;0,$K$2,C695)</f>
        <v>29</v>
      </c>
      <c r="J693" s="65" t="s">
        <v>36</v>
      </c>
      <c r="K693" s="66">
        <f>K689/$K$2*I693</f>
        <v>170000</v>
      </c>
      <c r="L693" s="67"/>
      <c r="N693" s="15"/>
      <c r="O693" s="16" t="s">
        <v>23</v>
      </c>
      <c r="P693" s="16"/>
      <c r="Q693" s="16"/>
      <c r="R693" s="16" t="str">
        <f t="shared" si="160"/>
        <v/>
      </c>
      <c r="S693" s="7"/>
      <c r="T693" s="16" t="s">
        <v>23</v>
      </c>
      <c r="U693" s="29">
        <f>IF($J$1="May",Y692,Y692)</f>
        <v>0</v>
      </c>
      <c r="V693" s="18"/>
      <c r="W693" s="29">
        <f t="shared" si="161"/>
        <v>0</v>
      </c>
      <c r="X693" s="18"/>
      <c r="Y693" s="29">
        <f t="shared" si="162"/>
        <v>0</v>
      </c>
      <c r="Z693" s="20"/>
    </row>
    <row r="694" spans="1:27" s="5" customFormat="1" ht="18" customHeight="1" x14ac:dyDescent="0.2">
      <c r="A694" s="47"/>
      <c r="B694" s="68"/>
      <c r="C694" s="68"/>
      <c r="D694" s="45"/>
      <c r="E694" s="45"/>
      <c r="F694" s="62" t="s">
        <v>10</v>
      </c>
      <c r="G694" s="63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60"/>
      <c r="I694" s="64"/>
      <c r="J694" s="65" t="s">
        <v>37</v>
      </c>
      <c r="K694" s="69">
        <f>K689/$K$2/8*I694</f>
        <v>0</v>
      </c>
      <c r="L694" s="70"/>
      <c r="N694" s="15"/>
      <c r="O694" s="16" t="s">
        <v>24</v>
      </c>
      <c r="P694" s="16"/>
      <c r="Q694" s="16"/>
      <c r="R694" s="16" t="str">
        <f t="shared" si="160"/>
        <v/>
      </c>
      <c r="S694" s="7"/>
      <c r="T694" s="16" t="s">
        <v>24</v>
      </c>
      <c r="U694" s="29">
        <f>IF($J$1="May",Y693,Y693)</f>
        <v>0</v>
      </c>
      <c r="V694" s="18"/>
      <c r="W694" s="29">
        <f t="shared" si="161"/>
        <v>0</v>
      </c>
      <c r="X694" s="18"/>
      <c r="Y694" s="29">
        <f t="shared" si="162"/>
        <v>0</v>
      </c>
      <c r="Z694" s="20"/>
    </row>
    <row r="695" spans="1:27" s="5" customFormat="1" ht="18" customHeight="1" x14ac:dyDescent="0.2">
      <c r="A695" s="47"/>
      <c r="B695" s="62" t="s">
        <v>5</v>
      </c>
      <c r="C695" s="68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45"/>
      <c r="E695" s="45"/>
      <c r="F695" s="62" t="s">
        <v>40</v>
      </c>
      <c r="G695" s="63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60"/>
      <c r="I695" s="136" t="s">
        <v>44</v>
      </c>
      <c r="J695" s="137"/>
      <c r="K695" s="69">
        <f>K693+K694</f>
        <v>170000</v>
      </c>
      <c r="L695" s="70"/>
      <c r="N695" s="15"/>
      <c r="O695" s="16" t="s">
        <v>25</v>
      </c>
      <c r="P695" s="16"/>
      <c r="Q695" s="16"/>
      <c r="R695" s="16">
        <v>0</v>
      </c>
      <c r="S695" s="7"/>
      <c r="T695" s="16" t="s">
        <v>25</v>
      </c>
      <c r="U695" s="29">
        <f>Y694</f>
        <v>0</v>
      </c>
      <c r="V695" s="18"/>
      <c r="W695" s="29">
        <f t="shared" si="161"/>
        <v>0</v>
      </c>
      <c r="X695" s="18"/>
      <c r="Y695" s="29">
        <f t="shared" si="162"/>
        <v>0</v>
      </c>
      <c r="Z695" s="20"/>
    </row>
    <row r="696" spans="1:27" s="5" customFormat="1" ht="18" customHeight="1" x14ac:dyDescent="0.2">
      <c r="A696" s="47"/>
      <c r="B696" s="62" t="s">
        <v>4</v>
      </c>
      <c r="C696" s="68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45"/>
      <c r="E696" s="45"/>
      <c r="F696" s="62" t="s">
        <v>11</v>
      </c>
      <c r="G696" s="63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60"/>
      <c r="I696" s="136" t="s">
        <v>45</v>
      </c>
      <c r="J696" s="137"/>
      <c r="K696" s="63">
        <f>G696</f>
        <v>0</v>
      </c>
      <c r="L696" s="71"/>
      <c r="N696" s="15"/>
      <c r="O696" s="16" t="s">
        <v>26</v>
      </c>
      <c r="P696" s="16"/>
      <c r="Q696" s="16"/>
      <c r="R696" s="16">
        <v>0</v>
      </c>
      <c r="S696" s="7"/>
      <c r="T696" s="16" t="s">
        <v>26</v>
      </c>
      <c r="U696" s="29">
        <f>Y695</f>
        <v>0</v>
      </c>
      <c r="V696" s="18"/>
      <c r="W696" s="29">
        <f t="shared" si="161"/>
        <v>0</v>
      </c>
      <c r="X696" s="18"/>
      <c r="Y696" s="29">
        <f t="shared" si="162"/>
        <v>0</v>
      </c>
      <c r="Z696" s="20"/>
    </row>
    <row r="697" spans="1:27" s="5" customFormat="1" ht="18" customHeight="1" x14ac:dyDescent="0.2">
      <c r="A697" s="47"/>
      <c r="B697" s="77" t="s">
        <v>43</v>
      </c>
      <c r="C697" s="68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45"/>
      <c r="E697" s="45"/>
      <c r="F697" s="77" t="s">
        <v>86</v>
      </c>
      <c r="G697" s="63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45"/>
      <c r="I697" s="141" t="s">
        <v>38</v>
      </c>
      <c r="J697" s="143"/>
      <c r="K697" s="41">
        <f>K695-K696</f>
        <v>170000</v>
      </c>
      <c r="L697" s="72"/>
      <c r="N697" s="15"/>
      <c r="O697" s="16" t="s">
        <v>31</v>
      </c>
      <c r="P697" s="16"/>
      <c r="Q697" s="16"/>
      <c r="R697" s="16">
        <v>0</v>
      </c>
      <c r="S697" s="7"/>
      <c r="T697" s="16" t="s">
        <v>31</v>
      </c>
      <c r="U697" s="29" t="str">
        <f>IF($J$1="September",Y696,"")</f>
        <v/>
      </c>
      <c r="V697" s="18"/>
      <c r="W697" s="29" t="str">
        <f t="shared" si="161"/>
        <v/>
      </c>
      <c r="X697" s="18"/>
      <c r="Y697" s="29" t="str">
        <f t="shared" si="162"/>
        <v/>
      </c>
      <c r="Z697" s="20"/>
    </row>
    <row r="698" spans="1:27" s="5" customFormat="1" ht="18" customHeight="1" x14ac:dyDescent="0.2">
      <c r="A698" s="47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59"/>
      <c r="N698" s="15"/>
      <c r="O698" s="16" t="s">
        <v>27</v>
      </c>
      <c r="P698" s="99"/>
      <c r="Q698" s="99"/>
      <c r="R698" s="16">
        <v>0</v>
      </c>
      <c r="S698" s="7"/>
      <c r="T698" s="16" t="s">
        <v>27</v>
      </c>
      <c r="U698" s="29" t="str">
        <f>IF($J$1="October",Y697,"")</f>
        <v/>
      </c>
      <c r="V698" s="18"/>
      <c r="W698" s="29" t="str">
        <f t="shared" si="161"/>
        <v/>
      </c>
      <c r="X698" s="18"/>
      <c r="Y698" s="29" t="str">
        <f t="shared" si="162"/>
        <v/>
      </c>
      <c r="Z698" s="20"/>
    </row>
    <row r="699" spans="1:27" s="5" customFormat="1" ht="18" customHeight="1" x14ac:dyDescent="0.3">
      <c r="A699" s="47"/>
      <c r="B699" s="43"/>
      <c r="C699" s="43"/>
      <c r="D699" s="43"/>
      <c r="E699" s="43"/>
      <c r="F699" s="51"/>
      <c r="G699" s="43"/>
      <c r="H699" s="43"/>
      <c r="I699" s="43"/>
      <c r="J699" s="43"/>
      <c r="K699" s="43"/>
      <c r="L699" s="59"/>
      <c r="N699" s="15"/>
      <c r="O699" s="16" t="s">
        <v>32</v>
      </c>
      <c r="P699" s="16"/>
      <c r="Q699" s="16"/>
      <c r="R699" s="16">
        <v>0</v>
      </c>
      <c r="S699" s="7"/>
      <c r="T699" s="16" t="s">
        <v>32</v>
      </c>
      <c r="U699" s="29"/>
      <c r="V699" s="18"/>
      <c r="W699" s="29" t="str">
        <f t="shared" si="161"/>
        <v/>
      </c>
      <c r="X699" s="18"/>
      <c r="Y699" s="29" t="str">
        <f t="shared" si="162"/>
        <v/>
      </c>
      <c r="Z699" s="20"/>
    </row>
    <row r="700" spans="1:27" s="5" customFormat="1" ht="18" customHeight="1" thickBot="1" x14ac:dyDescent="0.35">
      <c r="A700" s="73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5"/>
      <c r="N700" s="15"/>
      <c r="O700" s="16" t="s">
        <v>33</v>
      </c>
      <c r="P700" s="16"/>
      <c r="Q700" s="16"/>
      <c r="R700" s="16">
        <v>0</v>
      </c>
      <c r="S700" s="7"/>
      <c r="T700" s="16" t="s">
        <v>33</v>
      </c>
      <c r="U700" s="29"/>
      <c r="V700" s="18"/>
      <c r="W700" s="29" t="str">
        <f t="shared" si="161"/>
        <v/>
      </c>
      <c r="X700" s="18"/>
      <c r="Y700" s="29" t="str">
        <f t="shared" si="162"/>
        <v/>
      </c>
      <c r="Z700" s="20"/>
    </row>
    <row r="701" spans="1:27" s="5" customFormat="1" ht="18" customHeight="1" thickBot="1" x14ac:dyDescent="0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7" s="5" customFormat="1" ht="18" customHeight="1" thickBot="1" x14ac:dyDescent="0.25">
      <c r="A702" s="138" t="s">
        <v>15</v>
      </c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40"/>
      <c r="M702" s="4"/>
      <c r="N702" s="8"/>
      <c r="O702" s="133" t="s">
        <v>17</v>
      </c>
      <c r="P702" s="134"/>
      <c r="Q702" s="134"/>
      <c r="R702" s="135"/>
      <c r="S702" s="9"/>
      <c r="T702" s="133" t="s">
        <v>18</v>
      </c>
      <c r="U702" s="134"/>
      <c r="V702" s="134"/>
      <c r="W702" s="134"/>
      <c r="X702" s="134"/>
      <c r="Y702" s="135"/>
      <c r="Z702" s="7"/>
    </row>
    <row r="703" spans="1:27" s="5" customFormat="1" ht="18" customHeight="1" x14ac:dyDescent="0.2">
      <c r="A703" s="47"/>
      <c r="B703" s="45"/>
      <c r="C703" s="147" t="s">
        <v>94</v>
      </c>
      <c r="D703" s="147"/>
      <c r="E703" s="147"/>
      <c r="F703" s="147"/>
      <c r="G703" s="48" t="str">
        <f>$J$1</f>
        <v>February</v>
      </c>
      <c r="H703" s="146">
        <f>$K$1</f>
        <v>2024</v>
      </c>
      <c r="I703" s="146"/>
      <c r="J703" s="45"/>
      <c r="K703" s="49"/>
      <c r="L703" s="50"/>
      <c r="M703" s="6"/>
      <c r="N703" s="11"/>
      <c r="O703" s="12" t="s">
        <v>28</v>
      </c>
      <c r="P703" s="12" t="s">
        <v>5</v>
      </c>
      <c r="Q703" s="12" t="s">
        <v>4</v>
      </c>
      <c r="R703" s="12" t="s">
        <v>29</v>
      </c>
      <c r="S703" s="13"/>
      <c r="T703" s="12" t="s">
        <v>28</v>
      </c>
      <c r="U703" s="12" t="s">
        <v>30</v>
      </c>
      <c r="V703" s="12" t="s">
        <v>10</v>
      </c>
      <c r="W703" s="12" t="s">
        <v>9</v>
      </c>
      <c r="X703" s="12" t="s">
        <v>11</v>
      </c>
      <c r="Y703" s="12" t="s">
        <v>34</v>
      </c>
      <c r="Z703" s="7"/>
    </row>
    <row r="704" spans="1:27" s="5" customFormat="1" ht="18" customHeight="1" x14ac:dyDescent="0.2">
      <c r="A704" s="47"/>
      <c r="B704" s="45"/>
      <c r="C704" s="45"/>
      <c r="D704" s="51"/>
      <c r="E704" s="51"/>
      <c r="F704" s="51"/>
      <c r="G704" s="51"/>
      <c r="H704" s="51"/>
      <c r="I704" s="45"/>
      <c r="J704" s="52" t="s">
        <v>1</v>
      </c>
      <c r="K704" s="53">
        <v>60000</v>
      </c>
      <c r="L704" s="54"/>
      <c r="N704" s="15"/>
      <c r="O704" s="16" t="s">
        <v>20</v>
      </c>
      <c r="P704" s="16">
        <v>31</v>
      </c>
      <c r="Q704" s="16">
        <v>0</v>
      </c>
      <c r="R704" s="16"/>
      <c r="S704" s="17"/>
      <c r="T704" s="16" t="s">
        <v>20</v>
      </c>
      <c r="U704" s="18"/>
      <c r="V704" s="18"/>
      <c r="W704" s="18">
        <f>V704+U704</f>
        <v>0</v>
      </c>
      <c r="X704" s="18"/>
      <c r="Y704" s="18">
        <f>W704-X704</f>
        <v>0</v>
      </c>
      <c r="Z704" s="7"/>
    </row>
    <row r="705" spans="1:27" s="5" customFormat="1" ht="18" customHeight="1" x14ac:dyDescent="0.2">
      <c r="A705" s="47"/>
      <c r="B705" s="45" t="s">
        <v>0</v>
      </c>
      <c r="C705" s="44" t="s">
        <v>98</v>
      </c>
      <c r="D705" s="45"/>
      <c r="E705" s="45"/>
      <c r="F705" s="45"/>
      <c r="G705" s="45"/>
      <c r="H705" s="55"/>
      <c r="I705" s="51"/>
      <c r="J705" s="45"/>
      <c r="K705" s="45"/>
      <c r="L705" s="56"/>
      <c r="M705" s="4"/>
      <c r="N705" s="19"/>
      <c r="O705" s="16" t="s">
        <v>46</v>
      </c>
      <c r="P705" s="16">
        <v>28</v>
      </c>
      <c r="Q705" s="16">
        <v>1</v>
      </c>
      <c r="R705" s="16"/>
      <c r="S705" s="7"/>
      <c r="T705" s="16" t="s">
        <v>46</v>
      </c>
      <c r="U705" s="29">
        <f>IF($J$1="January","",Y704)</f>
        <v>0</v>
      </c>
      <c r="V705" s="18"/>
      <c r="W705" s="29">
        <f>IF(U705="","",U705+V705)</f>
        <v>0</v>
      </c>
      <c r="X705" s="18"/>
      <c r="Y705" s="29">
        <f>IF(W705="","",W705-X705)</f>
        <v>0</v>
      </c>
      <c r="Z705" s="7"/>
    </row>
    <row r="706" spans="1:27" s="5" customFormat="1" ht="18" customHeight="1" x14ac:dyDescent="0.2">
      <c r="A706" s="47"/>
      <c r="B706" s="57" t="s">
        <v>16</v>
      </c>
      <c r="C706" s="93">
        <v>45267</v>
      </c>
      <c r="D706" s="45"/>
      <c r="E706" s="45"/>
      <c r="F706" s="141" t="s">
        <v>18</v>
      </c>
      <c r="G706" s="143"/>
      <c r="H706" s="45"/>
      <c r="I706" s="141" t="s">
        <v>19</v>
      </c>
      <c r="J706" s="142"/>
      <c r="K706" s="143"/>
      <c r="L706" s="59"/>
      <c r="N706" s="15"/>
      <c r="O706" s="16" t="s">
        <v>21</v>
      </c>
      <c r="P706" s="16"/>
      <c r="Q706" s="16"/>
      <c r="R706" s="16" t="str">
        <f t="shared" ref="R706:R714" si="163">IF(Q706="","",R705-Q706)</f>
        <v/>
      </c>
      <c r="S706" s="7"/>
      <c r="T706" s="16" t="s">
        <v>21</v>
      </c>
      <c r="U706" s="29" t="str">
        <f>IF($J$1="February","",Y705)</f>
        <v/>
      </c>
      <c r="V706" s="18"/>
      <c r="W706" s="29" t="str">
        <f t="shared" ref="W706:W715" si="164">IF(U706="","",U706+V706)</f>
        <v/>
      </c>
      <c r="X706" s="18"/>
      <c r="Y706" s="29" t="str">
        <f t="shared" ref="Y706:Y715" si="165">IF(W706="","",W706-X706)</f>
        <v/>
      </c>
      <c r="Z706" s="7"/>
    </row>
    <row r="707" spans="1:27" s="5" customFormat="1" ht="18" customHeight="1" x14ac:dyDescent="0.2">
      <c r="A707" s="47"/>
      <c r="B707" s="45"/>
      <c r="C707" s="45"/>
      <c r="D707" s="45"/>
      <c r="E707" s="45"/>
      <c r="F707" s="45"/>
      <c r="G707" s="45"/>
      <c r="H707" s="60"/>
      <c r="I707" s="45"/>
      <c r="J707" s="45"/>
      <c r="K707" s="45"/>
      <c r="L707" s="61"/>
      <c r="N707" s="15"/>
      <c r="O707" s="16" t="s">
        <v>22</v>
      </c>
      <c r="P707" s="16"/>
      <c r="Q707" s="16"/>
      <c r="R707" s="16">
        <v>0</v>
      </c>
      <c r="S707" s="7"/>
      <c r="T707" s="16" t="s">
        <v>22</v>
      </c>
      <c r="U707" s="29" t="str">
        <f>IF($J$1="March","",Y706)</f>
        <v/>
      </c>
      <c r="V707" s="18"/>
      <c r="W707" s="29" t="str">
        <f t="shared" si="164"/>
        <v/>
      </c>
      <c r="X707" s="18"/>
      <c r="Y707" s="29" t="str">
        <f t="shared" si="165"/>
        <v/>
      </c>
      <c r="Z707" s="7"/>
    </row>
    <row r="708" spans="1:27" s="5" customFormat="1" ht="18" customHeight="1" x14ac:dyDescent="0.2">
      <c r="A708" s="47"/>
      <c r="B708" s="144" t="s">
        <v>17</v>
      </c>
      <c r="C708" s="145"/>
      <c r="D708" s="45"/>
      <c r="E708" s="45"/>
      <c r="F708" s="62" t="s">
        <v>39</v>
      </c>
      <c r="G708" s="63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60"/>
      <c r="I708" s="103">
        <f>IF(C712&gt;0,$K$2,C710)</f>
        <v>28</v>
      </c>
      <c r="J708" s="65" t="s">
        <v>36</v>
      </c>
      <c r="K708" s="66">
        <f>K704/$K$2*I708</f>
        <v>57931.034482758623</v>
      </c>
      <c r="L708" s="67"/>
      <c r="N708" s="15"/>
      <c r="O708" s="16" t="s">
        <v>23</v>
      </c>
      <c r="P708" s="16"/>
      <c r="Q708" s="16"/>
      <c r="R708" s="16" t="str">
        <f t="shared" si="163"/>
        <v/>
      </c>
      <c r="S708" s="7"/>
      <c r="T708" s="16" t="s">
        <v>23</v>
      </c>
      <c r="U708" s="29" t="str">
        <f>IF($J$1="April","",Y707)</f>
        <v/>
      </c>
      <c r="V708" s="18"/>
      <c r="W708" s="29" t="str">
        <f t="shared" si="164"/>
        <v/>
      </c>
      <c r="X708" s="18"/>
      <c r="Y708" s="29" t="str">
        <f t="shared" si="165"/>
        <v/>
      </c>
      <c r="Z708" s="7"/>
    </row>
    <row r="709" spans="1:27" s="5" customFormat="1" ht="18" customHeight="1" x14ac:dyDescent="0.2">
      <c r="A709" s="47"/>
      <c r="B709" s="68"/>
      <c r="C709" s="68"/>
      <c r="D709" s="45"/>
      <c r="E709" s="45"/>
      <c r="F709" s="62" t="s">
        <v>10</v>
      </c>
      <c r="G709" s="63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60"/>
      <c r="I709" s="64"/>
      <c r="J709" s="65" t="s">
        <v>37</v>
      </c>
      <c r="K709" s="69">
        <f>K704/$K$2/8*I709</f>
        <v>0</v>
      </c>
      <c r="L709" s="70"/>
      <c r="N709" s="15"/>
      <c r="O709" s="16" t="s">
        <v>24</v>
      </c>
      <c r="P709" s="16"/>
      <c r="Q709" s="16"/>
      <c r="R709" s="16" t="str">
        <f t="shared" si="163"/>
        <v/>
      </c>
      <c r="S709" s="7"/>
      <c r="T709" s="16" t="s">
        <v>24</v>
      </c>
      <c r="U709" s="29" t="str">
        <f>IF($J$1="May","",Y708)</f>
        <v/>
      </c>
      <c r="V709" s="18"/>
      <c r="W709" s="29" t="str">
        <f t="shared" si="164"/>
        <v/>
      </c>
      <c r="X709" s="18"/>
      <c r="Y709" s="29" t="str">
        <f t="shared" si="165"/>
        <v/>
      </c>
      <c r="Z709" s="7"/>
    </row>
    <row r="710" spans="1:27" s="5" customFormat="1" ht="18" customHeight="1" x14ac:dyDescent="0.2">
      <c r="A710" s="47"/>
      <c r="B710" s="62" t="s">
        <v>5</v>
      </c>
      <c r="C710" s="68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45"/>
      <c r="E710" s="45"/>
      <c r="F710" s="62" t="s">
        <v>40</v>
      </c>
      <c r="G710" s="63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60"/>
      <c r="I710" s="136" t="s">
        <v>44</v>
      </c>
      <c r="J710" s="137"/>
      <c r="K710" s="69">
        <f>K708+K709</f>
        <v>57931.034482758623</v>
      </c>
      <c r="L710" s="70"/>
      <c r="N710" s="15"/>
      <c r="O710" s="16" t="s">
        <v>25</v>
      </c>
      <c r="P710" s="16"/>
      <c r="Q710" s="16"/>
      <c r="R710" s="16" t="str">
        <f t="shared" si="163"/>
        <v/>
      </c>
      <c r="S710" s="7"/>
      <c r="T710" s="16" t="s">
        <v>25</v>
      </c>
      <c r="U710" s="29" t="str">
        <f>IF($J$1="June","",Y709)</f>
        <v/>
      </c>
      <c r="V710" s="18"/>
      <c r="W710" s="29" t="str">
        <f t="shared" si="164"/>
        <v/>
      </c>
      <c r="X710" s="18"/>
      <c r="Y710" s="29" t="str">
        <f t="shared" si="165"/>
        <v/>
      </c>
      <c r="Z710" s="7"/>
    </row>
    <row r="711" spans="1:27" s="5" customFormat="1" ht="18" customHeight="1" x14ac:dyDescent="0.2">
      <c r="A711" s="47"/>
      <c r="B711" s="62" t="s">
        <v>4</v>
      </c>
      <c r="C711" s="68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45"/>
      <c r="E711" s="45"/>
      <c r="F711" s="62" t="s">
        <v>11</v>
      </c>
      <c r="G711" s="63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60"/>
      <c r="I711" s="136" t="s">
        <v>45</v>
      </c>
      <c r="J711" s="137"/>
      <c r="K711" s="63">
        <f>G711</f>
        <v>0</v>
      </c>
      <c r="L711" s="71"/>
      <c r="N711" s="15"/>
      <c r="O711" s="16" t="s">
        <v>26</v>
      </c>
      <c r="P711" s="16"/>
      <c r="Q711" s="16"/>
      <c r="R711" s="16">
        <v>0</v>
      </c>
      <c r="S711" s="7"/>
      <c r="T711" s="16" t="s">
        <v>26</v>
      </c>
      <c r="U711" s="29" t="str">
        <f>Y710</f>
        <v/>
      </c>
      <c r="V711" s="18"/>
      <c r="W711" s="29" t="str">
        <f t="shared" si="164"/>
        <v/>
      </c>
      <c r="X711" s="18"/>
      <c r="Y711" s="29" t="str">
        <f t="shared" si="165"/>
        <v/>
      </c>
      <c r="Z711" s="7"/>
    </row>
    <row r="712" spans="1:27" s="5" customFormat="1" ht="18" customHeight="1" x14ac:dyDescent="0.2">
      <c r="A712" s="47"/>
      <c r="B712" s="77" t="s">
        <v>43</v>
      </c>
      <c r="C712" s="68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45"/>
      <c r="E712" s="45"/>
      <c r="F712" s="77" t="s">
        <v>86</v>
      </c>
      <c r="G712" s="63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45"/>
      <c r="I712" s="141" t="s">
        <v>38</v>
      </c>
      <c r="J712" s="143"/>
      <c r="K712" s="41">
        <f>K710-K711</f>
        <v>57931.034482758623</v>
      </c>
      <c r="L712" s="72"/>
      <c r="N712" s="15"/>
      <c r="O712" s="16" t="s">
        <v>31</v>
      </c>
      <c r="P712" s="16"/>
      <c r="Q712" s="16"/>
      <c r="R712" s="16">
        <v>0</v>
      </c>
      <c r="S712" s="7"/>
      <c r="T712" s="16" t="s">
        <v>31</v>
      </c>
      <c r="U712" s="29">
        <v>0</v>
      </c>
      <c r="V712" s="18"/>
      <c r="W712" s="29">
        <f t="shared" si="164"/>
        <v>0</v>
      </c>
      <c r="X712" s="18"/>
      <c r="Y712" s="29">
        <f t="shared" si="165"/>
        <v>0</v>
      </c>
      <c r="Z712" s="20"/>
    </row>
    <row r="713" spans="1:27" s="5" customFormat="1" ht="18" customHeight="1" x14ac:dyDescent="0.2">
      <c r="A713" s="47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59"/>
      <c r="N713" s="15"/>
      <c r="O713" s="16" t="s">
        <v>27</v>
      </c>
      <c r="P713" s="16"/>
      <c r="Q713" s="16"/>
      <c r="R713" s="16">
        <v>0</v>
      </c>
      <c r="S713" s="7"/>
      <c r="T713" s="16" t="s">
        <v>27</v>
      </c>
      <c r="U713" s="29" t="str">
        <f>IF($J$1="October",Y712,"")</f>
        <v/>
      </c>
      <c r="V713" s="18"/>
      <c r="W713" s="29" t="str">
        <f t="shared" si="164"/>
        <v/>
      </c>
      <c r="X713" s="18"/>
      <c r="Y713" s="29" t="str">
        <f t="shared" si="165"/>
        <v/>
      </c>
      <c r="Z713" s="20"/>
    </row>
    <row r="714" spans="1:27" s="5" customFormat="1" ht="18" customHeight="1" x14ac:dyDescent="0.3">
      <c r="A714" s="47"/>
      <c r="B714" s="43"/>
      <c r="C714" s="43"/>
      <c r="D714" s="43"/>
      <c r="E714" s="43"/>
      <c r="F714" s="161" t="s">
        <v>109</v>
      </c>
      <c r="G714" s="161"/>
      <c r="H714" s="161"/>
      <c r="I714" s="161"/>
      <c r="J714" s="161"/>
      <c r="K714" s="43"/>
      <c r="L714" s="59"/>
      <c r="N714" s="15"/>
      <c r="O714" s="16" t="s">
        <v>32</v>
      </c>
      <c r="P714" s="16"/>
      <c r="Q714" s="16"/>
      <c r="R714" s="16" t="str">
        <f t="shared" si="163"/>
        <v/>
      </c>
      <c r="S714" s="7"/>
      <c r="T714" s="16" t="s">
        <v>32</v>
      </c>
      <c r="U714" s="29" t="str">
        <f>Y713</f>
        <v/>
      </c>
      <c r="V714" s="18"/>
      <c r="W714" s="29" t="str">
        <f t="shared" si="164"/>
        <v/>
      </c>
      <c r="X714" s="18"/>
      <c r="Y714" s="29" t="str">
        <f t="shared" si="165"/>
        <v/>
      </c>
      <c r="Z714" s="7"/>
    </row>
    <row r="715" spans="1:27" s="5" customFormat="1" ht="18" customHeight="1" thickBot="1" x14ac:dyDescent="0.35">
      <c r="A715" s="73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5"/>
      <c r="N715" s="15"/>
      <c r="O715" s="16" t="s">
        <v>33</v>
      </c>
      <c r="P715" s="99"/>
      <c r="Q715" s="99"/>
      <c r="R715" s="16">
        <v>0</v>
      </c>
      <c r="S715" s="7"/>
      <c r="T715" s="16" t="s">
        <v>33</v>
      </c>
      <c r="U715" s="29">
        <v>0</v>
      </c>
      <c r="V715" s="18"/>
      <c r="W715" s="29">
        <f t="shared" si="164"/>
        <v>0</v>
      </c>
      <c r="X715" s="18"/>
      <c r="Y715" s="29">
        <f t="shared" si="165"/>
        <v>0</v>
      </c>
      <c r="Z715" s="7"/>
    </row>
    <row r="716" spans="1:27" s="5" customFormat="1" ht="18" customHeight="1" thickBot="1" x14ac:dyDescent="0.35">
      <c r="A716" s="47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59"/>
      <c r="N716" s="15"/>
      <c r="O716" s="94"/>
      <c r="P716" s="28"/>
      <c r="Q716" s="28"/>
      <c r="R716" s="95"/>
      <c r="S716" s="7"/>
      <c r="T716" s="94"/>
      <c r="U716" s="96"/>
      <c r="V716" s="97"/>
      <c r="W716" s="96"/>
      <c r="X716" s="97"/>
      <c r="Y716" s="98"/>
      <c r="Z716" s="7"/>
    </row>
    <row r="717" spans="1:27" s="5" customFormat="1" ht="18" customHeight="1" x14ac:dyDescent="0.2">
      <c r="A717" s="156" t="s">
        <v>15</v>
      </c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8"/>
      <c r="M717" s="4"/>
      <c r="N717" s="8"/>
      <c r="O717" s="133" t="s">
        <v>17</v>
      </c>
      <c r="P717" s="134"/>
      <c r="Q717" s="134"/>
      <c r="R717" s="135"/>
      <c r="S717" s="9"/>
      <c r="T717" s="133" t="s">
        <v>18</v>
      </c>
      <c r="U717" s="134"/>
      <c r="V717" s="134"/>
      <c r="W717" s="134"/>
      <c r="X717" s="134"/>
      <c r="Y717" s="135"/>
      <c r="Z717" s="10"/>
      <c r="AA717" s="4"/>
    </row>
    <row r="718" spans="1:27" s="5" customFormat="1" ht="18" customHeight="1" x14ac:dyDescent="0.2">
      <c r="A718" s="47"/>
      <c r="B718" s="45"/>
      <c r="C718" s="147" t="s">
        <v>94</v>
      </c>
      <c r="D718" s="147"/>
      <c r="E718" s="147"/>
      <c r="F718" s="147"/>
      <c r="G718" s="48" t="str">
        <f>$J$1</f>
        <v>February</v>
      </c>
      <c r="H718" s="146">
        <f>$K$1</f>
        <v>2024</v>
      </c>
      <c r="I718" s="146"/>
      <c r="J718" s="45"/>
      <c r="K718" s="49"/>
      <c r="L718" s="50"/>
      <c r="M718" s="6"/>
      <c r="N718" s="11"/>
      <c r="O718" s="12" t="s">
        <v>28</v>
      </c>
      <c r="P718" s="12" t="s">
        <v>5</v>
      </c>
      <c r="Q718" s="12" t="s">
        <v>4</v>
      </c>
      <c r="R718" s="12" t="s">
        <v>29</v>
      </c>
      <c r="S718" s="13"/>
      <c r="T718" s="12" t="s">
        <v>28</v>
      </c>
      <c r="U718" s="12" t="s">
        <v>30</v>
      </c>
      <c r="V718" s="12" t="s">
        <v>10</v>
      </c>
      <c r="W718" s="12" t="s">
        <v>9</v>
      </c>
      <c r="X718" s="12" t="s">
        <v>11</v>
      </c>
      <c r="Y718" s="12" t="s">
        <v>34</v>
      </c>
      <c r="Z718" s="14"/>
      <c r="AA718" s="6"/>
    </row>
    <row r="719" spans="1:27" s="5" customFormat="1" ht="18" customHeight="1" x14ac:dyDescent="0.2">
      <c r="A719" s="47"/>
      <c r="B719" s="45"/>
      <c r="C719" s="45"/>
      <c r="D719" s="51"/>
      <c r="E719" s="51"/>
      <c r="F719" s="51"/>
      <c r="G719" s="51"/>
      <c r="H719" s="51"/>
      <c r="I719" s="45"/>
      <c r="J719" s="52" t="s">
        <v>1</v>
      </c>
      <c r="K719" s="53">
        <v>70000</v>
      </c>
      <c r="L719" s="54"/>
      <c r="N719" s="15"/>
      <c r="O719" s="16" t="s">
        <v>20</v>
      </c>
      <c r="P719" s="16">
        <v>30</v>
      </c>
      <c r="Q719" s="16">
        <v>1</v>
      </c>
      <c r="R719" s="16"/>
      <c r="S719" s="17"/>
      <c r="T719" s="16" t="s">
        <v>20</v>
      </c>
      <c r="U719" s="18">
        <v>80000</v>
      </c>
      <c r="V719" s="18"/>
      <c r="W719" s="18">
        <f>V719+U719</f>
        <v>80000</v>
      </c>
      <c r="X719" s="18">
        <v>5000</v>
      </c>
      <c r="Y719" s="18">
        <f>W719-X719</f>
        <v>75000</v>
      </c>
      <c r="Z719" s="14"/>
    </row>
    <row r="720" spans="1:27" s="5" customFormat="1" ht="18" customHeight="1" x14ac:dyDescent="0.2">
      <c r="A720" s="47"/>
      <c r="B720" s="45" t="s">
        <v>0</v>
      </c>
      <c r="C720" s="44" t="s">
        <v>93</v>
      </c>
      <c r="D720" s="45"/>
      <c r="E720" s="45"/>
      <c r="F720" s="45"/>
      <c r="G720" s="45"/>
      <c r="H720" s="55"/>
      <c r="I720" s="51"/>
      <c r="J720" s="45"/>
      <c r="K720" s="45"/>
      <c r="L720" s="56"/>
      <c r="M720" s="4"/>
      <c r="N720" s="19"/>
      <c r="O720" s="16" t="s">
        <v>46</v>
      </c>
      <c r="P720" s="16"/>
      <c r="Q720" s="16"/>
      <c r="R720" s="16" t="str">
        <f t="shared" ref="R720:R727" si="166">IF(Q720="","",R719-Q720)</f>
        <v/>
      </c>
      <c r="S720" s="7"/>
      <c r="T720" s="16" t="s">
        <v>46</v>
      </c>
      <c r="U720" s="29">
        <f>Y719</f>
        <v>75000</v>
      </c>
      <c r="V720" s="18"/>
      <c r="W720" s="29">
        <f>IF(U720="","",U720+V720)</f>
        <v>75000</v>
      </c>
      <c r="X720" s="18"/>
      <c r="Y720" s="29">
        <f>IF(W720="","",W720-X720)</f>
        <v>75000</v>
      </c>
      <c r="Z720" s="20"/>
      <c r="AA720" s="4"/>
    </row>
    <row r="721" spans="1:27" s="5" customFormat="1" ht="18" customHeight="1" x14ac:dyDescent="0.2">
      <c r="A721" s="47"/>
      <c r="B721" s="57" t="s">
        <v>16</v>
      </c>
      <c r="C721" s="58"/>
      <c r="D721" s="45"/>
      <c r="E721" s="45"/>
      <c r="F721" s="148" t="s">
        <v>18</v>
      </c>
      <c r="G721" s="148"/>
      <c r="H721" s="45"/>
      <c r="I721" s="148" t="s">
        <v>19</v>
      </c>
      <c r="J721" s="148"/>
      <c r="K721" s="148"/>
      <c r="L721" s="59"/>
      <c r="N721" s="15"/>
      <c r="O721" s="16" t="s">
        <v>21</v>
      </c>
      <c r="P721" s="16"/>
      <c r="Q721" s="16"/>
      <c r="R721" s="16" t="str">
        <f t="shared" si="166"/>
        <v/>
      </c>
      <c r="S721" s="7"/>
      <c r="T721" s="16" t="s">
        <v>21</v>
      </c>
      <c r="U721" s="29"/>
      <c r="V721" s="18"/>
      <c r="W721" s="29" t="str">
        <f t="shared" ref="W721:W730" si="167">IF(U721="","",U721+V721)</f>
        <v/>
      </c>
      <c r="X721" s="18"/>
      <c r="Y721" s="29" t="str">
        <f t="shared" ref="Y721:Y730" si="168">IF(W721="","",W721-X721)</f>
        <v/>
      </c>
      <c r="Z721" s="20"/>
    </row>
    <row r="722" spans="1:27" s="5" customFormat="1" ht="18" customHeight="1" x14ac:dyDescent="0.2">
      <c r="A722" s="47"/>
      <c r="B722" s="45"/>
      <c r="C722" s="45"/>
      <c r="D722" s="45"/>
      <c r="E722" s="45"/>
      <c r="F722" s="45"/>
      <c r="G722" s="45"/>
      <c r="H722" s="60"/>
      <c r="I722" s="45"/>
      <c r="J722" s="45"/>
      <c r="K722" s="45"/>
      <c r="L722" s="61"/>
      <c r="N722" s="15"/>
      <c r="O722" s="16" t="s">
        <v>22</v>
      </c>
      <c r="P722" s="16"/>
      <c r="Q722" s="16"/>
      <c r="R722" s="16">
        <v>0</v>
      </c>
      <c r="S722" s="7"/>
      <c r="T722" s="16" t="s">
        <v>22</v>
      </c>
      <c r="U722" s="29" t="str">
        <f>IF($J$1="April",Y721,Y721)</f>
        <v/>
      </c>
      <c r="V722" s="18"/>
      <c r="W722" s="29" t="str">
        <f t="shared" si="167"/>
        <v/>
      </c>
      <c r="X722" s="18"/>
      <c r="Y722" s="29" t="str">
        <f t="shared" si="168"/>
        <v/>
      </c>
      <c r="Z722" s="20"/>
    </row>
    <row r="723" spans="1:27" s="5" customFormat="1" ht="18" customHeight="1" x14ac:dyDescent="0.2">
      <c r="A723" s="47"/>
      <c r="B723" s="144" t="s">
        <v>17</v>
      </c>
      <c r="C723" s="145"/>
      <c r="D723" s="45"/>
      <c r="E723" s="45"/>
      <c r="F723" s="62" t="s">
        <v>39</v>
      </c>
      <c r="G723" s="63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60"/>
      <c r="I723" s="64">
        <f>IF(C727&gt;0,$K$2,C725)</f>
        <v>29</v>
      </c>
      <c r="J723" s="65" t="s">
        <v>36</v>
      </c>
      <c r="K723" s="66">
        <f>K719/$K$2*I723</f>
        <v>70000</v>
      </c>
      <c r="L723" s="67"/>
      <c r="N723" s="15"/>
      <c r="O723" s="16" t="s">
        <v>23</v>
      </c>
      <c r="P723" s="16"/>
      <c r="Q723" s="16"/>
      <c r="R723" s="16">
        <v>0</v>
      </c>
      <c r="S723" s="7"/>
      <c r="T723" s="16" t="s">
        <v>23</v>
      </c>
      <c r="U723" s="29" t="str">
        <f>IF($J$1="May",Y722,Y722)</f>
        <v/>
      </c>
      <c r="V723" s="18"/>
      <c r="W723" s="29" t="str">
        <f t="shared" si="167"/>
        <v/>
      </c>
      <c r="X723" s="18"/>
      <c r="Y723" s="29" t="str">
        <f t="shared" si="168"/>
        <v/>
      </c>
      <c r="Z723" s="20"/>
    </row>
    <row r="724" spans="1:27" s="5" customFormat="1" ht="18" customHeight="1" x14ac:dyDescent="0.2">
      <c r="A724" s="47"/>
      <c r="B724" s="68"/>
      <c r="C724" s="68"/>
      <c r="D724" s="45"/>
      <c r="E724" s="45"/>
      <c r="F724" s="62" t="s">
        <v>10</v>
      </c>
      <c r="G724" s="63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60"/>
      <c r="I724" s="82"/>
      <c r="J724" s="65" t="s">
        <v>37</v>
      </c>
      <c r="K724" s="69">
        <f>K719/$K$2/8*I724</f>
        <v>0</v>
      </c>
      <c r="L724" s="70"/>
      <c r="N724" s="15"/>
      <c r="O724" s="16" t="s">
        <v>24</v>
      </c>
      <c r="P724" s="16"/>
      <c r="Q724" s="16"/>
      <c r="R724" s="16" t="str">
        <f t="shared" si="166"/>
        <v/>
      </c>
      <c r="S724" s="7"/>
      <c r="T724" s="16" t="s">
        <v>24</v>
      </c>
      <c r="U724" s="29" t="str">
        <f>IF($J$1="May",Y723,Y723)</f>
        <v/>
      </c>
      <c r="V724" s="18"/>
      <c r="W724" s="29" t="str">
        <f t="shared" si="167"/>
        <v/>
      </c>
      <c r="X724" s="18"/>
      <c r="Y724" s="29" t="str">
        <f t="shared" si="168"/>
        <v/>
      </c>
      <c r="Z724" s="20"/>
    </row>
    <row r="725" spans="1:27" s="5" customFormat="1" ht="18" customHeight="1" x14ac:dyDescent="0.2">
      <c r="A725" s="47"/>
      <c r="B725" s="62" t="s">
        <v>5</v>
      </c>
      <c r="C725" s="68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45"/>
      <c r="E725" s="45"/>
      <c r="F725" s="62" t="s">
        <v>40</v>
      </c>
      <c r="G725" s="63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60"/>
      <c r="I725" s="136" t="s">
        <v>44</v>
      </c>
      <c r="J725" s="137"/>
      <c r="K725" s="69">
        <f>K723+K724</f>
        <v>70000</v>
      </c>
      <c r="L725" s="70"/>
      <c r="N725" s="15"/>
      <c r="O725" s="16" t="s">
        <v>25</v>
      </c>
      <c r="P725" s="16"/>
      <c r="Q725" s="16"/>
      <c r="R725" s="16">
        <v>0</v>
      </c>
      <c r="S725" s="7"/>
      <c r="T725" s="16" t="s">
        <v>25</v>
      </c>
      <c r="U725" s="29" t="str">
        <f>IF($J$1="June","",Y724)</f>
        <v/>
      </c>
      <c r="V725" s="18"/>
      <c r="W725" s="29" t="str">
        <f t="shared" si="167"/>
        <v/>
      </c>
      <c r="X725" s="18"/>
      <c r="Y725" s="29" t="str">
        <f t="shared" si="168"/>
        <v/>
      </c>
      <c r="Z725" s="20"/>
    </row>
    <row r="726" spans="1:27" s="5" customFormat="1" ht="18" customHeight="1" x14ac:dyDescent="0.2">
      <c r="A726" s="47"/>
      <c r="B726" s="62" t="s">
        <v>4</v>
      </c>
      <c r="C726" s="68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45"/>
      <c r="E726" s="45"/>
      <c r="F726" s="62" t="s">
        <v>11</v>
      </c>
      <c r="G726" s="63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60"/>
      <c r="I726" s="136" t="s">
        <v>45</v>
      </c>
      <c r="J726" s="137"/>
      <c r="K726" s="63">
        <f>G726</f>
        <v>0</v>
      </c>
      <c r="L726" s="71"/>
      <c r="N726" s="15"/>
      <c r="O726" s="16" t="s">
        <v>26</v>
      </c>
      <c r="P726" s="16"/>
      <c r="Q726" s="16"/>
      <c r="R726" s="16">
        <v>0</v>
      </c>
      <c r="S726" s="7"/>
      <c r="T726" s="16" t="s">
        <v>26</v>
      </c>
      <c r="U726" s="29" t="str">
        <f>IF($J$1="July","",Y725)</f>
        <v/>
      </c>
      <c r="V726" s="18"/>
      <c r="W726" s="29" t="str">
        <f t="shared" si="167"/>
        <v/>
      </c>
      <c r="X726" s="18"/>
      <c r="Y726" s="29" t="str">
        <f t="shared" si="168"/>
        <v/>
      </c>
      <c r="Z726" s="20"/>
    </row>
    <row r="727" spans="1:27" s="5" customFormat="1" ht="18" customHeight="1" x14ac:dyDescent="0.2">
      <c r="A727" s="47"/>
      <c r="B727" s="80" t="s">
        <v>43</v>
      </c>
      <c r="C727" s="68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45"/>
      <c r="E727" s="45"/>
      <c r="F727" s="62" t="s">
        <v>42</v>
      </c>
      <c r="G727" s="63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45"/>
      <c r="I727" s="141" t="s">
        <v>38</v>
      </c>
      <c r="J727" s="143"/>
      <c r="K727" s="41">
        <f>K725-K726</f>
        <v>70000</v>
      </c>
      <c r="L727" s="72"/>
      <c r="N727" s="15"/>
      <c r="O727" s="16" t="s">
        <v>31</v>
      </c>
      <c r="P727" s="99"/>
      <c r="Q727" s="99"/>
      <c r="R727" s="16" t="str">
        <f t="shared" si="166"/>
        <v/>
      </c>
      <c r="S727" s="7"/>
      <c r="T727" s="16" t="s">
        <v>31</v>
      </c>
      <c r="U727" s="29" t="str">
        <f>Y726</f>
        <v/>
      </c>
      <c r="V727" s="18"/>
      <c r="W727" s="29" t="str">
        <f t="shared" si="167"/>
        <v/>
      </c>
      <c r="X727" s="18"/>
      <c r="Y727" s="29" t="str">
        <f t="shared" si="168"/>
        <v/>
      </c>
      <c r="Z727" s="20"/>
    </row>
    <row r="728" spans="1:27" s="5" customFormat="1" ht="18" customHeight="1" x14ac:dyDescent="0.2">
      <c r="A728" s="47"/>
      <c r="B728" s="45"/>
      <c r="C728" s="45"/>
      <c r="D728" s="45"/>
      <c r="E728" s="45"/>
      <c r="F728" s="45"/>
      <c r="G728" s="45"/>
      <c r="H728" s="45"/>
      <c r="I728" s="45"/>
      <c r="J728" s="45"/>
      <c r="K728" s="79"/>
      <c r="L728" s="59"/>
      <c r="N728" s="15"/>
      <c r="O728" s="16" t="s">
        <v>27</v>
      </c>
      <c r="P728" s="16"/>
      <c r="Q728" s="16"/>
      <c r="R728" s="16">
        <v>0</v>
      </c>
      <c r="S728" s="7"/>
      <c r="T728" s="16" t="s">
        <v>27</v>
      </c>
      <c r="U728" s="29" t="str">
        <f>Y727</f>
        <v/>
      </c>
      <c r="V728" s="18"/>
      <c r="W728" s="29" t="str">
        <f t="shared" si="167"/>
        <v/>
      </c>
      <c r="X728" s="18"/>
      <c r="Y728" s="29" t="str">
        <f t="shared" si="168"/>
        <v/>
      </c>
      <c r="Z728" s="20"/>
    </row>
    <row r="729" spans="1:27" s="5" customFormat="1" ht="18" customHeight="1" x14ac:dyDescent="0.2">
      <c r="A729" s="47"/>
      <c r="B729" s="152" t="s">
        <v>57</v>
      </c>
      <c r="C729" s="152"/>
      <c r="D729" s="152"/>
      <c r="E729" s="152"/>
      <c r="F729" s="152"/>
      <c r="G729" s="152"/>
      <c r="H729" s="152"/>
      <c r="I729" s="152"/>
      <c r="J729" s="152"/>
      <c r="K729" s="152"/>
      <c r="L729" s="59"/>
      <c r="N729" s="15"/>
      <c r="O729" s="16" t="s">
        <v>32</v>
      </c>
      <c r="P729" s="16"/>
      <c r="Q729" s="16"/>
      <c r="R729" s="16">
        <v>0</v>
      </c>
      <c r="S729" s="7"/>
      <c r="T729" s="16" t="s">
        <v>32</v>
      </c>
      <c r="U729" s="29" t="str">
        <f>Y728</f>
        <v/>
      </c>
      <c r="V729" s="18"/>
      <c r="W729" s="29" t="str">
        <f t="shared" si="167"/>
        <v/>
      </c>
      <c r="X729" s="18"/>
      <c r="Y729" s="29" t="str">
        <f t="shared" si="168"/>
        <v/>
      </c>
      <c r="Z729" s="20"/>
    </row>
    <row r="730" spans="1:27" s="5" customFormat="1" ht="18" customHeight="1" x14ac:dyDescent="0.2">
      <c r="A730" s="47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59"/>
      <c r="N730" s="15"/>
      <c r="O730" s="16" t="s">
        <v>33</v>
      </c>
      <c r="P730" s="16"/>
      <c r="Q730" s="16"/>
      <c r="R730" s="16">
        <v>0</v>
      </c>
      <c r="S730" s="7"/>
      <c r="T730" s="16" t="s">
        <v>33</v>
      </c>
      <c r="U730" s="29" t="str">
        <f>Y729</f>
        <v/>
      </c>
      <c r="V730" s="18"/>
      <c r="W730" s="29" t="str">
        <f t="shared" si="167"/>
        <v/>
      </c>
      <c r="X730" s="18"/>
      <c r="Y730" s="29" t="str">
        <f t="shared" si="168"/>
        <v/>
      </c>
      <c r="Z730" s="20"/>
    </row>
    <row r="731" spans="1:27" s="5" customFormat="1" ht="18" customHeight="1" thickBot="1" x14ac:dyDescent="0.25">
      <c r="A731" s="73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75"/>
      <c r="N731" s="21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3"/>
    </row>
    <row r="732" spans="1:27" s="5" customFormat="1" ht="18" customHeight="1" thickBot="1" x14ac:dyDescent="0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7" s="5" customFormat="1" ht="18" customHeight="1" x14ac:dyDescent="0.2">
      <c r="A733" s="153" t="s">
        <v>15</v>
      </c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5"/>
      <c r="M733" s="4"/>
      <c r="N733" s="8"/>
      <c r="O733" s="133" t="s">
        <v>17</v>
      </c>
      <c r="P733" s="134"/>
      <c r="Q733" s="134"/>
      <c r="R733" s="135"/>
      <c r="S733" s="9"/>
      <c r="T733" s="133" t="s">
        <v>18</v>
      </c>
      <c r="U733" s="134"/>
      <c r="V733" s="134"/>
      <c r="W733" s="134"/>
      <c r="X733" s="134"/>
      <c r="Y733" s="135"/>
      <c r="Z733" s="10"/>
      <c r="AA733" s="4"/>
    </row>
    <row r="734" spans="1:27" s="5" customFormat="1" ht="18" customHeight="1" x14ac:dyDescent="0.2">
      <c r="A734" s="47"/>
      <c r="B734" s="45"/>
      <c r="C734" s="147" t="s">
        <v>94</v>
      </c>
      <c r="D734" s="147"/>
      <c r="E734" s="147"/>
      <c r="F734" s="147"/>
      <c r="G734" s="48" t="str">
        <f>$J$1</f>
        <v>February</v>
      </c>
      <c r="H734" s="146">
        <f>$K$1</f>
        <v>2024</v>
      </c>
      <c r="I734" s="146"/>
      <c r="J734" s="45"/>
      <c r="K734" s="49"/>
      <c r="L734" s="50"/>
      <c r="M734" s="6"/>
      <c r="N734" s="11"/>
      <c r="O734" s="12" t="s">
        <v>28</v>
      </c>
      <c r="P734" s="12" t="s">
        <v>5</v>
      </c>
      <c r="Q734" s="12" t="s">
        <v>4</v>
      </c>
      <c r="R734" s="12" t="s">
        <v>29</v>
      </c>
      <c r="S734" s="13"/>
      <c r="T734" s="12" t="s">
        <v>28</v>
      </c>
      <c r="U734" s="12" t="s">
        <v>30</v>
      </c>
      <c r="V734" s="12" t="s">
        <v>10</v>
      </c>
      <c r="W734" s="12" t="s">
        <v>9</v>
      </c>
      <c r="X734" s="12" t="s">
        <v>11</v>
      </c>
      <c r="Y734" s="12" t="s">
        <v>34</v>
      </c>
      <c r="Z734" s="14"/>
      <c r="AA734" s="6"/>
    </row>
    <row r="735" spans="1:27" s="5" customFormat="1" ht="18" customHeight="1" x14ac:dyDescent="0.2">
      <c r="A735" s="47"/>
      <c r="B735" s="45"/>
      <c r="C735" s="45"/>
      <c r="D735" s="51"/>
      <c r="E735" s="51"/>
      <c r="F735" s="51"/>
      <c r="G735" s="51"/>
      <c r="H735" s="51"/>
      <c r="I735" s="45"/>
      <c r="J735" s="52" t="s">
        <v>1</v>
      </c>
      <c r="K735" s="53">
        <v>65000</v>
      </c>
      <c r="L735" s="54"/>
      <c r="N735" s="15"/>
      <c r="O735" s="16" t="s">
        <v>20</v>
      </c>
      <c r="P735" s="16"/>
      <c r="Q735" s="16"/>
      <c r="R735" s="16"/>
      <c r="S735" s="17"/>
      <c r="T735" s="16" t="s">
        <v>20</v>
      </c>
      <c r="U735" s="18"/>
      <c r="V735" s="18"/>
      <c r="W735" s="18">
        <f>V735+U735</f>
        <v>0</v>
      </c>
      <c r="X735" s="18"/>
      <c r="Y735" s="18">
        <f>W735-X735</f>
        <v>0</v>
      </c>
      <c r="Z735" s="14"/>
    </row>
    <row r="736" spans="1:27" s="5" customFormat="1" ht="18" customHeight="1" x14ac:dyDescent="0.2">
      <c r="A736" s="47"/>
      <c r="B736" s="45" t="s">
        <v>0</v>
      </c>
      <c r="C736" s="44" t="s">
        <v>103</v>
      </c>
      <c r="D736" s="45"/>
      <c r="E736" s="45"/>
      <c r="F736" s="45"/>
      <c r="G736" s="45"/>
      <c r="H736" s="55"/>
      <c r="I736" s="51"/>
      <c r="J736" s="45"/>
      <c r="K736" s="45"/>
      <c r="L736" s="56"/>
      <c r="M736" s="4"/>
      <c r="N736" s="19"/>
      <c r="O736" s="16" t="s">
        <v>46</v>
      </c>
      <c r="P736" s="16">
        <v>27</v>
      </c>
      <c r="Q736" s="16">
        <v>2</v>
      </c>
      <c r="R736" s="16">
        <v>0</v>
      </c>
      <c r="S736" s="7"/>
      <c r="T736" s="16" t="s">
        <v>46</v>
      </c>
      <c r="U736" s="29">
        <f>Y735</f>
        <v>0</v>
      </c>
      <c r="V736" s="18"/>
      <c r="W736" s="29">
        <f>IF(U736="","",U736+V736)</f>
        <v>0</v>
      </c>
      <c r="X736" s="18"/>
      <c r="Y736" s="29">
        <f>IF(W736="","",W736-X736)</f>
        <v>0</v>
      </c>
      <c r="Z736" s="20"/>
      <c r="AA736" s="4"/>
    </row>
    <row r="737" spans="1:27" s="5" customFormat="1" ht="18" customHeight="1" x14ac:dyDescent="0.2">
      <c r="A737" s="47"/>
      <c r="B737" s="57" t="s">
        <v>16</v>
      </c>
      <c r="C737" s="58"/>
      <c r="D737" s="45"/>
      <c r="E737" s="45"/>
      <c r="F737" s="148" t="s">
        <v>18</v>
      </c>
      <c r="G737" s="148"/>
      <c r="H737" s="45"/>
      <c r="I737" s="148" t="s">
        <v>19</v>
      </c>
      <c r="J737" s="148"/>
      <c r="K737" s="148"/>
      <c r="L737" s="59"/>
      <c r="N737" s="15"/>
      <c r="O737" s="16" t="s">
        <v>21</v>
      </c>
      <c r="P737" s="16"/>
      <c r="Q737" s="16"/>
      <c r="R737" s="16" t="str">
        <f t="shared" ref="R737:R746" si="169">IF(Q737="","",R736-Q737)</f>
        <v/>
      </c>
      <c r="S737" s="7"/>
      <c r="T737" s="16" t="s">
        <v>21</v>
      </c>
      <c r="U737" s="29">
        <f>IF($J$1="April",Y736,Y736)</f>
        <v>0</v>
      </c>
      <c r="V737" s="18"/>
      <c r="W737" s="29">
        <f t="shared" ref="W737:W746" si="170">IF(U737="","",U737+V737)</f>
        <v>0</v>
      </c>
      <c r="X737" s="18"/>
      <c r="Y737" s="29">
        <f t="shared" ref="Y737:Y746" si="171">IF(W737="","",W737-X737)</f>
        <v>0</v>
      </c>
      <c r="Z737" s="20"/>
    </row>
    <row r="738" spans="1:27" s="5" customFormat="1" ht="18" customHeight="1" x14ac:dyDescent="0.2">
      <c r="A738" s="47"/>
      <c r="B738" s="45"/>
      <c r="C738" s="45"/>
      <c r="D738" s="45"/>
      <c r="E738" s="45"/>
      <c r="F738" s="45"/>
      <c r="G738" s="45"/>
      <c r="H738" s="60"/>
      <c r="I738" s="45"/>
      <c r="J738" s="45"/>
      <c r="K738" s="45"/>
      <c r="L738" s="61"/>
      <c r="N738" s="15"/>
      <c r="O738" s="16" t="s">
        <v>22</v>
      </c>
      <c r="P738" s="16"/>
      <c r="Q738" s="16"/>
      <c r="R738" s="16" t="str">
        <f t="shared" si="169"/>
        <v/>
      </c>
      <c r="S738" s="7"/>
      <c r="T738" s="16" t="s">
        <v>22</v>
      </c>
      <c r="U738" s="29">
        <f>IF($J$1="April",Y737,Y737)</f>
        <v>0</v>
      </c>
      <c r="V738" s="18"/>
      <c r="W738" s="29">
        <f t="shared" si="170"/>
        <v>0</v>
      </c>
      <c r="X738" s="18"/>
      <c r="Y738" s="29">
        <f t="shared" si="171"/>
        <v>0</v>
      </c>
      <c r="Z738" s="20"/>
    </row>
    <row r="739" spans="1:27" s="5" customFormat="1" ht="18" customHeight="1" x14ac:dyDescent="0.2">
      <c r="A739" s="47"/>
      <c r="B739" s="144" t="s">
        <v>17</v>
      </c>
      <c r="C739" s="145"/>
      <c r="D739" s="45"/>
      <c r="E739" s="45"/>
      <c r="F739" s="62" t="s">
        <v>39</v>
      </c>
      <c r="G739" s="63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60"/>
      <c r="I739" s="64">
        <f>IF(C743&gt;0,$K$2,C741)</f>
        <v>27</v>
      </c>
      <c r="J739" s="65" t="s">
        <v>36</v>
      </c>
      <c r="K739" s="66">
        <f>K735/$K$2*I739</f>
        <v>60517.241379310341</v>
      </c>
      <c r="L739" s="67"/>
      <c r="N739" s="15"/>
      <c r="O739" s="16" t="s">
        <v>23</v>
      </c>
      <c r="P739" s="16"/>
      <c r="Q739" s="16"/>
      <c r="R739" s="16" t="str">
        <f t="shared" si="169"/>
        <v/>
      </c>
      <c r="S739" s="7"/>
      <c r="T739" s="16" t="s">
        <v>23</v>
      </c>
      <c r="U739" s="29">
        <f>IF($J$1="May",Y738,Y738)</f>
        <v>0</v>
      </c>
      <c r="V739" s="18"/>
      <c r="W739" s="29">
        <f t="shared" si="170"/>
        <v>0</v>
      </c>
      <c r="X739" s="18"/>
      <c r="Y739" s="29">
        <f t="shared" si="171"/>
        <v>0</v>
      </c>
      <c r="Z739" s="20"/>
    </row>
    <row r="740" spans="1:27" s="5" customFormat="1" ht="18" customHeight="1" x14ac:dyDescent="0.2">
      <c r="A740" s="47"/>
      <c r="B740" s="68"/>
      <c r="C740" s="68"/>
      <c r="D740" s="45"/>
      <c r="E740" s="45"/>
      <c r="F740" s="62" t="s">
        <v>10</v>
      </c>
      <c r="G740" s="63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60"/>
      <c r="I740" s="82">
        <v>21</v>
      </c>
      <c r="J740" s="65" t="s">
        <v>37</v>
      </c>
      <c r="K740" s="69">
        <f>K735/$K$2/8*I740</f>
        <v>5883.6206896551721</v>
      </c>
      <c r="L740" s="70"/>
      <c r="N740" s="15"/>
      <c r="O740" s="16" t="s">
        <v>24</v>
      </c>
      <c r="P740" s="16"/>
      <c r="Q740" s="16"/>
      <c r="R740" s="16" t="str">
        <f t="shared" si="169"/>
        <v/>
      </c>
      <c r="S740" s="7"/>
      <c r="T740" s="16" t="s">
        <v>24</v>
      </c>
      <c r="U740" s="29">
        <f>IF($J$1="May",Y739,Y739)</f>
        <v>0</v>
      </c>
      <c r="V740" s="18"/>
      <c r="W740" s="29">
        <f t="shared" si="170"/>
        <v>0</v>
      </c>
      <c r="X740" s="18"/>
      <c r="Y740" s="29">
        <f t="shared" si="171"/>
        <v>0</v>
      </c>
      <c r="Z740" s="20"/>
    </row>
    <row r="741" spans="1:27" s="5" customFormat="1" ht="18" customHeight="1" x14ac:dyDescent="0.2">
      <c r="A741" s="47"/>
      <c r="B741" s="62" t="s">
        <v>5</v>
      </c>
      <c r="C741" s="68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45"/>
      <c r="E741" s="45"/>
      <c r="F741" s="62" t="s">
        <v>40</v>
      </c>
      <c r="G741" s="63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60"/>
      <c r="I741" s="136" t="s">
        <v>44</v>
      </c>
      <c r="J741" s="137"/>
      <c r="K741" s="69">
        <f>K739+K740</f>
        <v>66400.862068965507</v>
      </c>
      <c r="L741" s="70"/>
      <c r="N741" s="15"/>
      <c r="O741" s="16" t="s">
        <v>25</v>
      </c>
      <c r="P741" s="16"/>
      <c r="Q741" s="16"/>
      <c r="R741" s="16" t="str">
        <f t="shared" si="169"/>
        <v/>
      </c>
      <c r="S741" s="7"/>
      <c r="T741" s="16" t="s">
        <v>25</v>
      </c>
      <c r="U741" s="29" t="str">
        <f>IF($J$1="July",Y740,"")</f>
        <v/>
      </c>
      <c r="V741" s="18"/>
      <c r="W741" s="29" t="str">
        <f t="shared" si="170"/>
        <v/>
      </c>
      <c r="X741" s="18"/>
      <c r="Y741" s="29" t="str">
        <f t="shared" si="171"/>
        <v/>
      </c>
      <c r="Z741" s="20"/>
    </row>
    <row r="742" spans="1:27" s="5" customFormat="1" ht="18" customHeight="1" x14ac:dyDescent="0.2">
      <c r="A742" s="47"/>
      <c r="B742" s="62" t="s">
        <v>4</v>
      </c>
      <c r="C742" s="68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45"/>
      <c r="E742" s="45"/>
      <c r="F742" s="62" t="s">
        <v>11</v>
      </c>
      <c r="G742" s="63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60"/>
      <c r="I742" s="136" t="s">
        <v>45</v>
      </c>
      <c r="J742" s="137"/>
      <c r="K742" s="63">
        <f>G742</f>
        <v>0</v>
      </c>
      <c r="L742" s="71"/>
      <c r="N742" s="15"/>
      <c r="O742" s="16" t="s">
        <v>26</v>
      </c>
      <c r="P742" s="16"/>
      <c r="Q742" s="16"/>
      <c r="R742" s="16" t="str">
        <f t="shared" si="169"/>
        <v/>
      </c>
      <c r="S742" s="7"/>
      <c r="T742" s="16" t="s">
        <v>26</v>
      </c>
      <c r="U742" s="29" t="str">
        <f>IF($J$1="August",Y741,"")</f>
        <v/>
      </c>
      <c r="V742" s="18"/>
      <c r="W742" s="29" t="str">
        <f t="shared" si="170"/>
        <v/>
      </c>
      <c r="X742" s="18"/>
      <c r="Y742" s="29" t="str">
        <f t="shared" si="171"/>
        <v/>
      </c>
      <c r="Z742" s="20"/>
    </row>
    <row r="743" spans="1:27" s="5" customFormat="1" ht="18" customHeight="1" x14ac:dyDescent="0.2">
      <c r="A743" s="47"/>
      <c r="B743" s="80" t="s">
        <v>43</v>
      </c>
      <c r="C743" s="68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45"/>
      <c r="E743" s="45"/>
      <c r="F743" s="62" t="s">
        <v>42</v>
      </c>
      <c r="G743" s="63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45"/>
      <c r="I743" s="141" t="s">
        <v>38</v>
      </c>
      <c r="J743" s="143"/>
      <c r="K743" s="41">
        <f>K741-K742</f>
        <v>66400.862068965507</v>
      </c>
      <c r="L743" s="72"/>
      <c r="N743" s="15"/>
      <c r="O743" s="16" t="s">
        <v>31</v>
      </c>
      <c r="P743" s="16"/>
      <c r="Q743" s="16"/>
      <c r="R743" s="16" t="str">
        <f t="shared" si="169"/>
        <v/>
      </c>
      <c r="S743" s="7"/>
      <c r="T743" s="16" t="s">
        <v>31</v>
      </c>
      <c r="U743" s="29" t="str">
        <f>IF($J$1="Sept",Y742,"")</f>
        <v/>
      </c>
      <c r="V743" s="18"/>
      <c r="W743" s="29" t="str">
        <f t="shared" si="170"/>
        <v/>
      </c>
      <c r="X743" s="18"/>
      <c r="Y743" s="29" t="str">
        <f t="shared" si="171"/>
        <v/>
      </c>
      <c r="Z743" s="20"/>
    </row>
    <row r="744" spans="1:27" s="5" customFormat="1" ht="18" customHeight="1" x14ac:dyDescent="0.2">
      <c r="A744" s="47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59"/>
      <c r="N744" s="15"/>
      <c r="O744" s="16" t="s">
        <v>27</v>
      </c>
      <c r="P744" s="16"/>
      <c r="Q744" s="16"/>
      <c r="R744" s="16" t="str">
        <f t="shared" si="169"/>
        <v/>
      </c>
      <c r="S744" s="7"/>
      <c r="T744" s="16" t="s">
        <v>27</v>
      </c>
      <c r="U744" s="29" t="str">
        <f>IF($J$1="October",Y743,"")</f>
        <v/>
      </c>
      <c r="V744" s="18"/>
      <c r="W744" s="29" t="str">
        <f t="shared" si="170"/>
        <v/>
      </c>
      <c r="X744" s="18"/>
      <c r="Y744" s="29" t="str">
        <f t="shared" si="171"/>
        <v/>
      </c>
      <c r="Z744" s="20"/>
    </row>
    <row r="745" spans="1:27" s="5" customFormat="1" ht="18" customHeight="1" x14ac:dyDescent="0.2">
      <c r="A745" s="47"/>
      <c r="B745" s="152" t="s">
        <v>57</v>
      </c>
      <c r="C745" s="152"/>
      <c r="D745" s="152"/>
      <c r="E745" s="152"/>
      <c r="F745" s="152"/>
      <c r="G745" s="152"/>
      <c r="H745" s="152"/>
      <c r="I745" s="152"/>
      <c r="J745" s="152"/>
      <c r="K745" s="152"/>
      <c r="L745" s="59"/>
      <c r="N745" s="15"/>
      <c r="O745" s="16" t="s">
        <v>32</v>
      </c>
      <c r="P745" s="16"/>
      <c r="Q745" s="16"/>
      <c r="R745" s="16" t="str">
        <f t="shared" si="169"/>
        <v/>
      </c>
      <c r="S745" s="7"/>
      <c r="T745" s="16" t="s">
        <v>32</v>
      </c>
      <c r="U745" s="29" t="str">
        <f>IF($J$1="November",Y744,"")</f>
        <v/>
      </c>
      <c r="V745" s="18"/>
      <c r="W745" s="29" t="str">
        <f t="shared" si="170"/>
        <v/>
      </c>
      <c r="X745" s="18"/>
      <c r="Y745" s="29" t="str">
        <f t="shared" si="171"/>
        <v/>
      </c>
      <c r="Z745" s="20"/>
    </row>
    <row r="746" spans="1:27" s="5" customFormat="1" ht="18" customHeight="1" x14ac:dyDescent="0.2">
      <c r="A746" s="47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59"/>
      <c r="N746" s="15"/>
      <c r="O746" s="16" t="s">
        <v>33</v>
      </c>
      <c r="P746" s="16"/>
      <c r="Q746" s="16"/>
      <c r="R746" s="16" t="str">
        <f t="shared" si="169"/>
        <v/>
      </c>
      <c r="S746" s="7"/>
      <c r="T746" s="16" t="s">
        <v>33</v>
      </c>
      <c r="U746" s="29" t="str">
        <f>IF($J$1="Dec",Y745,"")</f>
        <v/>
      </c>
      <c r="V746" s="18"/>
      <c r="W746" s="29" t="str">
        <f t="shared" si="170"/>
        <v/>
      </c>
      <c r="X746" s="18"/>
      <c r="Y746" s="29" t="str">
        <f t="shared" si="171"/>
        <v/>
      </c>
      <c r="Z746" s="20"/>
    </row>
    <row r="747" spans="1:27" s="5" customFormat="1" ht="18" customHeight="1" thickBot="1" x14ac:dyDescent="0.25">
      <c r="A747" s="73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75"/>
      <c r="N747" s="21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3"/>
    </row>
    <row r="748" spans="1:27" s="5" customFormat="1" ht="18" customHeight="1" thickBot="1" x14ac:dyDescent="0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7" s="5" customFormat="1" ht="18" customHeight="1" thickBot="1" x14ac:dyDescent="0.25">
      <c r="A749" s="138" t="s">
        <v>15</v>
      </c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40"/>
      <c r="M749" s="4"/>
      <c r="N749" s="8"/>
      <c r="O749" s="133" t="s">
        <v>17</v>
      </c>
      <c r="P749" s="134"/>
      <c r="Q749" s="134"/>
      <c r="R749" s="135"/>
      <c r="S749" s="9"/>
      <c r="T749" s="133" t="s">
        <v>18</v>
      </c>
      <c r="U749" s="134"/>
      <c r="V749" s="134"/>
      <c r="W749" s="134"/>
      <c r="X749" s="134"/>
      <c r="Y749" s="135"/>
      <c r="Z749" s="10"/>
      <c r="AA749" s="4"/>
    </row>
    <row r="750" spans="1:27" s="5" customFormat="1" ht="18" customHeight="1" x14ac:dyDescent="0.2">
      <c r="A750" s="47"/>
      <c r="B750" s="45"/>
      <c r="C750" s="147" t="s">
        <v>94</v>
      </c>
      <c r="D750" s="147"/>
      <c r="E750" s="147"/>
      <c r="F750" s="147"/>
      <c r="G750" s="48" t="str">
        <f>$J$1</f>
        <v>February</v>
      </c>
      <c r="H750" s="146">
        <f>$K$1</f>
        <v>2024</v>
      </c>
      <c r="I750" s="146"/>
      <c r="J750" s="45"/>
      <c r="K750" s="49"/>
      <c r="L750" s="50"/>
      <c r="M750" s="6"/>
      <c r="N750" s="11"/>
      <c r="O750" s="12" t="s">
        <v>28</v>
      </c>
      <c r="P750" s="12" t="s">
        <v>5</v>
      </c>
      <c r="Q750" s="12" t="s">
        <v>4</v>
      </c>
      <c r="R750" s="12" t="s">
        <v>29</v>
      </c>
      <c r="S750" s="13"/>
      <c r="T750" s="12" t="s">
        <v>28</v>
      </c>
      <c r="U750" s="12" t="s">
        <v>30</v>
      </c>
      <c r="V750" s="12" t="s">
        <v>10</v>
      </c>
      <c r="W750" s="12" t="s">
        <v>9</v>
      </c>
      <c r="X750" s="12" t="s">
        <v>11</v>
      </c>
      <c r="Y750" s="12" t="s">
        <v>34</v>
      </c>
      <c r="Z750" s="14"/>
      <c r="AA750" s="6"/>
    </row>
    <row r="751" spans="1:27" s="5" customFormat="1" ht="18" customHeight="1" x14ac:dyDescent="0.2">
      <c r="A751" s="47"/>
      <c r="B751" s="45"/>
      <c r="C751" s="45"/>
      <c r="D751" s="51"/>
      <c r="E751" s="51"/>
      <c r="F751" s="51"/>
      <c r="G751" s="51"/>
      <c r="H751" s="51"/>
      <c r="I751" s="45"/>
      <c r="J751" s="52" t="s">
        <v>1</v>
      </c>
      <c r="K751" s="53">
        <v>1600</v>
      </c>
      <c r="L751" s="54"/>
      <c r="N751" s="15"/>
      <c r="O751" s="16" t="s">
        <v>20</v>
      </c>
      <c r="P751" s="16">
        <v>16</v>
      </c>
      <c r="Q751" s="16">
        <v>15</v>
      </c>
      <c r="R751" s="16"/>
      <c r="S751" s="17"/>
      <c r="T751" s="16" t="s">
        <v>20</v>
      </c>
      <c r="U751" s="18"/>
      <c r="V751" s="18">
        <f>10000+5000</f>
        <v>15000</v>
      </c>
      <c r="W751" s="18">
        <f>V751+U751</f>
        <v>15000</v>
      </c>
      <c r="X751" s="18">
        <v>15000</v>
      </c>
      <c r="Y751" s="18">
        <f>W751-X751</f>
        <v>0</v>
      </c>
      <c r="Z751" s="14"/>
    </row>
    <row r="752" spans="1:27" s="5" customFormat="1" ht="18" customHeight="1" x14ac:dyDescent="0.2">
      <c r="A752" s="47"/>
      <c r="B752" s="45" t="s">
        <v>0</v>
      </c>
      <c r="C752" s="44" t="s">
        <v>99</v>
      </c>
      <c r="D752" s="45"/>
      <c r="E752" s="45"/>
      <c r="F752" s="45"/>
      <c r="G752" s="45"/>
      <c r="H752" s="55"/>
      <c r="I752" s="51"/>
      <c r="J752" s="45"/>
      <c r="K752" s="45"/>
      <c r="L752" s="56"/>
      <c r="M752" s="4"/>
      <c r="N752" s="19"/>
      <c r="O752" s="16" t="s">
        <v>46</v>
      </c>
      <c r="P752" s="16"/>
      <c r="Q752" s="16"/>
      <c r="R752" s="16"/>
      <c r="S752" s="7"/>
      <c r="T752" s="16" t="s">
        <v>46</v>
      </c>
      <c r="U752" s="29">
        <f>Y751</f>
        <v>0</v>
      </c>
      <c r="V752" s="18">
        <f>1000+2500+8000</f>
        <v>11500</v>
      </c>
      <c r="W752" s="29">
        <f>IF(U752="","",U752+V752)</f>
        <v>11500</v>
      </c>
      <c r="X752" s="18">
        <v>11500</v>
      </c>
      <c r="Y752" s="29">
        <f>IF(W752="","",W752-X752)</f>
        <v>0</v>
      </c>
      <c r="Z752" s="20"/>
      <c r="AA752" s="4"/>
    </row>
    <row r="753" spans="1:27" s="5" customFormat="1" ht="18" customHeight="1" x14ac:dyDescent="0.2">
      <c r="A753" s="47"/>
      <c r="B753" s="57" t="s">
        <v>16</v>
      </c>
      <c r="C753" s="58"/>
      <c r="D753" s="45"/>
      <c r="E753" s="45"/>
      <c r="F753" s="141" t="s">
        <v>18</v>
      </c>
      <c r="G753" s="143"/>
      <c r="H753" s="45"/>
      <c r="I753" s="141" t="s">
        <v>19</v>
      </c>
      <c r="J753" s="142"/>
      <c r="K753" s="143"/>
      <c r="L753" s="59"/>
      <c r="N753" s="15"/>
      <c r="O753" s="16" t="s">
        <v>21</v>
      </c>
      <c r="P753" s="16"/>
      <c r="Q753" s="16"/>
      <c r="R753" s="16"/>
      <c r="S753" s="7"/>
      <c r="T753" s="16" t="s">
        <v>21</v>
      </c>
      <c r="U753" s="29"/>
      <c r="V753" s="18"/>
      <c r="W753" s="29" t="str">
        <f t="shared" ref="W753:W762" si="172">IF(U753="","",U753+V753)</f>
        <v/>
      </c>
      <c r="X753" s="18"/>
      <c r="Y753" s="29" t="str">
        <f t="shared" ref="Y753:Y762" si="173">IF(W753="","",W753-X753)</f>
        <v/>
      </c>
      <c r="Z753" s="20"/>
    </row>
    <row r="754" spans="1:27" s="5" customFormat="1" ht="18" customHeight="1" x14ac:dyDescent="0.2">
      <c r="A754" s="47"/>
      <c r="B754" s="45"/>
      <c r="C754" s="45"/>
      <c r="D754" s="45"/>
      <c r="E754" s="45"/>
      <c r="F754" s="45"/>
      <c r="G754" s="45"/>
      <c r="H754" s="60"/>
      <c r="I754" s="45"/>
      <c r="J754" s="45"/>
      <c r="K754" s="45"/>
      <c r="L754" s="61"/>
      <c r="N754" s="15"/>
      <c r="O754" s="16" t="s">
        <v>22</v>
      </c>
      <c r="P754" s="16"/>
      <c r="Q754" s="16"/>
      <c r="R754" s="16"/>
      <c r="S754" s="7"/>
      <c r="T754" s="16" t="s">
        <v>22</v>
      </c>
      <c r="U754" s="29"/>
      <c r="V754" s="18"/>
      <c r="W754" s="29" t="str">
        <f t="shared" si="172"/>
        <v/>
      </c>
      <c r="X754" s="18"/>
      <c r="Y754" s="29" t="str">
        <f t="shared" si="173"/>
        <v/>
      </c>
      <c r="Z754" s="20"/>
    </row>
    <row r="755" spans="1:27" s="5" customFormat="1" ht="18" customHeight="1" x14ac:dyDescent="0.2">
      <c r="A755" s="47"/>
      <c r="B755" s="144" t="s">
        <v>17</v>
      </c>
      <c r="C755" s="145"/>
      <c r="D755" s="45"/>
      <c r="E755" s="45"/>
      <c r="F755" s="62" t="s">
        <v>39</v>
      </c>
      <c r="G755" s="63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60"/>
      <c r="I755" s="64">
        <f>18+5</f>
        <v>23</v>
      </c>
      <c r="J755" s="65" t="s">
        <v>36</v>
      </c>
      <c r="K755" s="66">
        <f>K751*I755</f>
        <v>36800</v>
      </c>
      <c r="L755" s="67"/>
      <c r="N755" s="15"/>
      <c r="O755" s="16" t="s">
        <v>23</v>
      </c>
      <c r="P755" s="16"/>
      <c r="Q755" s="16"/>
      <c r="R755" s="16"/>
      <c r="S755" s="7"/>
      <c r="T755" s="16" t="s">
        <v>23</v>
      </c>
      <c r="U755" s="29"/>
      <c r="V755" s="18"/>
      <c r="W755" s="29" t="str">
        <f t="shared" si="172"/>
        <v/>
      </c>
      <c r="X755" s="18"/>
      <c r="Y755" s="29" t="str">
        <f t="shared" si="173"/>
        <v/>
      </c>
      <c r="Z755" s="20"/>
    </row>
    <row r="756" spans="1:27" s="5" customFormat="1" ht="18" customHeight="1" x14ac:dyDescent="0.2">
      <c r="A756" s="47"/>
      <c r="B756" s="68"/>
      <c r="C756" s="68"/>
      <c r="D756" s="45"/>
      <c r="E756" s="45"/>
      <c r="F756" s="62" t="s">
        <v>10</v>
      </c>
      <c r="G756" s="63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60"/>
      <c r="I756" s="64">
        <v>45</v>
      </c>
      <c r="J756" s="65" t="s">
        <v>37</v>
      </c>
      <c r="K756" s="69">
        <f>K751/8*I756</f>
        <v>9000</v>
      </c>
      <c r="L756" s="70"/>
      <c r="N756" s="15"/>
      <c r="O756" s="16" t="s">
        <v>24</v>
      </c>
      <c r="P756" s="16"/>
      <c r="Q756" s="16"/>
      <c r="R756" s="16"/>
      <c r="S756" s="7"/>
      <c r="T756" s="16" t="s">
        <v>24</v>
      </c>
      <c r="U756" s="29"/>
      <c r="V756" s="18"/>
      <c r="W756" s="29" t="str">
        <f t="shared" si="172"/>
        <v/>
      </c>
      <c r="X756" s="18"/>
      <c r="Y756" s="29" t="str">
        <f t="shared" si="173"/>
        <v/>
      </c>
      <c r="Z756" s="20"/>
    </row>
    <row r="757" spans="1:27" s="5" customFormat="1" ht="18" customHeight="1" x14ac:dyDescent="0.2">
      <c r="A757" s="47"/>
      <c r="B757" s="62" t="s">
        <v>5</v>
      </c>
      <c r="C757" s="68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45"/>
      <c r="E757" s="45"/>
      <c r="F757" s="62" t="s">
        <v>40</v>
      </c>
      <c r="G757" s="63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60"/>
      <c r="I757" s="136" t="s">
        <v>44</v>
      </c>
      <c r="J757" s="137"/>
      <c r="K757" s="69">
        <f>K755+K756</f>
        <v>45800</v>
      </c>
      <c r="L757" s="70"/>
      <c r="N757" s="15"/>
      <c r="O757" s="16" t="s">
        <v>25</v>
      </c>
      <c r="P757" s="16"/>
      <c r="Q757" s="16"/>
      <c r="R757" s="16" t="str">
        <f t="shared" ref="R757:R762" si="174">IF(Q757="","",R756-Q757)</f>
        <v/>
      </c>
      <c r="S757" s="7"/>
      <c r="T757" s="16" t="s">
        <v>25</v>
      </c>
      <c r="U757" s="29"/>
      <c r="V757" s="18"/>
      <c r="W757" s="29" t="str">
        <f t="shared" si="172"/>
        <v/>
      </c>
      <c r="X757" s="18"/>
      <c r="Y757" s="29" t="str">
        <f t="shared" si="173"/>
        <v/>
      </c>
      <c r="Z757" s="20"/>
    </row>
    <row r="758" spans="1:27" s="5" customFormat="1" ht="18" customHeight="1" x14ac:dyDescent="0.2">
      <c r="A758" s="47"/>
      <c r="B758" s="62" t="s">
        <v>4</v>
      </c>
      <c r="C758" s="68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45"/>
      <c r="E758" s="45"/>
      <c r="F758" s="62" t="s">
        <v>11</v>
      </c>
      <c r="G758" s="63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60"/>
      <c r="I758" s="136" t="s">
        <v>45</v>
      </c>
      <c r="J758" s="137"/>
      <c r="K758" s="63">
        <f>G758</f>
        <v>11500</v>
      </c>
      <c r="L758" s="71"/>
      <c r="N758" s="15"/>
      <c r="O758" s="16" t="s">
        <v>26</v>
      </c>
      <c r="P758" s="16"/>
      <c r="Q758" s="16"/>
      <c r="R758" s="16">
        <v>0</v>
      </c>
      <c r="S758" s="7"/>
      <c r="T758" s="16" t="s">
        <v>26</v>
      </c>
      <c r="U758" s="29"/>
      <c r="V758" s="18"/>
      <c r="W758" s="29" t="str">
        <f t="shared" si="172"/>
        <v/>
      </c>
      <c r="X758" s="18"/>
      <c r="Y758" s="29" t="str">
        <f t="shared" si="173"/>
        <v/>
      </c>
      <c r="Z758" s="20"/>
    </row>
    <row r="759" spans="1:27" s="5" customFormat="1" ht="18" customHeight="1" x14ac:dyDescent="0.2">
      <c r="A759" s="47"/>
      <c r="B759" s="77" t="s">
        <v>43</v>
      </c>
      <c r="C759" s="68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45"/>
      <c r="E759" s="45"/>
      <c r="F759" s="77" t="s">
        <v>86</v>
      </c>
      <c r="G759" s="63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45"/>
      <c r="I759" s="141" t="s">
        <v>38</v>
      </c>
      <c r="J759" s="143"/>
      <c r="K759" s="41">
        <f>K757-K758</f>
        <v>34300</v>
      </c>
      <c r="L759" s="72"/>
      <c r="N759" s="15"/>
      <c r="O759" s="16" t="s">
        <v>31</v>
      </c>
      <c r="P759" s="16"/>
      <c r="Q759" s="16"/>
      <c r="R759" s="16">
        <v>0</v>
      </c>
      <c r="S759" s="7"/>
      <c r="T759" s="16" t="s">
        <v>31</v>
      </c>
      <c r="U759" s="29" t="str">
        <f>IF($J$1="September",Y758,"")</f>
        <v/>
      </c>
      <c r="V759" s="18"/>
      <c r="W759" s="29" t="str">
        <f t="shared" si="172"/>
        <v/>
      </c>
      <c r="X759" s="18"/>
      <c r="Y759" s="29" t="str">
        <f t="shared" si="173"/>
        <v/>
      </c>
      <c r="Z759" s="20"/>
    </row>
    <row r="760" spans="1:27" s="5" customFormat="1" ht="18" customHeight="1" x14ac:dyDescent="0.2">
      <c r="A760" s="47"/>
      <c r="B760" s="45"/>
      <c r="C760" s="45"/>
      <c r="D760" s="45"/>
      <c r="E760" s="45"/>
      <c r="F760" s="45"/>
      <c r="L760" s="59"/>
      <c r="N760" s="15"/>
      <c r="O760" s="16" t="s">
        <v>27</v>
      </c>
      <c r="P760" s="16"/>
      <c r="Q760" s="16"/>
      <c r="R760" s="16">
        <v>0</v>
      </c>
      <c r="S760" s="7"/>
      <c r="T760" s="16" t="s">
        <v>27</v>
      </c>
      <c r="U760" s="29" t="str">
        <f>IF($J$1="October",Y759,"")</f>
        <v/>
      </c>
      <c r="V760" s="18"/>
      <c r="W760" s="29" t="str">
        <f t="shared" si="172"/>
        <v/>
      </c>
      <c r="X760" s="18"/>
      <c r="Y760" s="29" t="str">
        <f t="shared" si="173"/>
        <v/>
      </c>
      <c r="Z760" s="20"/>
    </row>
    <row r="761" spans="1:27" s="5" customFormat="1" ht="18" customHeight="1" x14ac:dyDescent="0.3">
      <c r="A761" s="47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59"/>
      <c r="N761" s="15"/>
      <c r="O761" s="16" t="s">
        <v>32</v>
      </c>
      <c r="P761" s="16"/>
      <c r="Q761" s="16"/>
      <c r="R761" s="16">
        <v>0</v>
      </c>
      <c r="S761" s="7"/>
      <c r="T761" s="16" t="s">
        <v>32</v>
      </c>
      <c r="U761" s="29" t="str">
        <f>IF($J$1="October","",Y760)</f>
        <v/>
      </c>
      <c r="V761" s="18"/>
      <c r="W761" s="29" t="str">
        <f t="shared" si="172"/>
        <v/>
      </c>
      <c r="X761" s="18"/>
      <c r="Y761" s="29" t="str">
        <f t="shared" si="173"/>
        <v/>
      </c>
      <c r="Z761" s="20"/>
    </row>
    <row r="762" spans="1:27" s="5" customFormat="1" ht="18" customHeight="1" thickBot="1" x14ac:dyDescent="0.35">
      <c r="A762" s="73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5"/>
      <c r="N762" s="15"/>
      <c r="O762" s="16" t="s">
        <v>33</v>
      </c>
      <c r="P762" s="16"/>
      <c r="Q762" s="16"/>
      <c r="R762" s="16" t="str">
        <f t="shared" si="174"/>
        <v/>
      </c>
      <c r="S762" s="7"/>
      <c r="T762" s="16" t="s">
        <v>33</v>
      </c>
      <c r="U762" s="29" t="str">
        <f>IF($J$1="November","",Y761)</f>
        <v/>
      </c>
      <c r="V762" s="18"/>
      <c r="W762" s="29" t="str">
        <f t="shared" si="172"/>
        <v/>
      </c>
      <c r="X762" s="18"/>
      <c r="Y762" s="29" t="str">
        <f t="shared" si="173"/>
        <v/>
      </c>
      <c r="Z762" s="20"/>
    </row>
    <row r="763" spans="1:27" s="27" customFormat="1" ht="18" customHeight="1" thickBot="1" x14ac:dyDescent="0.25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7" s="5" customFormat="1" ht="18" customHeight="1" x14ac:dyDescent="0.2">
      <c r="A764" s="162" t="s">
        <v>15</v>
      </c>
      <c r="B764" s="163"/>
      <c r="C764" s="163"/>
      <c r="D764" s="163"/>
      <c r="E764" s="163"/>
      <c r="F764" s="163"/>
      <c r="G764" s="163"/>
      <c r="H764" s="163"/>
      <c r="I764" s="163"/>
      <c r="J764" s="163"/>
      <c r="K764" s="163"/>
      <c r="L764" s="164"/>
      <c r="M764" s="4"/>
      <c r="N764" s="8"/>
      <c r="O764" s="133" t="s">
        <v>17</v>
      </c>
      <c r="P764" s="134"/>
      <c r="Q764" s="134"/>
      <c r="R764" s="135"/>
      <c r="S764" s="9"/>
      <c r="T764" s="133" t="s">
        <v>18</v>
      </c>
      <c r="U764" s="134"/>
      <c r="V764" s="134"/>
      <c r="W764" s="134"/>
      <c r="X764" s="134"/>
      <c r="Y764" s="135"/>
      <c r="Z764" s="10"/>
      <c r="AA764" s="4"/>
    </row>
    <row r="765" spans="1:27" s="5" customFormat="1" ht="18" customHeight="1" x14ac:dyDescent="0.2">
      <c r="A765" s="47"/>
      <c r="B765" s="45"/>
      <c r="C765" s="147" t="s">
        <v>94</v>
      </c>
      <c r="D765" s="147"/>
      <c r="E765" s="147"/>
      <c r="F765" s="147"/>
      <c r="G765" s="48" t="str">
        <f>$J$1</f>
        <v>February</v>
      </c>
      <c r="H765" s="146">
        <f>$K$1</f>
        <v>2024</v>
      </c>
      <c r="I765" s="146"/>
      <c r="J765" s="45"/>
      <c r="K765" s="49"/>
      <c r="L765" s="50"/>
      <c r="M765" s="6"/>
      <c r="N765" s="11"/>
      <c r="O765" s="12" t="s">
        <v>28</v>
      </c>
      <c r="P765" s="12" t="s">
        <v>5</v>
      </c>
      <c r="Q765" s="12" t="s">
        <v>4</v>
      </c>
      <c r="R765" s="12" t="s">
        <v>29</v>
      </c>
      <c r="S765" s="13"/>
      <c r="T765" s="12" t="s">
        <v>28</v>
      </c>
      <c r="U765" s="12" t="s">
        <v>30</v>
      </c>
      <c r="V765" s="12" t="s">
        <v>10</v>
      </c>
      <c r="W765" s="12" t="s">
        <v>9</v>
      </c>
      <c r="X765" s="12" t="s">
        <v>11</v>
      </c>
      <c r="Y765" s="12" t="s">
        <v>34</v>
      </c>
      <c r="Z765" s="14"/>
      <c r="AA765" s="6"/>
    </row>
    <row r="766" spans="1:27" s="5" customFormat="1" ht="18" customHeight="1" x14ac:dyDescent="0.2">
      <c r="A766" s="47"/>
      <c r="B766" s="45"/>
      <c r="C766" s="45"/>
      <c r="D766" s="51"/>
      <c r="E766" s="51"/>
      <c r="F766" s="51"/>
      <c r="G766" s="51"/>
      <c r="H766" s="51"/>
      <c r="I766" s="45"/>
      <c r="J766" s="52" t="s">
        <v>1</v>
      </c>
      <c r="K766" s="53">
        <v>32000</v>
      </c>
      <c r="L766" s="54"/>
      <c r="N766" s="15"/>
      <c r="O766" s="16" t="s">
        <v>20</v>
      </c>
      <c r="P766" s="16">
        <v>27</v>
      </c>
      <c r="Q766" s="16">
        <v>4</v>
      </c>
      <c r="R766" s="16">
        <v>0</v>
      </c>
      <c r="S766" s="17"/>
      <c r="T766" s="16" t="s">
        <v>20</v>
      </c>
      <c r="U766" s="18"/>
      <c r="V766" s="18"/>
      <c r="W766" s="18">
        <f>V766+U766</f>
        <v>0</v>
      </c>
      <c r="X766" s="18"/>
      <c r="Y766" s="18">
        <f>W766-X766</f>
        <v>0</v>
      </c>
      <c r="Z766" s="14"/>
    </row>
    <row r="767" spans="1:27" s="5" customFormat="1" ht="18" customHeight="1" x14ac:dyDescent="0.2">
      <c r="A767" s="47"/>
      <c r="B767" s="45" t="s">
        <v>0</v>
      </c>
      <c r="C767" s="44" t="s">
        <v>78</v>
      </c>
      <c r="D767" s="45"/>
      <c r="E767" s="45"/>
      <c r="F767" s="45"/>
      <c r="G767" s="45"/>
      <c r="H767" s="55"/>
      <c r="I767" s="51"/>
      <c r="J767" s="45"/>
      <c r="K767" s="45"/>
      <c r="L767" s="56"/>
      <c r="M767" s="4"/>
      <c r="N767" s="19"/>
      <c r="O767" s="16" t="s">
        <v>46</v>
      </c>
      <c r="P767" s="16">
        <v>28</v>
      </c>
      <c r="Q767" s="16">
        <v>1</v>
      </c>
      <c r="R767" s="16">
        <v>0</v>
      </c>
      <c r="S767" s="7"/>
      <c r="T767" s="16" t="s">
        <v>46</v>
      </c>
      <c r="U767" s="29"/>
      <c r="V767" s="18"/>
      <c r="W767" s="29" t="str">
        <f>IF(U767="","",U767+V767)</f>
        <v/>
      </c>
      <c r="X767" s="18"/>
      <c r="Y767" s="29" t="str">
        <f>IF(W767="","",W767-X767)</f>
        <v/>
      </c>
      <c r="Z767" s="20"/>
      <c r="AA767" s="4"/>
    </row>
    <row r="768" spans="1:27" s="5" customFormat="1" ht="18" customHeight="1" x14ac:dyDescent="0.2">
      <c r="A768" s="47"/>
      <c r="B768" s="57" t="s">
        <v>16</v>
      </c>
      <c r="C768" s="58"/>
      <c r="D768" s="45"/>
      <c r="E768" s="45"/>
      <c r="F768" s="148" t="s">
        <v>18</v>
      </c>
      <c r="G768" s="148"/>
      <c r="H768" s="45"/>
      <c r="I768" s="148" t="s">
        <v>19</v>
      </c>
      <c r="J768" s="148"/>
      <c r="K768" s="148"/>
      <c r="L768" s="59"/>
      <c r="N768" s="15"/>
      <c r="O768" s="16" t="s">
        <v>21</v>
      </c>
      <c r="P768" s="16"/>
      <c r="Q768" s="16"/>
      <c r="R768" s="16" t="str">
        <f t="shared" ref="R768:R777" si="175">IF(Q768="","",R767-Q768)</f>
        <v/>
      </c>
      <c r="S768" s="7"/>
      <c r="T768" s="16" t="s">
        <v>21</v>
      </c>
      <c r="U768" s="29"/>
      <c r="V768" s="18"/>
      <c r="W768" s="29" t="str">
        <f t="shared" ref="W768:W777" si="176">IF(U768="","",U768+V768)</f>
        <v/>
      </c>
      <c r="X768" s="18"/>
      <c r="Y768" s="29" t="str">
        <f t="shared" ref="Y768:Y777" si="177">IF(W768="","",W768-X768)</f>
        <v/>
      </c>
      <c r="Z768" s="20"/>
    </row>
    <row r="769" spans="1:27" s="5" customFormat="1" ht="18" customHeight="1" x14ac:dyDescent="0.2">
      <c r="A769" s="47"/>
      <c r="B769" s="45"/>
      <c r="C769" s="45"/>
      <c r="D769" s="45"/>
      <c r="E769" s="45"/>
      <c r="F769" s="45"/>
      <c r="G769" s="45"/>
      <c r="H769" s="60"/>
      <c r="I769" s="45"/>
      <c r="J769" s="45"/>
      <c r="K769" s="45"/>
      <c r="L769" s="61"/>
      <c r="N769" s="15"/>
      <c r="O769" s="16" t="s">
        <v>22</v>
      </c>
      <c r="P769" s="16"/>
      <c r="Q769" s="16"/>
      <c r="R769" s="16" t="str">
        <f t="shared" si="175"/>
        <v/>
      </c>
      <c r="S769" s="7"/>
      <c r="T769" s="16" t="s">
        <v>22</v>
      </c>
      <c r="U769" s="29"/>
      <c r="V769" s="18"/>
      <c r="W769" s="29" t="str">
        <f t="shared" si="176"/>
        <v/>
      </c>
      <c r="X769" s="18"/>
      <c r="Y769" s="29" t="str">
        <f t="shared" si="177"/>
        <v/>
      </c>
      <c r="Z769" s="20"/>
    </row>
    <row r="770" spans="1:27" s="5" customFormat="1" ht="18" customHeight="1" x14ac:dyDescent="0.2">
      <c r="A770" s="47"/>
      <c r="B770" s="144" t="s">
        <v>17</v>
      </c>
      <c r="C770" s="145"/>
      <c r="D770" s="45"/>
      <c r="E770" s="45"/>
      <c r="F770" s="62" t="s">
        <v>39</v>
      </c>
      <c r="G770" s="63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60"/>
      <c r="I770" s="64">
        <f>IF(C774&gt;0,$K$2,C772)</f>
        <v>28</v>
      </c>
      <c r="J770" s="65" t="s">
        <v>36</v>
      </c>
      <c r="K770" s="66">
        <f>K766/$K$2*I770</f>
        <v>30896.551724137935</v>
      </c>
      <c r="L770" s="67"/>
      <c r="N770" s="15"/>
      <c r="O770" s="16" t="s">
        <v>23</v>
      </c>
      <c r="P770" s="16"/>
      <c r="Q770" s="16"/>
      <c r="R770" s="16" t="str">
        <f t="shared" si="175"/>
        <v/>
      </c>
      <c r="S770" s="7"/>
      <c r="T770" s="16" t="s">
        <v>23</v>
      </c>
      <c r="U770" s="29"/>
      <c r="V770" s="18"/>
      <c r="W770" s="29" t="str">
        <f t="shared" si="176"/>
        <v/>
      </c>
      <c r="X770" s="18"/>
      <c r="Y770" s="29" t="str">
        <f t="shared" si="177"/>
        <v/>
      </c>
      <c r="Z770" s="20"/>
    </row>
    <row r="771" spans="1:27" s="5" customFormat="1" ht="18" customHeight="1" x14ac:dyDescent="0.2">
      <c r="A771" s="47"/>
      <c r="B771" s="68"/>
      <c r="C771" s="68"/>
      <c r="D771" s="45"/>
      <c r="E771" s="45"/>
      <c r="F771" s="62" t="s">
        <v>10</v>
      </c>
      <c r="G771" s="63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60"/>
      <c r="I771" s="64">
        <v>78</v>
      </c>
      <c r="J771" s="65" t="s">
        <v>37</v>
      </c>
      <c r="K771" s="69">
        <f>K766/$K$2/8*I771</f>
        <v>10758.620689655174</v>
      </c>
      <c r="L771" s="70"/>
      <c r="N771" s="15"/>
      <c r="O771" s="16" t="s">
        <v>24</v>
      </c>
      <c r="P771" s="16"/>
      <c r="Q771" s="16"/>
      <c r="R771" s="16" t="str">
        <f t="shared" si="175"/>
        <v/>
      </c>
      <c r="S771" s="7"/>
      <c r="T771" s="16" t="s">
        <v>24</v>
      </c>
      <c r="U771" s="29"/>
      <c r="V771" s="18"/>
      <c r="W771" s="29" t="str">
        <f t="shared" si="176"/>
        <v/>
      </c>
      <c r="X771" s="18"/>
      <c r="Y771" s="29" t="str">
        <f t="shared" si="177"/>
        <v/>
      </c>
      <c r="Z771" s="20"/>
    </row>
    <row r="772" spans="1:27" s="5" customFormat="1" ht="18" customHeight="1" x14ac:dyDescent="0.2">
      <c r="A772" s="47"/>
      <c r="B772" s="62" t="s">
        <v>5</v>
      </c>
      <c r="C772" s="68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45"/>
      <c r="E772" s="45"/>
      <c r="F772" s="62" t="s">
        <v>40</v>
      </c>
      <c r="G772" s="63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60"/>
      <c r="I772" s="136" t="s">
        <v>44</v>
      </c>
      <c r="J772" s="137"/>
      <c r="K772" s="69">
        <f>K770+K771</f>
        <v>41655.172413793109</v>
      </c>
      <c r="L772" s="70"/>
      <c r="N772" s="15"/>
      <c r="O772" s="16" t="s">
        <v>25</v>
      </c>
      <c r="P772" s="16"/>
      <c r="Q772" s="16"/>
      <c r="R772" s="16" t="str">
        <f t="shared" si="175"/>
        <v/>
      </c>
      <c r="S772" s="7"/>
      <c r="T772" s="16" t="s">
        <v>25</v>
      </c>
      <c r="U772" s="29"/>
      <c r="V772" s="18"/>
      <c r="W772" s="29" t="str">
        <f t="shared" si="176"/>
        <v/>
      </c>
      <c r="X772" s="18"/>
      <c r="Y772" s="29" t="str">
        <f t="shared" si="177"/>
        <v/>
      </c>
      <c r="Z772" s="20"/>
    </row>
    <row r="773" spans="1:27" s="5" customFormat="1" ht="18" customHeight="1" x14ac:dyDescent="0.2">
      <c r="A773" s="47"/>
      <c r="B773" s="62" t="s">
        <v>4</v>
      </c>
      <c r="C773" s="68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45"/>
      <c r="E773" s="45"/>
      <c r="F773" s="62" t="s">
        <v>11</v>
      </c>
      <c r="G773" s="63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60"/>
      <c r="I773" s="136" t="s">
        <v>45</v>
      </c>
      <c r="J773" s="137"/>
      <c r="K773" s="63">
        <f>G773</f>
        <v>0</v>
      </c>
      <c r="L773" s="71"/>
      <c r="N773" s="15"/>
      <c r="O773" s="16" t="s">
        <v>26</v>
      </c>
      <c r="P773" s="16"/>
      <c r="Q773" s="16"/>
      <c r="R773" s="16" t="str">
        <f t="shared" si="175"/>
        <v/>
      </c>
      <c r="S773" s="7"/>
      <c r="T773" s="16" t="s">
        <v>26</v>
      </c>
      <c r="U773" s="29"/>
      <c r="V773" s="18"/>
      <c r="W773" s="29" t="str">
        <f t="shared" si="176"/>
        <v/>
      </c>
      <c r="X773" s="18"/>
      <c r="Y773" s="29" t="str">
        <f t="shared" si="177"/>
        <v/>
      </c>
      <c r="Z773" s="20"/>
    </row>
    <row r="774" spans="1:27" s="5" customFormat="1" ht="18" customHeight="1" x14ac:dyDescent="0.2">
      <c r="A774" s="47"/>
      <c r="B774" s="80" t="s">
        <v>43</v>
      </c>
      <c r="C774" s="68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45"/>
      <c r="E774" s="45"/>
      <c r="F774" s="62" t="s">
        <v>42</v>
      </c>
      <c r="G774" s="63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45"/>
      <c r="I774" s="141" t="s">
        <v>38</v>
      </c>
      <c r="J774" s="143"/>
      <c r="K774" s="41">
        <f>K772-K773</f>
        <v>41655.172413793109</v>
      </c>
      <c r="L774" s="72"/>
      <c r="N774" s="15"/>
      <c r="O774" s="16" t="s">
        <v>31</v>
      </c>
      <c r="P774" s="16"/>
      <c r="Q774" s="16"/>
      <c r="R774" s="16" t="str">
        <f t="shared" si="175"/>
        <v/>
      </c>
      <c r="S774" s="7"/>
      <c r="T774" s="16" t="s">
        <v>31</v>
      </c>
      <c r="U774" s="29"/>
      <c r="V774" s="18"/>
      <c r="W774" s="29" t="str">
        <f t="shared" si="176"/>
        <v/>
      </c>
      <c r="X774" s="18"/>
      <c r="Y774" s="29" t="str">
        <f t="shared" si="177"/>
        <v/>
      </c>
      <c r="Z774" s="20"/>
    </row>
    <row r="775" spans="1:27" s="5" customFormat="1" ht="18" customHeight="1" x14ac:dyDescent="0.2">
      <c r="A775" s="47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59"/>
      <c r="N775" s="15"/>
      <c r="O775" s="16" t="s">
        <v>27</v>
      </c>
      <c r="P775" s="16"/>
      <c r="Q775" s="16"/>
      <c r="R775" s="16" t="str">
        <f t="shared" si="175"/>
        <v/>
      </c>
      <c r="S775" s="7"/>
      <c r="T775" s="16" t="s">
        <v>27</v>
      </c>
      <c r="U775" s="29"/>
      <c r="V775" s="18"/>
      <c r="W775" s="29" t="str">
        <f t="shared" si="176"/>
        <v/>
      </c>
      <c r="X775" s="18"/>
      <c r="Y775" s="29" t="str">
        <f t="shared" si="177"/>
        <v/>
      </c>
      <c r="Z775" s="20"/>
    </row>
    <row r="776" spans="1:27" s="5" customFormat="1" ht="18" customHeight="1" x14ac:dyDescent="0.2">
      <c r="A776" s="47"/>
      <c r="B776" s="152" t="s">
        <v>57</v>
      </c>
      <c r="C776" s="152"/>
      <c r="D776" s="152"/>
      <c r="E776" s="152"/>
      <c r="F776" s="152"/>
      <c r="G776" s="152"/>
      <c r="H776" s="152"/>
      <c r="I776" s="152"/>
      <c r="J776" s="152"/>
      <c r="K776" s="152"/>
      <c r="L776" s="59"/>
      <c r="N776" s="15"/>
      <c r="O776" s="16" t="s">
        <v>32</v>
      </c>
      <c r="P776" s="16"/>
      <c r="Q776" s="16"/>
      <c r="R776" s="16" t="str">
        <f t="shared" si="175"/>
        <v/>
      </c>
      <c r="S776" s="7"/>
      <c r="T776" s="16" t="s">
        <v>32</v>
      </c>
      <c r="U776" s="29"/>
      <c r="V776" s="18"/>
      <c r="W776" s="29" t="str">
        <f t="shared" si="176"/>
        <v/>
      </c>
      <c r="X776" s="18"/>
      <c r="Y776" s="29" t="str">
        <f t="shared" si="177"/>
        <v/>
      </c>
      <c r="Z776" s="20"/>
    </row>
    <row r="777" spans="1:27" s="5" customFormat="1" ht="18" customHeight="1" x14ac:dyDescent="0.2">
      <c r="A777" s="47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59"/>
      <c r="N777" s="15"/>
      <c r="O777" s="16" t="s">
        <v>33</v>
      </c>
      <c r="P777" s="16"/>
      <c r="Q777" s="16"/>
      <c r="R777" s="16" t="str">
        <f t="shared" si="175"/>
        <v/>
      </c>
      <c r="S777" s="7"/>
      <c r="T777" s="16" t="s">
        <v>33</v>
      </c>
      <c r="U777" s="29"/>
      <c r="V777" s="18"/>
      <c r="W777" s="29" t="str">
        <f t="shared" si="176"/>
        <v/>
      </c>
      <c r="X777" s="18"/>
      <c r="Y777" s="29" t="str">
        <f t="shared" si="177"/>
        <v/>
      </c>
      <c r="Z777" s="20"/>
    </row>
    <row r="778" spans="1:27" s="5" customFormat="1" ht="18" customHeight="1" thickBot="1" x14ac:dyDescent="0.25">
      <c r="A778" s="73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75"/>
      <c r="N778" s="21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3"/>
    </row>
    <row r="779" spans="1:27" s="5" customFormat="1" ht="18" customHeight="1" thickBot="1" x14ac:dyDescent="0.25">
      <c r="A779" s="138" t="s">
        <v>15</v>
      </c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40"/>
      <c r="M779" s="4"/>
      <c r="N779" s="8"/>
      <c r="O779" s="133" t="s">
        <v>17</v>
      </c>
      <c r="P779" s="134"/>
      <c r="Q779" s="134"/>
      <c r="R779" s="135"/>
      <c r="S779" s="9"/>
      <c r="T779" s="133" t="s">
        <v>18</v>
      </c>
      <c r="U779" s="134"/>
      <c r="V779" s="134"/>
      <c r="W779" s="134"/>
      <c r="X779" s="134"/>
      <c r="Y779" s="135"/>
      <c r="Z779" s="10"/>
      <c r="AA779" s="4"/>
    </row>
    <row r="780" spans="1:27" s="5" customFormat="1" ht="18" customHeight="1" x14ac:dyDescent="0.2">
      <c r="A780" s="47"/>
      <c r="B780" s="45"/>
      <c r="C780" s="147" t="s">
        <v>94</v>
      </c>
      <c r="D780" s="147"/>
      <c r="E780" s="147"/>
      <c r="F780" s="147"/>
      <c r="G780" s="48" t="str">
        <f>$J$1</f>
        <v>February</v>
      </c>
      <c r="H780" s="146">
        <f>$K$1</f>
        <v>2024</v>
      </c>
      <c r="I780" s="146"/>
      <c r="J780" s="45"/>
      <c r="K780" s="49"/>
      <c r="L780" s="50"/>
      <c r="M780" s="6"/>
      <c r="N780" s="11"/>
      <c r="O780" s="12" t="s">
        <v>28</v>
      </c>
      <c r="P780" s="12" t="s">
        <v>5</v>
      </c>
      <c r="Q780" s="12" t="s">
        <v>4</v>
      </c>
      <c r="R780" s="12" t="s">
        <v>29</v>
      </c>
      <c r="S780" s="13"/>
      <c r="T780" s="12" t="s">
        <v>28</v>
      </c>
      <c r="U780" s="12" t="s">
        <v>30</v>
      </c>
      <c r="V780" s="12" t="s">
        <v>10</v>
      </c>
      <c r="W780" s="12" t="s">
        <v>9</v>
      </c>
      <c r="X780" s="12" t="s">
        <v>11</v>
      </c>
      <c r="Y780" s="12" t="s">
        <v>34</v>
      </c>
      <c r="Z780" s="14"/>
      <c r="AA780" s="6"/>
    </row>
    <row r="781" spans="1:27" s="5" customFormat="1" ht="18" customHeight="1" x14ac:dyDescent="0.2">
      <c r="A781" s="47"/>
      <c r="B781" s="45"/>
      <c r="C781" s="45"/>
      <c r="D781" s="51"/>
      <c r="E781" s="51"/>
      <c r="F781" s="51"/>
      <c r="G781" s="51"/>
      <c r="H781" s="51"/>
      <c r="I781" s="45"/>
      <c r="J781" s="52" t="s">
        <v>1</v>
      </c>
      <c r="K781" s="53">
        <v>60000</v>
      </c>
      <c r="L781" s="54"/>
      <c r="N781" s="15"/>
      <c r="O781" s="16" t="s">
        <v>20</v>
      </c>
      <c r="P781" s="16">
        <v>27</v>
      </c>
      <c r="Q781" s="16">
        <v>4</v>
      </c>
      <c r="R781" s="16">
        <v>0</v>
      </c>
      <c r="S781" s="17"/>
      <c r="T781" s="16" t="s">
        <v>20</v>
      </c>
      <c r="U781" s="18"/>
      <c r="V781" s="18">
        <f>7000+7000</f>
        <v>14000</v>
      </c>
      <c r="W781" s="18">
        <f>V781+U781</f>
        <v>14000</v>
      </c>
      <c r="X781" s="18">
        <v>14000</v>
      </c>
      <c r="Y781" s="18">
        <f>W781-X781</f>
        <v>0</v>
      </c>
      <c r="Z781" s="14"/>
    </row>
    <row r="782" spans="1:27" s="5" customFormat="1" ht="18" customHeight="1" x14ac:dyDescent="0.2">
      <c r="A782" s="47"/>
      <c r="B782" s="45" t="s">
        <v>0</v>
      </c>
      <c r="C782" s="44" t="s">
        <v>104</v>
      </c>
      <c r="D782" s="45"/>
      <c r="E782" s="45"/>
      <c r="F782" s="45"/>
      <c r="G782" s="45"/>
      <c r="H782" s="55"/>
      <c r="I782" s="51"/>
      <c r="J782" s="45"/>
      <c r="K782" s="45"/>
      <c r="L782" s="56"/>
      <c r="M782" s="4"/>
      <c r="N782" s="19"/>
      <c r="O782" s="16" t="s">
        <v>46</v>
      </c>
      <c r="P782" s="16">
        <v>29</v>
      </c>
      <c r="Q782" s="16">
        <v>0</v>
      </c>
      <c r="R782" s="16">
        <v>0</v>
      </c>
      <c r="S782" s="7"/>
      <c r="T782" s="16" t="s">
        <v>46</v>
      </c>
      <c r="U782" s="29">
        <f>Y781</f>
        <v>0</v>
      </c>
      <c r="V782" s="18"/>
      <c r="W782" s="29">
        <f>IF(U782="","",U782+V782)</f>
        <v>0</v>
      </c>
      <c r="X782" s="18"/>
      <c r="Y782" s="29">
        <f>IF(W782="","",W782-X782)</f>
        <v>0</v>
      </c>
      <c r="Z782" s="20"/>
      <c r="AA782" s="4"/>
    </row>
    <row r="783" spans="1:27" s="5" customFormat="1" ht="18" customHeight="1" x14ac:dyDescent="0.2">
      <c r="A783" s="47"/>
      <c r="B783" s="57" t="s">
        <v>16</v>
      </c>
      <c r="C783" s="85">
        <v>45327</v>
      </c>
      <c r="D783" s="45"/>
      <c r="E783" s="45"/>
      <c r="F783" s="141" t="s">
        <v>18</v>
      </c>
      <c r="G783" s="143"/>
      <c r="H783" s="45"/>
      <c r="I783" s="141" t="s">
        <v>19</v>
      </c>
      <c r="J783" s="142"/>
      <c r="K783" s="143"/>
      <c r="L783" s="59"/>
      <c r="N783" s="15"/>
      <c r="O783" s="16" t="s">
        <v>21</v>
      </c>
      <c r="P783" s="16"/>
      <c r="Q783" s="16"/>
      <c r="R783" s="16">
        <v>0</v>
      </c>
      <c r="S783" s="7"/>
      <c r="T783" s="16" t="s">
        <v>21</v>
      </c>
      <c r="U783" s="29"/>
      <c r="V783" s="18"/>
      <c r="W783" s="29" t="str">
        <f t="shared" ref="W783:W792" si="178">IF(U783="","",U783+V783)</f>
        <v/>
      </c>
      <c r="X783" s="18"/>
      <c r="Y783" s="29" t="str">
        <f t="shared" ref="Y783:Y792" si="179">IF(W783="","",W783-X783)</f>
        <v/>
      </c>
      <c r="Z783" s="20"/>
    </row>
    <row r="784" spans="1:27" s="5" customFormat="1" ht="18" customHeight="1" x14ac:dyDescent="0.2">
      <c r="A784" s="47"/>
      <c r="B784" s="45"/>
      <c r="C784" s="45"/>
      <c r="D784" s="45"/>
      <c r="E784" s="45"/>
      <c r="F784" s="45"/>
      <c r="G784" s="45"/>
      <c r="H784" s="60"/>
      <c r="I784" s="45"/>
      <c r="J784" s="45"/>
      <c r="K784" s="45"/>
      <c r="L784" s="61"/>
      <c r="N784" s="15"/>
      <c r="O784" s="16" t="s">
        <v>22</v>
      </c>
      <c r="P784" s="16"/>
      <c r="Q784" s="16"/>
      <c r="R784" s="16">
        <v>0</v>
      </c>
      <c r="S784" s="7"/>
      <c r="T784" s="16" t="s">
        <v>22</v>
      </c>
      <c r="U784" s="29" t="str">
        <f>IF($J$1="April",Y783,Y783)</f>
        <v/>
      </c>
      <c r="V784" s="18"/>
      <c r="W784" s="29" t="str">
        <f t="shared" si="178"/>
        <v/>
      </c>
      <c r="X784" s="18"/>
      <c r="Y784" s="29" t="str">
        <f t="shared" si="179"/>
        <v/>
      </c>
      <c r="Z784" s="20"/>
    </row>
    <row r="785" spans="1:27" s="5" customFormat="1" ht="18" customHeight="1" x14ac:dyDescent="0.2">
      <c r="A785" s="47"/>
      <c r="B785" s="144" t="s">
        <v>17</v>
      </c>
      <c r="C785" s="145"/>
      <c r="D785" s="45"/>
      <c r="E785" s="45"/>
      <c r="F785" s="62" t="s">
        <v>39</v>
      </c>
      <c r="G785" s="63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60"/>
      <c r="I785" s="64">
        <f>IF(C789&gt;0,$K$2,C787)</f>
        <v>29</v>
      </c>
      <c r="J785" s="65" t="s">
        <v>36</v>
      </c>
      <c r="K785" s="66">
        <f>K781/$K$2*I785</f>
        <v>60000.000000000007</v>
      </c>
      <c r="L785" s="67"/>
      <c r="N785" s="15"/>
      <c r="O785" s="16" t="s">
        <v>23</v>
      </c>
      <c r="P785" s="16"/>
      <c r="Q785" s="16"/>
      <c r="R785" s="16">
        <v>0</v>
      </c>
      <c r="S785" s="7"/>
      <c r="T785" s="16" t="s">
        <v>23</v>
      </c>
      <c r="U785" s="29" t="str">
        <f>IF($J$1="May",Y784,Y784)</f>
        <v/>
      </c>
      <c r="V785" s="18"/>
      <c r="W785" s="29" t="str">
        <f t="shared" si="178"/>
        <v/>
      </c>
      <c r="X785" s="18"/>
      <c r="Y785" s="29" t="str">
        <f t="shared" si="179"/>
        <v/>
      </c>
      <c r="Z785" s="20"/>
    </row>
    <row r="786" spans="1:27" s="5" customFormat="1" ht="18" customHeight="1" x14ac:dyDescent="0.2">
      <c r="A786" s="47"/>
      <c r="B786" s="68"/>
      <c r="C786" s="68"/>
      <c r="D786" s="45"/>
      <c r="E786" s="45"/>
      <c r="F786" s="62" t="s">
        <v>10</v>
      </c>
      <c r="G786" s="63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60"/>
      <c r="I786" s="64"/>
      <c r="J786" s="65" t="s">
        <v>37</v>
      </c>
      <c r="K786" s="69">
        <f>K781/$K$2/8*I786</f>
        <v>0</v>
      </c>
      <c r="L786" s="70"/>
      <c r="N786" s="15"/>
      <c r="O786" s="16" t="s">
        <v>24</v>
      </c>
      <c r="P786" s="16"/>
      <c r="Q786" s="16"/>
      <c r="R786" s="16">
        <v>0</v>
      </c>
      <c r="S786" s="7"/>
      <c r="T786" s="16" t="s">
        <v>24</v>
      </c>
      <c r="U786" s="29" t="str">
        <f>IF($J$1="May",Y785,Y785)</f>
        <v/>
      </c>
      <c r="V786" s="18"/>
      <c r="W786" s="29" t="str">
        <f t="shared" si="178"/>
        <v/>
      </c>
      <c r="X786" s="18"/>
      <c r="Y786" s="29" t="str">
        <f t="shared" si="179"/>
        <v/>
      </c>
      <c r="Z786" s="20"/>
    </row>
    <row r="787" spans="1:27" s="5" customFormat="1" ht="18" customHeight="1" x14ac:dyDescent="0.2">
      <c r="A787" s="47"/>
      <c r="B787" s="62" t="s">
        <v>5</v>
      </c>
      <c r="C787" s="68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29</v>
      </c>
      <c r="D787" s="45"/>
      <c r="E787" s="45"/>
      <c r="F787" s="62" t="s">
        <v>40</v>
      </c>
      <c r="G787" s="63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60"/>
      <c r="I787" s="136" t="s">
        <v>44</v>
      </c>
      <c r="J787" s="137"/>
      <c r="K787" s="69">
        <f>K785+K786</f>
        <v>60000.000000000007</v>
      </c>
      <c r="L787" s="70"/>
      <c r="N787" s="15"/>
      <c r="O787" s="16" t="s">
        <v>25</v>
      </c>
      <c r="P787" s="16"/>
      <c r="Q787" s="16"/>
      <c r="R787" s="16">
        <v>0</v>
      </c>
      <c r="S787" s="7"/>
      <c r="T787" s="16" t="s">
        <v>25</v>
      </c>
      <c r="U787" s="29" t="str">
        <f>IF($J$1="July",Y786,"")</f>
        <v/>
      </c>
      <c r="V787" s="18"/>
      <c r="W787" s="29" t="str">
        <f t="shared" si="178"/>
        <v/>
      </c>
      <c r="X787" s="18"/>
      <c r="Y787" s="29" t="str">
        <f t="shared" si="179"/>
        <v/>
      </c>
      <c r="Z787" s="20"/>
    </row>
    <row r="788" spans="1:27" s="5" customFormat="1" ht="18" customHeight="1" x14ac:dyDescent="0.2">
      <c r="A788" s="47"/>
      <c r="B788" s="62" t="s">
        <v>4</v>
      </c>
      <c r="C788" s="68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45"/>
      <c r="E788" s="45"/>
      <c r="F788" s="62" t="s">
        <v>11</v>
      </c>
      <c r="G788" s="63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60"/>
      <c r="I788" s="136" t="s">
        <v>45</v>
      </c>
      <c r="J788" s="137"/>
      <c r="K788" s="63">
        <f>G788</f>
        <v>0</v>
      </c>
      <c r="L788" s="71"/>
      <c r="N788" s="15"/>
      <c r="O788" s="16" t="s">
        <v>26</v>
      </c>
      <c r="P788" s="16"/>
      <c r="Q788" s="16"/>
      <c r="R788" s="16" t="str">
        <f>IF(Q788="","",R787-Q788)</f>
        <v/>
      </c>
      <c r="S788" s="7"/>
      <c r="T788" s="16" t="s">
        <v>26</v>
      </c>
      <c r="U788" s="29" t="str">
        <f>IF($J$1="August",Y787,"")</f>
        <v/>
      </c>
      <c r="V788" s="18"/>
      <c r="W788" s="29" t="str">
        <f t="shared" si="178"/>
        <v/>
      </c>
      <c r="X788" s="18"/>
      <c r="Y788" s="29" t="str">
        <f t="shared" si="179"/>
        <v/>
      </c>
      <c r="Z788" s="20"/>
    </row>
    <row r="789" spans="1:27" s="5" customFormat="1" ht="18" customHeight="1" x14ac:dyDescent="0.2">
      <c r="A789" s="47"/>
      <c r="B789" s="77" t="s">
        <v>43</v>
      </c>
      <c r="C789" s="68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45"/>
      <c r="E789" s="45"/>
      <c r="F789" s="77" t="s">
        <v>86</v>
      </c>
      <c r="G789" s="63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45"/>
      <c r="I789" s="141" t="s">
        <v>38</v>
      </c>
      <c r="J789" s="143"/>
      <c r="K789" s="41">
        <f>K787-K788</f>
        <v>60000.000000000007</v>
      </c>
      <c r="L789" s="72"/>
      <c r="N789" s="15"/>
      <c r="O789" s="16" t="s">
        <v>31</v>
      </c>
      <c r="P789" s="16"/>
      <c r="Q789" s="16"/>
      <c r="R789" s="16">
        <v>0</v>
      </c>
      <c r="S789" s="7"/>
      <c r="T789" s="16" t="s">
        <v>31</v>
      </c>
      <c r="U789" s="29" t="str">
        <f>IF($J$1="September",Y788,"")</f>
        <v/>
      </c>
      <c r="V789" s="18"/>
      <c r="W789" s="29" t="str">
        <f t="shared" si="178"/>
        <v/>
      </c>
      <c r="X789" s="18"/>
      <c r="Y789" s="29" t="str">
        <f t="shared" si="179"/>
        <v/>
      </c>
      <c r="Z789" s="20"/>
    </row>
    <row r="790" spans="1:27" s="5" customFormat="1" ht="18" customHeight="1" x14ac:dyDescent="0.2">
      <c r="A790" s="47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59"/>
      <c r="N790" s="15"/>
      <c r="O790" s="16" t="s">
        <v>27</v>
      </c>
      <c r="P790" s="16"/>
      <c r="Q790" s="16"/>
      <c r="R790" s="16">
        <v>0</v>
      </c>
      <c r="S790" s="7"/>
      <c r="T790" s="16" t="s">
        <v>27</v>
      </c>
      <c r="U790" s="29" t="str">
        <f>IF($J$1="October",Y789,"")</f>
        <v/>
      </c>
      <c r="V790" s="18"/>
      <c r="W790" s="29" t="str">
        <f t="shared" si="178"/>
        <v/>
      </c>
      <c r="X790" s="18"/>
      <c r="Y790" s="29" t="str">
        <f t="shared" si="179"/>
        <v/>
      </c>
      <c r="Z790" s="20"/>
    </row>
    <row r="791" spans="1:27" s="5" customFormat="1" ht="18" customHeight="1" x14ac:dyDescent="0.3">
      <c r="A791" s="47"/>
      <c r="B791" s="43" t="s">
        <v>57</v>
      </c>
      <c r="C791" s="43"/>
      <c r="D791" s="43"/>
      <c r="E791" s="43"/>
      <c r="F791" s="43"/>
      <c r="G791" s="43"/>
      <c r="H791" s="43"/>
      <c r="I791" s="43"/>
      <c r="J791" s="43"/>
      <c r="K791" s="43"/>
      <c r="L791" s="59"/>
      <c r="N791" s="15"/>
      <c r="O791" s="16" t="s">
        <v>32</v>
      </c>
      <c r="P791" s="16"/>
      <c r="Q791" s="16"/>
      <c r="R791" s="16" t="str">
        <f>IF(Q791="","",R790-Q791)</f>
        <v/>
      </c>
      <c r="S791" s="7"/>
      <c r="T791" s="16" t="s">
        <v>32</v>
      </c>
      <c r="U791" s="29" t="str">
        <f>IF($J$1="November",Y790,"")</f>
        <v/>
      </c>
      <c r="V791" s="18"/>
      <c r="W791" s="29" t="str">
        <f t="shared" si="178"/>
        <v/>
      </c>
      <c r="X791" s="18"/>
      <c r="Y791" s="29" t="str">
        <f t="shared" si="179"/>
        <v/>
      </c>
      <c r="Z791" s="20"/>
    </row>
    <row r="792" spans="1:27" s="5" customFormat="1" ht="18" customHeight="1" thickBot="1" x14ac:dyDescent="0.35">
      <c r="A792" s="73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5"/>
      <c r="N792" s="15"/>
      <c r="O792" s="16" t="s">
        <v>33</v>
      </c>
      <c r="P792" s="16"/>
      <c r="Q792" s="16"/>
      <c r="R792" s="16">
        <v>0</v>
      </c>
      <c r="S792" s="7"/>
      <c r="T792" s="16" t="s">
        <v>33</v>
      </c>
      <c r="U792" s="29" t="str">
        <f>IF($J$1="Dec",Y791,"")</f>
        <v/>
      </c>
      <c r="V792" s="18"/>
      <c r="W792" s="29" t="str">
        <f t="shared" si="178"/>
        <v/>
      </c>
      <c r="X792" s="18"/>
      <c r="Y792" s="29" t="str">
        <f t="shared" si="179"/>
        <v/>
      </c>
      <c r="Z792" s="20"/>
    </row>
    <row r="793" spans="1:27" s="5" customFormat="1" ht="18" customHeight="1" thickBot="1" x14ac:dyDescent="0.25">
      <c r="A793" s="73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75"/>
      <c r="N793" s="21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3"/>
    </row>
    <row r="794" spans="1:27" s="5" customFormat="1" ht="18" customHeight="1" x14ac:dyDescent="0.2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7" s="5" customFormat="1" ht="18" customHeight="1" thickBot="1" x14ac:dyDescent="0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7" s="5" customFormat="1" ht="18" customHeight="1" x14ac:dyDescent="0.2">
      <c r="A796" s="168" t="s">
        <v>15</v>
      </c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70"/>
      <c r="M796" s="4"/>
      <c r="N796" s="8"/>
      <c r="O796" s="133" t="s">
        <v>17</v>
      </c>
      <c r="P796" s="134"/>
      <c r="Q796" s="134"/>
      <c r="R796" s="135"/>
      <c r="S796" s="9"/>
      <c r="T796" s="133" t="s">
        <v>18</v>
      </c>
      <c r="U796" s="134"/>
      <c r="V796" s="134"/>
      <c r="W796" s="134"/>
      <c r="X796" s="134"/>
      <c r="Y796" s="135"/>
      <c r="Z796" s="10"/>
      <c r="AA796" s="4"/>
    </row>
    <row r="797" spans="1:27" s="5" customFormat="1" ht="18" customHeight="1" x14ac:dyDescent="0.2">
      <c r="A797" s="47"/>
      <c r="B797" s="45"/>
      <c r="C797" s="147" t="s">
        <v>94</v>
      </c>
      <c r="D797" s="147"/>
      <c r="E797" s="147"/>
      <c r="F797" s="147"/>
      <c r="G797" s="48" t="str">
        <f>$J$1</f>
        <v>February</v>
      </c>
      <c r="H797" s="146">
        <f>$K$1</f>
        <v>2024</v>
      </c>
      <c r="I797" s="146"/>
      <c r="J797" s="45"/>
      <c r="K797" s="49"/>
      <c r="L797" s="50"/>
      <c r="M797" s="6"/>
      <c r="N797" s="11"/>
      <c r="O797" s="12" t="s">
        <v>28</v>
      </c>
      <c r="P797" s="12" t="s">
        <v>5</v>
      </c>
      <c r="Q797" s="12" t="s">
        <v>4</v>
      </c>
      <c r="R797" s="12" t="s">
        <v>29</v>
      </c>
      <c r="S797" s="13"/>
      <c r="T797" s="12" t="s">
        <v>28</v>
      </c>
      <c r="U797" s="12" t="s">
        <v>30</v>
      </c>
      <c r="V797" s="12" t="s">
        <v>10</v>
      </c>
      <c r="W797" s="12" t="s">
        <v>9</v>
      </c>
      <c r="X797" s="12" t="s">
        <v>11</v>
      </c>
      <c r="Y797" s="12" t="s">
        <v>34</v>
      </c>
      <c r="Z797" s="14"/>
      <c r="AA797" s="6"/>
    </row>
    <row r="798" spans="1:27" s="5" customFormat="1" ht="18" customHeight="1" x14ac:dyDescent="0.2">
      <c r="A798" s="47"/>
      <c r="B798" s="45"/>
      <c r="C798" s="45"/>
      <c r="D798" s="51"/>
      <c r="E798" s="51"/>
      <c r="F798" s="51"/>
      <c r="G798" s="51"/>
      <c r="H798" s="51"/>
      <c r="I798" s="45"/>
      <c r="J798" s="52" t="s">
        <v>1</v>
      </c>
      <c r="K798" s="53">
        <v>60000</v>
      </c>
      <c r="L798" s="54"/>
      <c r="N798" s="15"/>
      <c r="O798" s="16" t="s">
        <v>20</v>
      </c>
      <c r="P798" s="16"/>
      <c r="Q798" s="16"/>
      <c r="R798" s="16">
        <v>0</v>
      </c>
      <c r="S798" s="17"/>
      <c r="T798" s="16" t="s">
        <v>20</v>
      </c>
      <c r="U798" s="18"/>
      <c r="V798" s="18"/>
      <c r="W798" s="18">
        <f>V798+U798</f>
        <v>0</v>
      </c>
      <c r="X798" s="18"/>
      <c r="Y798" s="18">
        <f>W798-X798</f>
        <v>0</v>
      </c>
      <c r="Z798" s="14"/>
    </row>
    <row r="799" spans="1:27" s="5" customFormat="1" ht="18" customHeight="1" x14ac:dyDescent="0.2">
      <c r="A799" s="47"/>
      <c r="B799" s="45" t="s">
        <v>0</v>
      </c>
      <c r="C799" s="44" t="s">
        <v>108</v>
      </c>
      <c r="D799" s="45"/>
      <c r="E799" s="45"/>
      <c r="F799" s="45"/>
      <c r="G799" s="45"/>
      <c r="H799" s="55"/>
      <c r="I799" s="51"/>
      <c r="J799" s="45"/>
      <c r="K799" s="45"/>
      <c r="L799" s="56"/>
      <c r="M799" s="4"/>
      <c r="N799" s="19"/>
      <c r="O799" s="16" t="s">
        <v>46</v>
      </c>
      <c r="P799" s="16">
        <v>28</v>
      </c>
      <c r="Q799" s="16">
        <v>0</v>
      </c>
      <c r="R799" s="16">
        <f>IF(Q799="","",R798-Q799)</f>
        <v>0</v>
      </c>
      <c r="S799" s="7"/>
      <c r="T799" s="16" t="s">
        <v>46</v>
      </c>
      <c r="U799" s="29">
        <f>Y798</f>
        <v>0</v>
      </c>
      <c r="V799" s="18"/>
      <c r="W799" s="29">
        <f>IF(U799="","",U799+V799)</f>
        <v>0</v>
      </c>
      <c r="X799" s="18"/>
      <c r="Y799" s="29">
        <f>IF(W799="","",W799-X799)</f>
        <v>0</v>
      </c>
      <c r="Z799" s="20"/>
      <c r="AA799" s="4"/>
    </row>
    <row r="800" spans="1:27" s="5" customFormat="1" ht="18" customHeight="1" x14ac:dyDescent="0.2">
      <c r="A800" s="47"/>
      <c r="B800" s="57" t="s">
        <v>16</v>
      </c>
      <c r="C800" s="58"/>
      <c r="D800" s="45"/>
      <c r="E800" s="45"/>
      <c r="F800" s="148" t="s">
        <v>18</v>
      </c>
      <c r="G800" s="148"/>
      <c r="H800" s="45"/>
      <c r="I800" s="148" t="s">
        <v>19</v>
      </c>
      <c r="J800" s="148"/>
      <c r="K800" s="148"/>
      <c r="L800" s="59"/>
      <c r="N800" s="15"/>
      <c r="O800" s="16" t="s">
        <v>21</v>
      </c>
      <c r="P800" s="16"/>
      <c r="Q800" s="16"/>
      <c r="R800" s="16" t="str">
        <f t="shared" ref="R800:R809" si="180">IF(Q800="","",R799-Q800)</f>
        <v/>
      </c>
      <c r="S800" s="7"/>
      <c r="T800" s="16" t="s">
        <v>21</v>
      </c>
      <c r="U800" s="29">
        <f>IF($J$1="April",Y799,Y799)</f>
        <v>0</v>
      </c>
      <c r="V800" s="18"/>
      <c r="W800" s="29">
        <f t="shared" ref="W800:W809" si="181">IF(U800="","",U800+V800)</f>
        <v>0</v>
      </c>
      <c r="X800" s="18"/>
      <c r="Y800" s="29">
        <f t="shared" ref="Y800:Y809" si="182">IF(W800="","",W800-X800)</f>
        <v>0</v>
      </c>
      <c r="Z800" s="20"/>
    </row>
    <row r="801" spans="1:27" s="5" customFormat="1" ht="18" customHeight="1" x14ac:dyDescent="0.2">
      <c r="A801" s="47"/>
      <c r="B801" s="45"/>
      <c r="C801" s="45"/>
      <c r="D801" s="45"/>
      <c r="E801" s="45"/>
      <c r="F801" s="45"/>
      <c r="G801" s="45"/>
      <c r="H801" s="60"/>
      <c r="I801" s="45"/>
      <c r="J801" s="45"/>
      <c r="K801" s="45"/>
      <c r="L801" s="61"/>
      <c r="N801" s="15"/>
      <c r="O801" s="16" t="s">
        <v>22</v>
      </c>
      <c r="P801" s="16"/>
      <c r="Q801" s="16"/>
      <c r="R801" s="16" t="str">
        <f t="shared" si="180"/>
        <v/>
      </c>
      <c r="S801" s="7"/>
      <c r="T801" s="16" t="s">
        <v>22</v>
      </c>
      <c r="U801" s="29">
        <f>IF($J$1="April",Y800,Y800)</f>
        <v>0</v>
      </c>
      <c r="V801" s="18"/>
      <c r="W801" s="29">
        <f t="shared" si="181"/>
        <v>0</v>
      </c>
      <c r="X801" s="18"/>
      <c r="Y801" s="29">
        <f t="shared" si="182"/>
        <v>0</v>
      </c>
      <c r="Z801" s="20"/>
    </row>
    <row r="802" spans="1:27" s="5" customFormat="1" ht="18" customHeight="1" x14ac:dyDescent="0.2">
      <c r="A802" s="47"/>
      <c r="B802" s="144" t="s">
        <v>17</v>
      </c>
      <c r="C802" s="145"/>
      <c r="D802" s="45"/>
      <c r="E802" s="45"/>
      <c r="F802" s="62" t="s">
        <v>39</v>
      </c>
      <c r="G802" s="63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60"/>
      <c r="I802" s="90">
        <f>IF(C806&gt;0,$K$2,C804)+3</f>
        <v>31</v>
      </c>
      <c r="J802" s="65" t="s">
        <v>36</v>
      </c>
      <c r="K802" s="66">
        <f>K798/$K$2*I802</f>
        <v>64137.931034482768</v>
      </c>
      <c r="L802" s="67"/>
      <c r="N802" s="15"/>
      <c r="O802" s="16" t="s">
        <v>23</v>
      </c>
      <c r="P802" s="16"/>
      <c r="Q802" s="16"/>
      <c r="R802" s="16" t="str">
        <f t="shared" si="180"/>
        <v/>
      </c>
      <c r="S802" s="7"/>
      <c r="T802" s="16" t="s">
        <v>23</v>
      </c>
      <c r="U802" s="29">
        <f>IF($J$1="May",Y801,Y801)</f>
        <v>0</v>
      </c>
      <c r="V802" s="18"/>
      <c r="W802" s="29">
        <f t="shared" si="181"/>
        <v>0</v>
      </c>
      <c r="X802" s="18"/>
      <c r="Y802" s="29">
        <f t="shared" si="182"/>
        <v>0</v>
      </c>
      <c r="Z802" s="20"/>
    </row>
    <row r="803" spans="1:27" s="5" customFormat="1" ht="18" customHeight="1" x14ac:dyDescent="0.2">
      <c r="A803" s="47"/>
      <c r="B803" s="68"/>
      <c r="C803" s="68"/>
      <c r="D803" s="45"/>
      <c r="E803" s="45"/>
      <c r="F803" s="62" t="s">
        <v>10</v>
      </c>
      <c r="G803" s="63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60"/>
      <c r="I803" s="64"/>
      <c r="J803" s="65" t="s">
        <v>37</v>
      </c>
      <c r="K803" s="69">
        <f>K798/$K$2/8*I803</f>
        <v>0</v>
      </c>
      <c r="L803" s="70"/>
      <c r="N803" s="15"/>
      <c r="O803" s="16" t="s">
        <v>24</v>
      </c>
      <c r="P803" s="16"/>
      <c r="Q803" s="16"/>
      <c r="R803" s="16" t="str">
        <f t="shared" si="180"/>
        <v/>
      </c>
      <c r="S803" s="7"/>
      <c r="T803" s="16" t="s">
        <v>24</v>
      </c>
      <c r="U803" s="29">
        <f>IF($J$1="May",Y802,Y802)</f>
        <v>0</v>
      </c>
      <c r="V803" s="18"/>
      <c r="W803" s="29">
        <f t="shared" si="181"/>
        <v>0</v>
      </c>
      <c r="X803" s="18"/>
      <c r="Y803" s="29">
        <f t="shared" si="182"/>
        <v>0</v>
      </c>
      <c r="Z803" s="20"/>
    </row>
    <row r="804" spans="1:27" s="5" customFormat="1" ht="18" customHeight="1" x14ac:dyDescent="0.2">
      <c r="A804" s="47"/>
      <c r="B804" s="62" t="s">
        <v>5</v>
      </c>
      <c r="C804" s="68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28</v>
      </c>
      <c r="D804" s="45"/>
      <c r="E804" s="45"/>
      <c r="F804" s="62" t="s">
        <v>40</v>
      </c>
      <c r="G804" s="63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60"/>
      <c r="I804" s="136" t="s">
        <v>44</v>
      </c>
      <c r="J804" s="137"/>
      <c r="K804" s="69">
        <f>K802+K803</f>
        <v>64137.931034482768</v>
      </c>
      <c r="L804" s="70"/>
      <c r="N804" s="15"/>
      <c r="O804" s="16" t="s">
        <v>25</v>
      </c>
      <c r="P804" s="16"/>
      <c r="Q804" s="16"/>
      <c r="R804" s="16" t="str">
        <f t="shared" si="180"/>
        <v/>
      </c>
      <c r="S804" s="7"/>
      <c r="T804" s="16" t="s">
        <v>25</v>
      </c>
      <c r="U804" s="29" t="str">
        <f>IF($J$1="September",Y803,"")</f>
        <v/>
      </c>
      <c r="V804" s="18"/>
      <c r="W804" s="29" t="str">
        <f t="shared" si="181"/>
        <v/>
      </c>
      <c r="X804" s="18"/>
      <c r="Y804" s="29" t="str">
        <f t="shared" si="182"/>
        <v/>
      </c>
      <c r="Z804" s="20"/>
    </row>
    <row r="805" spans="1:27" s="5" customFormat="1" ht="18" customHeight="1" x14ac:dyDescent="0.2">
      <c r="A805" s="47"/>
      <c r="B805" s="62" t="s">
        <v>4</v>
      </c>
      <c r="C805" s="68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45"/>
      <c r="E805" s="45"/>
      <c r="F805" s="62" t="s">
        <v>11</v>
      </c>
      <c r="G805" s="63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60"/>
      <c r="I805" s="136" t="s">
        <v>45</v>
      </c>
      <c r="J805" s="137"/>
      <c r="K805" s="63">
        <f>G805</f>
        <v>0</v>
      </c>
      <c r="L805" s="71"/>
      <c r="N805" s="15"/>
      <c r="O805" s="16" t="s">
        <v>26</v>
      </c>
      <c r="P805" s="16"/>
      <c r="Q805" s="16"/>
      <c r="R805" s="16" t="str">
        <f t="shared" si="180"/>
        <v/>
      </c>
      <c r="S805" s="7"/>
      <c r="T805" s="16" t="s">
        <v>26</v>
      </c>
      <c r="U805" s="29" t="str">
        <f>IF($J$1="September",Y804,"")</f>
        <v/>
      </c>
      <c r="V805" s="18"/>
      <c r="W805" s="29" t="str">
        <f t="shared" si="181"/>
        <v/>
      </c>
      <c r="X805" s="18"/>
      <c r="Y805" s="29" t="str">
        <f t="shared" si="182"/>
        <v/>
      </c>
      <c r="Z805" s="20"/>
    </row>
    <row r="806" spans="1:27" s="5" customFormat="1" ht="18" customHeight="1" x14ac:dyDescent="0.2">
      <c r="A806" s="47"/>
      <c r="B806" s="80" t="s">
        <v>43</v>
      </c>
      <c r="C806" s="68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45"/>
      <c r="E806" s="45"/>
      <c r="F806" s="62" t="s">
        <v>42</v>
      </c>
      <c r="G806" s="63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45"/>
      <c r="I806" s="141" t="s">
        <v>38</v>
      </c>
      <c r="J806" s="143"/>
      <c r="K806" s="41">
        <f>K804-K805</f>
        <v>64137.931034482768</v>
      </c>
      <c r="L806" s="72"/>
      <c r="N806" s="15"/>
      <c r="O806" s="16" t="s">
        <v>31</v>
      </c>
      <c r="P806" s="16"/>
      <c r="Q806" s="16"/>
      <c r="R806" s="16" t="str">
        <f t="shared" si="180"/>
        <v/>
      </c>
      <c r="S806" s="7"/>
      <c r="T806" s="16" t="s">
        <v>31</v>
      </c>
      <c r="U806" s="29" t="str">
        <f>IF($J$1="Sept",Y805,"")</f>
        <v/>
      </c>
      <c r="V806" s="18"/>
      <c r="W806" s="29" t="str">
        <f t="shared" si="181"/>
        <v/>
      </c>
      <c r="X806" s="18"/>
      <c r="Y806" s="29" t="str">
        <f t="shared" si="182"/>
        <v/>
      </c>
      <c r="Z806" s="20"/>
    </row>
    <row r="807" spans="1:27" s="5" customFormat="1" ht="18" customHeight="1" x14ac:dyDescent="0.2">
      <c r="A807" s="47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59"/>
      <c r="N807" s="15"/>
      <c r="O807" s="16" t="s">
        <v>27</v>
      </c>
      <c r="P807" s="16"/>
      <c r="Q807" s="16"/>
      <c r="R807" s="16" t="str">
        <f t="shared" si="180"/>
        <v/>
      </c>
      <c r="S807" s="7"/>
      <c r="T807" s="16" t="s">
        <v>27</v>
      </c>
      <c r="U807" s="29" t="str">
        <f>IF($J$1="October",Y806,"")</f>
        <v/>
      </c>
      <c r="V807" s="18"/>
      <c r="W807" s="29" t="str">
        <f t="shared" si="181"/>
        <v/>
      </c>
      <c r="X807" s="18"/>
      <c r="Y807" s="29" t="str">
        <f t="shared" si="182"/>
        <v/>
      </c>
      <c r="Z807" s="20"/>
    </row>
    <row r="808" spans="1:27" s="5" customFormat="1" ht="18" customHeight="1" x14ac:dyDescent="0.2">
      <c r="A808" s="47"/>
      <c r="B808" s="152" t="s">
        <v>57</v>
      </c>
      <c r="C808" s="152"/>
      <c r="D808" s="152"/>
      <c r="E808" s="152"/>
      <c r="F808" s="152"/>
      <c r="G808" s="152"/>
      <c r="H808" s="152"/>
      <c r="I808" s="152"/>
      <c r="J808" s="152"/>
      <c r="K808" s="152"/>
      <c r="L808" s="59"/>
      <c r="N808" s="15"/>
      <c r="O808" s="16" t="s">
        <v>32</v>
      </c>
      <c r="P808" s="16"/>
      <c r="Q808" s="16"/>
      <c r="R808" s="16" t="str">
        <f t="shared" si="180"/>
        <v/>
      </c>
      <c r="S808" s="7"/>
      <c r="T808" s="16" t="s">
        <v>32</v>
      </c>
      <c r="U808" s="29" t="str">
        <f>IF($J$1="November",Y807,"")</f>
        <v/>
      </c>
      <c r="V808" s="18"/>
      <c r="W808" s="29" t="str">
        <f t="shared" si="181"/>
        <v/>
      </c>
      <c r="X808" s="18"/>
      <c r="Y808" s="29" t="str">
        <f t="shared" si="182"/>
        <v/>
      </c>
      <c r="Z808" s="20"/>
    </row>
    <row r="809" spans="1:27" s="5" customFormat="1" ht="18" customHeight="1" x14ac:dyDescent="0.2">
      <c r="A809" s="47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59"/>
      <c r="N809" s="15"/>
      <c r="O809" s="16" t="s">
        <v>33</v>
      </c>
      <c r="P809" s="16"/>
      <c r="Q809" s="16"/>
      <c r="R809" s="16" t="str">
        <f t="shared" si="180"/>
        <v/>
      </c>
      <c r="S809" s="7"/>
      <c r="T809" s="16" t="s">
        <v>33</v>
      </c>
      <c r="U809" s="29" t="str">
        <f>IF($J$1="Dec",Y808,"")</f>
        <v/>
      </c>
      <c r="V809" s="18"/>
      <c r="W809" s="29" t="str">
        <f t="shared" si="181"/>
        <v/>
      </c>
      <c r="X809" s="18"/>
      <c r="Y809" s="29" t="str">
        <f t="shared" si="182"/>
        <v/>
      </c>
      <c r="Z809" s="20"/>
    </row>
    <row r="810" spans="1:27" s="5" customFormat="1" ht="18" customHeight="1" thickBot="1" x14ac:dyDescent="0.25">
      <c r="A810" s="73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75"/>
      <c r="N810" s="21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3"/>
    </row>
    <row r="811" spans="1:27" s="5" customFormat="1" ht="18" customHeight="1" thickBot="1" x14ac:dyDescent="0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7" s="5" customFormat="1" ht="18" customHeight="1" x14ac:dyDescent="0.2">
      <c r="A812" s="156" t="s">
        <v>15</v>
      </c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8"/>
      <c r="M812" s="4"/>
      <c r="N812" s="8"/>
      <c r="O812" s="133" t="s">
        <v>17</v>
      </c>
      <c r="P812" s="134"/>
      <c r="Q812" s="134"/>
      <c r="R812" s="135"/>
      <c r="S812" s="9"/>
      <c r="T812" s="133" t="s">
        <v>18</v>
      </c>
      <c r="U812" s="134"/>
      <c r="V812" s="134"/>
      <c r="W812" s="134"/>
      <c r="X812" s="134"/>
      <c r="Y812" s="135"/>
      <c r="Z812" s="10"/>
      <c r="AA812" s="4"/>
    </row>
    <row r="813" spans="1:27" s="5" customFormat="1" ht="18" customHeight="1" x14ac:dyDescent="0.2">
      <c r="A813" s="47"/>
      <c r="B813" s="45"/>
      <c r="C813" s="147" t="s">
        <v>94</v>
      </c>
      <c r="D813" s="147"/>
      <c r="E813" s="147"/>
      <c r="F813" s="147"/>
      <c r="G813" s="48" t="str">
        <f>$J$1</f>
        <v>February</v>
      </c>
      <c r="H813" s="146">
        <f>$K$1</f>
        <v>2024</v>
      </c>
      <c r="I813" s="146"/>
      <c r="J813" s="45"/>
      <c r="K813" s="49"/>
      <c r="L813" s="50"/>
      <c r="M813" s="6"/>
      <c r="N813" s="11"/>
      <c r="O813" s="12" t="s">
        <v>28</v>
      </c>
      <c r="P813" s="12" t="s">
        <v>5</v>
      </c>
      <c r="Q813" s="12" t="s">
        <v>4</v>
      </c>
      <c r="R813" s="12" t="s">
        <v>29</v>
      </c>
      <c r="S813" s="13"/>
      <c r="T813" s="12" t="s">
        <v>28</v>
      </c>
      <c r="U813" s="12" t="s">
        <v>30</v>
      </c>
      <c r="V813" s="12" t="s">
        <v>10</v>
      </c>
      <c r="W813" s="12" t="s">
        <v>9</v>
      </c>
      <c r="X813" s="12" t="s">
        <v>11</v>
      </c>
      <c r="Y813" s="12" t="s">
        <v>34</v>
      </c>
      <c r="Z813" s="14"/>
      <c r="AA813" s="6"/>
    </row>
    <row r="814" spans="1:27" s="5" customFormat="1" ht="18" customHeight="1" x14ac:dyDescent="0.2">
      <c r="A814" s="47"/>
      <c r="B814" s="45"/>
      <c r="C814" s="45"/>
      <c r="D814" s="51"/>
      <c r="E814" s="51"/>
      <c r="F814" s="51"/>
      <c r="G814" s="51"/>
      <c r="H814" s="51"/>
      <c r="I814" s="45"/>
      <c r="J814" s="52" t="s">
        <v>1</v>
      </c>
      <c r="K814" s="53"/>
      <c r="L814" s="54"/>
      <c r="N814" s="15"/>
      <c r="O814" s="16" t="s">
        <v>20</v>
      </c>
      <c r="P814" s="16">
        <v>29</v>
      </c>
      <c r="Q814" s="16">
        <v>2</v>
      </c>
      <c r="R814" s="16">
        <f>15-Q814</f>
        <v>13</v>
      </c>
      <c r="S814" s="17"/>
      <c r="T814" s="16" t="s">
        <v>20</v>
      </c>
      <c r="U814" s="18"/>
      <c r="V814" s="18"/>
      <c r="W814" s="18">
        <f>V814+U814</f>
        <v>0</v>
      </c>
      <c r="X814" s="18"/>
      <c r="Y814" s="18">
        <f>W814-X814</f>
        <v>0</v>
      </c>
      <c r="Z814" s="14"/>
    </row>
    <row r="815" spans="1:27" s="5" customFormat="1" ht="18" customHeight="1" x14ac:dyDescent="0.2">
      <c r="A815" s="47"/>
      <c r="B815" s="45" t="s">
        <v>0</v>
      </c>
      <c r="C815" s="44" t="s">
        <v>92</v>
      </c>
      <c r="D815" s="45"/>
      <c r="E815" s="45"/>
      <c r="F815" s="45"/>
      <c r="G815" s="45"/>
      <c r="H815" s="55"/>
      <c r="I815" s="51"/>
      <c r="J815" s="45"/>
      <c r="K815" s="45"/>
      <c r="L815" s="56"/>
      <c r="M815" s="4"/>
      <c r="N815" s="19"/>
      <c r="O815" s="16" t="s">
        <v>46</v>
      </c>
      <c r="P815" s="16">
        <v>28</v>
      </c>
      <c r="Q815" s="16">
        <v>1</v>
      </c>
      <c r="R815" s="16">
        <f>IF(Q815="","",R814-Q815)</f>
        <v>12</v>
      </c>
      <c r="S815" s="7"/>
      <c r="T815" s="16" t="s">
        <v>46</v>
      </c>
      <c r="U815" s="29">
        <f>IF($J$1="January","",Y814)</f>
        <v>0</v>
      </c>
      <c r="V815" s="18"/>
      <c r="W815" s="29">
        <f>IF(U815="","",U815+V815)</f>
        <v>0</v>
      </c>
      <c r="X815" s="18"/>
      <c r="Y815" s="29">
        <f>IF(W815="","",W815-X815)</f>
        <v>0</v>
      </c>
      <c r="Z815" s="20"/>
      <c r="AA815" s="4"/>
    </row>
    <row r="816" spans="1:27" s="5" customFormat="1" ht="18" customHeight="1" x14ac:dyDescent="0.2">
      <c r="A816" s="47"/>
      <c r="B816" s="57" t="s">
        <v>16</v>
      </c>
      <c r="C816" s="58"/>
      <c r="D816" s="45"/>
      <c r="E816" s="45"/>
      <c r="F816" s="148" t="s">
        <v>18</v>
      </c>
      <c r="G816" s="148"/>
      <c r="H816" s="45"/>
      <c r="I816" s="148" t="s">
        <v>19</v>
      </c>
      <c r="J816" s="148"/>
      <c r="K816" s="148"/>
      <c r="L816" s="59"/>
      <c r="N816" s="15"/>
      <c r="O816" s="16" t="s">
        <v>21</v>
      </c>
      <c r="P816" s="16">
        <v>31</v>
      </c>
      <c r="Q816" s="16">
        <v>0</v>
      </c>
      <c r="R816" s="16">
        <f t="shared" ref="R816" si="183">IF(Q816="","",R815-Q816)</f>
        <v>12</v>
      </c>
      <c r="S816" s="7"/>
      <c r="T816" s="16" t="s">
        <v>21</v>
      </c>
      <c r="U816" s="29" t="str">
        <f>IF($J$1="February","",Y815)</f>
        <v/>
      </c>
      <c r="V816" s="18"/>
      <c r="W816" s="29" t="str">
        <f t="shared" ref="W816:W825" si="184">IF(U816="","",U816+V816)</f>
        <v/>
      </c>
      <c r="X816" s="18"/>
      <c r="Y816" s="29" t="str">
        <f t="shared" ref="Y816:Y825" si="185">IF(W816="","",W816-X816)</f>
        <v/>
      </c>
      <c r="Z816" s="20"/>
    </row>
    <row r="817" spans="1:27" s="5" customFormat="1" ht="18" customHeight="1" x14ac:dyDescent="0.2">
      <c r="A817" s="47"/>
      <c r="B817" s="45"/>
      <c r="C817" s="45"/>
      <c r="D817" s="45"/>
      <c r="E817" s="45"/>
      <c r="F817" s="45"/>
      <c r="G817" s="45"/>
      <c r="H817" s="60"/>
      <c r="I817" s="45"/>
      <c r="J817" s="45"/>
      <c r="K817" s="45"/>
      <c r="L817" s="61"/>
      <c r="N817" s="15"/>
      <c r="O817" s="16" t="s">
        <v>22</v>
      </c>
      <c r="P817" s="16">
        <v>14</v>
      </c>
      <c r="Q817" s="16">
        <v>16</v>
      </c>
      <c r="R817" s="16">
        <v>0</v>
      </c>
      <c r="S817" s="7"/>
      <c r="T817" s="16" t="s">
        <v>22</v>
      </c>
      <c r="U817" s="29" t="str">
        <f>IF($J$1="March","",Y816)</f>
        <v/>
      </c>
      <c r="V817" s="18"/>
      <c r="W817" s="29" t="str">
        <f t="shared" si="184"/>
        <v/>
      </c>
      <c r="X817" s="18"/>
      <c r="Y817" s="29" t="str">
        <f t="shared" si="185"/>
        <v/>
      </c>
      <c r="Z817" s="20"/>
    </row>
    <row r="818" spans="1:27" s="5" customFormat="1" ht="18" customHeight="1" x14ac:dyDescent="0.2">
      <c r="A818" s="47"/>
      <c r="B818" s="144" t="s">
        <v>17</v>
      </c>
      <c r="C818" s="145"/>
      <c r="D818" s="45"/>
      <c r="E818" s="45"/>
      <c r="F818" s="62" t="s">
        <v>39</v>
      </c>
      <c r="G818" s="63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60"/>
      <c r="I818" s="64">
        <f>IF(C822&gt;0,$K$2,C820)</f>
        <v>29</v>
      </c>
      <c r="J818" s="65" t="s">
        <v>36</v>
      </c>
      <c r="K818" s="66">
        <f>K814/$K$2*I818</f>
        <v>0</v>
      </c>
      <c r="L818" s="67"/>
      <c r="N818" s="15"/>
      <c r="O818" s="16" t="s">
        <v>23</v>
      </c>
      <c r="P818" s="16">
        <v>28</v>
      </c>
      <c r="Q818" s="16">
        <v>3</v>
      </c>
      <c r="R818" s="16">
        <v>0</v>
      </c>
      <c r="S818" s="7"/>
      <c r="T818" s="16" t="s">
        <v>23</v>
      </c>
      <c r="U818" s="29" t="str">
        <f>IF($J$1="April","",Y817)</f>
        <v/>
      </c>
      <c r="V818" s="18"/>
      <c r="W818" s="29" t="str">
        <f t="shared" si="184"/>
        <v/>
      </c>
      <c r="X818" s="18"/>
      <c r="Y818" s="29" t="str">
        <f t="shared" si="185"/>
        <v/>
      </c>
      <c r="Z818" s="20"/>
    </row>
    <row r="819" spans="1:27" s="5" customFormat="1" ht="18" customHeight="1" x14ac:dyDescent="0.2">
      <c r="A819" s="47"/>
      <c r="B819" s="68"/>
      <c r="C819" s="68"/>
      <c r="D819" s="45"/>
      <c r="E819" s="45"/>
      <c r="F819" s="62" t="s">
        <v>10</v>
      </c>
      <c r="G819" s="63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60"/>
      <c r="I819" s="82"/>
      <c r="J819" s="65" t="s">
        <v>37</v>
      </c>
      <c r="K819" s="69">
        <f>K814/$K$2/8*I819</f>
        <v>0</v>
      </c>
      <c r="L819" s="70"/>
      <c r="N819" s="15"/>
      <c r="O819" s="16" t="s">
        <v>24</v>
      </c>
      <c r="P819" s="16">
        <v>4</v>
      </c>
      <c r="Q819" s="16">
        <v>26</v>
      </c>
      <c r="R819" s="16">
        <v>0</v>
      </c>
      <c r="S819" s="7"/>
      <c r="T819" s="16" t="s">
        <v>24</v>
      </c>
      <c r="U819" s="29" t="str">
        <f>IF($J$1="May","",Y818)</f>
        <v/>
      </c>
      <c r="V819" s="18"/>
      <c r="W819" s="29" t="str">
        <f t="shared" si="184"/>
        <v/>
      </c>
      <c r="X819" s="18"/>
      <c r="Y819" s="29" t="str">
        <f t="shared" si="185"/>
        <v/>
      </c>
      <c r="Z819" s="20"/>
    </row>
    <row r="820" spans="1:27" s="5" customFormat="1" ht="18" customHeight="1" x14ac:dyDescent="0.2">
      <c r="A820" s="47"/>
      <c r="B820" s="62" t="s">
        <v>5</v>
      </c>
      <c r="C820" s="68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45"/>
      <c r="E820" s="45"/>
      <c r="F820" s="62" t="s">
        <v>40</v>
      </c>
      <c r="G820" s="63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60"/>
      <c r="I820" s="136" t="s">
        <v>44</v>
      </c>
      <c r="J820" s="137"/>
      <c r="K820" s="69">
        <f>K818+K819</f>
        <v>0</v>
      </c>
      <c r="L820" s="70"/>
      <c r="N820" s="15"/>
      <c r="O820" s="16" t="s">
        <v>25</v>
      </c>
      <c r="P820" s="16"/>
      <c r="Q820" s="16"/>
      <c r="R820" s="16">
        <v>0</v>
      </c>
      <c r="S820" s="7"/>
      <c r="T820" s="16" t="s">
        <v>25</v>
      </c>
      <c r="U820" s="29" t="str">
        <f>IF($J$1="June","",Y819)</f>
        <v/>
      </c>
      <c r="V820" s="18"/>
      <c r="W820" s="29" t="str">
        <f t="shared" si="184"/>
        <v/>
      </c>
      <c r="X820" s="18"/>
      <c r="Y820" s="29" t="str">
        <f t="shared" si="185"/>
        <v/>
      </c>
      <c r="Z820" s="20"/>
    </row>
    <row r="821" spans="1:27" s="5" customFormat="1" ht="18" customHeight="1" x14ac:dyDescent="0.2">
      <c r="A821" s="47"/>
      <c r="B821" s="62" t="s">
        <v>4</v>
      </c>
      <c r="C821" s="68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45"/>
      <c r="E821" s="45"/>
      <c r="F821" s="62" t="s">
        <v>11</v>
      </c>
      <c r="G821" s="63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60"/>
      <c r="I821" s="136" t="s">
        <v>45</v>
      </c>
      <c r="J821" s="137"/>
      <c r="K821" s="63">
        <f>G821</f>
        <v>0</v>
      </c>
      <c r="L821" s="71"/>
      <c r="N821" s="15"/>
      <c r="O821" s="16" t="s">
        <v>26</v>
      </c>
      <c r="P821" s="16"/>
      <c r="Q821" s="16"/>
      <c r="R821" s="16">
        <v>0</v>
      </c>
      <c r="S821" s="7"/>
      <c r="T821" s="16" t="s">
        <v>26</v>
      </c>
      <c r="U821" s="29" t="str">
        <f>IF($J$1="July","",Y820)</f>
        <v/>
      </c>
      <c r="V821" s="18"/>
      <c r="W821" s="29" t="str">
        <f t="shared" si="184"/>
        <v/>
      </c>
      <c r="X821" s="18"/>
      <c r="Y821" s="29" t="str">
        <f t="shared" si="185"/>
        <v/>
      </c>
      <c r="Z821" s="20"/>
    </row>
    <row r="822" spans="1:27" s="5" customFormat="1" ht="18" customHeight="1" x14ac:dyDescent="0.2">
      <c r="A822" s="47"/>
      <c r="B822" s="80" t="s">
        <v>43</v>
      </c>
      <c r="C822" s="68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45"/>
      <c r="E822" s="45"/>
      <c r="F822" s="62" t="s">
        <v>42</v>
      </c>
      <c r="G822" s="63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45"/>
      <c r="I822" s="141" t="s">
        <v>38</v>
      </c>
      <c r="J822" s="143"/>
      <c r="K822" s="41"/>
      <c r="L822" s="72"/>
      <c r="N822" s="15"/>
      <c r="O822" s="16" t="s">
        <v>31</v>
      </c>
      <c r="P822" s="16"/>
      <c r="Q822" s="16"/>
      <c r="R822" s="16">
        <v>0</v>
      </c>
      <c r="S822" s="7"/>
      <c r="T822" s="16" t="s">
        <v>31</v>
      </c>
      <c r="U822" s="29" t="str">
        <f>IF($J$1="August","",Y821)</f>
        <v/>
      </c>
      <c r="V822" s="18"/>
      <c r="W822" s="29" t="str">
        <f t="shared" si="184"/>
        <v/>
      </c>
      <c r="X822" s="18"/>
      <c r="Y822" s="29" t="str">
        <f t="shared" si="185"/>
        <v/>
      </c>
      <c r="Z822" s="20"/>
    </row>
    <row r="823" spans="1:27" s="5" customFormat="1" ht="18" customHeight="1" x14ac:dyDescent="0.2">
      <c r="A823" s="47"/>
      <c r="B823" s="45"/>
      <c r="C823" s="45"/>
      <c r="D823" s="45"/>
      <c r="E823" s="45"/>
      <c r="F823" s="45"/>
      <c r="G823" s="45"/>
      <c r="H823" s="45"/>
      <c r="I823" s="45"/>
      <c r="J823" s="79"/>
      <c r="K823" s="79"/>
      <c r="L823" s="59"/>
      <c r="N823" s="15"/>
      <c r="O823" s="16" t="s">
        <v>27</v>
      </c>
      <c r="P823" s="16"/>
      <c r="Q823" s="16"/>
      <c r="R823" s="16">
        <v>0</v>
      </c>
      <c r="S823" s="7"/>
      <c r="T823" s="16" t="s">
        <v>27</v>
      </c>
      <c r="U823" s="29" t="str">
        <f>IF($J$1="September","",Y822)</f>
        <v/>
      </c>
      <c r="V823" s="18"/>
      <c r="W823" s="29" t="str">
        <f t="shared" si="184"/>
        <v/>
      </c>
      <c r="X823" s="18"/>
      <c r="Y823" s="29" t="str">
        <f t="shared" si="185"/>
        <v/>
      </c>
      <c r="Z823" s="20"/>
    </row>
    <row r="824" spans="1:27" s="5" customFormat="1" ht="18" customHeight="1" x14ac:dyDescent="0.2">
      <c r="A824" s="47"/>
      <c r="B824" s="152" t="s">
        <v>57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59"/>
      <c r="N824" s="15"/>
      <c r="O824" s="16" t="s">
        <v>32</v>
      </c>
      <c r="P824" s="16"/>
      <c r="Q824" s="16"/>
      <c r="R824" s="16">
        <v>0</v>
      </c>
      <c r="S824" s="7"/>
      <c r="T824" s="16" t="s">
        <v>32</v>
      </c>
      <c r="U824" s="29" t="str">
        <f>IF($J$1="October","",Y823)</f>
        <v/>
      </c>
      <c r="V824" s="18"/>
      <c r="W824" s="29" t="str">
        <f t="shared" si="184"/>
        <v/>
      </c>
      <c r="X824" s="18"/>
      <c r="Y824" s="29" t="str">
        <f t="shared" si="185"/>
        <v/>
      </c>
      <c r="Z824" s="20"/>
    </row>
    <row r="825" spans="1:27" s="5" customFormat="1" ht="18" customHeight="1" x14ac:dyDescent="0.2">
      <c r="A825" s="47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59"/>
      <c r="N825" s="15"/>
      <c r="O825" s="16" t="s">
        <v>33</v>
      </c>
      <c r="P825" s="16"/>
      <c r="Q825" s="16"/>
      <c r="R825" s="16">
        <v>0</v>
      </c>
      <c r="S825" s="7"/>
      <c r="T825" s="16" t="s">
        <v>33</v>
      </c>
      <c r="U825" s="29" t="str">
        <f>IF($J$1="November","",Y824)</f>
        <v/>
      </c>
      <c r="V825" s="18"/>
      <c r="W825" s="29" t="str">
        <f t="shared" si="184"/>
        <v/>
      </c>
      <c r="X825" s="18"/>
      <c r="Y825" s="29" t="str">
        <f t="shared" si="185"/>
        <v/>
      </c>
      <c r="Z825" s="20"/>
    </row>
    <row r="826" spans="1:27" s="5" customFormat="1" ht="18" customHeight="1" thickBot="1" x14ac:dyDescent="0.25">
      <c r="A826" s="73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75"/>
      <c r="N826" s="21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3"/>
    </row>
    <row r="827" spans="1:27" s="5" customFormat="1" ht="18" customHeight="1" thickBot="1" x14ac:dyDescent="0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7" s="5" customFormat="1" ht="18" customHeight="1" x14ac:dyDescent="0.2">
      <c r="A828" s="165" t="s">
        <v>15</v>
      </c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7"/>
      <c r="M828" s="4"/>
      <c r="N828" s="8"/>
      <c r="O828" s="133" t="s">
        <v>17</v>
      </c>
      <c r="P828" s="134"/>
      <c r="Q828" s="134"/>
      <c r="R828" s="135"/>
      <c r="S828" s="9"/>
      <c r="T828" s="133" t="s">
        <v>18</v>
      </c>
      <c r="U828" s="134"/>
      <c r="V828" s="134"/>
      <c r="W828" s="134"/>
      <c r="X828" s="134"/>
      <c r="Y828" s="135"/>
      <c r="Z828" s="10"/>
      <c r="AA828" s="4"/>
    </row>
    <row r="829" spans="1:27" s="5" customFormat="1" ht="18" customHeight="1" x14ac:dyDescent="0.2">
      <c r="A829" s="47"/>
      <c r="B829" s="45"/>
      <c r="C829" s="147" t="s">
        <v>94</v>
      </c>
      <c r="D829" s="147"/>
      <c r="E829" s="147"/>
      <c r="F829" s="147"/>
      <c r="G829" s="48" t="str">
        <f>$J$1</f>
        <v>February</v>
      </c>
      <c r="H829" s="146">
        <f>$K$1</f>
        <v>2024</v>
      </c>
      <c r="I829" s="146"/>
      <c r="J829" s="45"/>
      <c r="K829" s="49"/>
      <c r="L829" s="50"/>
      <c r="M829" s="6"/>
      <c r="N829" s="11"/>
      <c r="O829" s="12" t="s">
        <v>28</v>
      </c>
      <c r="P829" s="12" t="s">
        <v>5</v>
      </c>
      <c r="Q829" s="12" t="s">
        <v>4</v>
      </c>
      <c r="R829" s="12" t="s">
        <v>29</v>
      </c>
      <c r="S829" s="13"/>
      <c r="T829" s="12" t="s">
        <v>28</v>
      </c>
      <c r="U829" s="12" t="s">
        <v>30</v>
      </c>
      <c r="V829" s="12" t="s">
        <v>10</v>
      </c>
      <c r="W829" s="12" t="s">
        <v>9</v>
      </c>
      <c r="X829" s="12" t="s">
        <v>11</v>
      </c>
      <c r="Y829" s="12" t="s">
        <v>34</v>
      </c>
      <c r="Z829" s="14"/>
      <c r="AA829" s="6"/>
    </row>
    <row r="830" spans="1:27" s="5" customFormat="1" ht="18" customHeight="1" x14ac:dyDescent="0.2">
      <c r="A830" s="47"/>
      <c r="B830" s="45"/>
      <c r="C830" s="45"/>
      <c r="D830" s="51"/>
      <c r="E830" s="51"/>
      <c r="F830" s="51"/>
      <c r="G830" s="51"/>
      <c r="H830" s="51"/>
      <c r="I830" s="45"/>
      <c r="J830" s="52" t="s">
        <v>1</v>
      </c>
      <c r="K830" s="53"/>
      <c r="L830" s="54"/>
      <c r="N830" s="15"/>
      <c r="O830" s="16" t="s">
        <v>20</v>
      </c>
      <c r="P830" s="16"/>
      <c r="Q830" s="16"/>
      <c r="R830" s="16">
        <f>15-Q830</f>
        <v>15</v>
      </c>
      <c r="S830" s="17"/>
      <c r="T830" s="16" t="s">
        <v>20</v>
      </c>
      <c r="U830" s="18"/>
      <c r="V830" s="18"/>
      <c r="W830" s="18">
        <f>V830+U830</f>
        <v>0</v>
      </c>
      <c r="X830" s="18"/>
      <c r="Y830" s="18">
        <f>W830-X830</f>
        <v>0</v>
      </c>
      <c r="Z830" s="14"/>
    </row>
    <row r="831" spans="1:27" s="5" customFormat="1" ht="18" customHeight="1" x14ac:dyDescent="0.2">
      <c r="A831" s="47"/>
      <c r="B831" s="45" t="s">
        <v>0</v>
      </c>
      <c r="C831" s="44" t="s">
        <v>91</v>
      </c>
      <c r="D831" s="45"/>
      <c r="E831" s="45"/>
      <c r="F831" s="45"/>
      <c r="G831" s="45"/>
      <c r="H831" s="55"/>
      <c r="I831" s="51"/>
      <c r="J831" s="45"/>
      <c r="K831" s="45"/>
      <c r="L831" s="56"/>
      <c r="M831" s="4"/>
      <c r="N831" s="19"/>
      <c r="O831" s="16" t="s">
        <v>46</v>
      </c>
      <c r="P831" s="16"/>
      <c r="Q831" s="16"/>
      <c r="R831" s="16" t="str">
        <f>IF(Q831="","",R830-Q831)</f>
        <v/>
      </c>
      <c r="S831" s="7"/>
      <c r="T831" s="16" t="s">
        <v>46</v>
      </c>
      <c r="U831" s="29">
        <f>Y830</f>
        <v>0</v>
      </c>
      <c r="V831" s="18"/>
      <c r="W831" s="29">
        <f>IF(U831="","",U831+V831)</f>
        <v>0</v>
      </c>
      <c r="X831" s="18"/>
      <c r="Y831" s="29">
        <f>IF(W831="","",W831-X831)</f>
        <v>0</v>
      </c>
      <c r="Z831" s="20"/>
      <c r="AA831" s="4"/>
    </row>
    <row r="832" spans="1:27" s="5" customFormat="1" ht="18" customHeight="1" x14ac:dyDescent="0.2">
      <c r="A832" s="47"/>
      <c r="B832" s="57" t="s">
        <v>16</v>
      </c>
      <c r="C832" s="83"/>
      <c r="D832" s="45"/>
      <c r="E832" s="45"/>
      <c r="F832" s="148" t="s">
        <v>18</v>
      </c>
      <c r="G832" s="148"/>
      <c r="H832" s="45"/>
      <c r="I832" s="148" t="s">
        <v>19</v>
      </c>
      <c r="J832" s="148"/>
      <c r="K832" s="148"/>
      <c r="L832" s="59"/>
      <c r="N832" s="15"/>
      <c r="O832" s="16" t="s">
        <v>21</v>
      </c>
      <c r="P832" s="16"/>
      <c r="Q832" s="16"/>
      <c r="R832" s="16" t="str">
        <f t="shared" ref="R832:R841" si="186">IF(Q832="","",R831-Q832)</f>
        <v/>
      </c>
      <c r="S832" s="7"/>
      <c r="T832" s="16" t="s">
        <v>21</v>
      </c>
      <c r="U832" s="29">
        <f>IF($J$1="April",Y831,Y831)</f>
        <v>0</v>
      </c>
      <c r="V832" s="18"/>
      <c r="W832" s="29">
        <f t="shared" ref="W832:W841" si="187">IF(U832="","",U832+V832)</f>
        <v>0</v>
      </c>
      <c r="X832" s="18"/>
      <c r="Y832" s="29">
        <f t="shared" ref="Y832:Y841" si="188">IF(W832="","",W832-X832)</f>
        <v>0</v>
      </c>
      <c r="Z832" s="20"/>
    </row>
    <row r="833" spans="1:26" s="5" customFormat="1" ht="18" customHeight="1" x14ac:dyDescent="0.2">
      <c r="A833" s="47"/>
      <c r="B833" s="45"/>
      <c r="C833" s="45"/>
      <c r="D833" s="45"/>
      <c r="E833" s="45"/>
      <c r="F833" s="45"/>
      <c r="G833" s="45"/>
      <c r="H833" s="60"/>
      <c r="I833" s="45"/>
      <c r="J833" s="45"/>
      <c r="K833" s="45"/>
      <c r="L833" s="61"/>
      <c r="N833" s="15"/>
      <c r="O833" s="16" t="s">
        <v>22</v>
      </c>
      <c r="P833" s="16"/>
      <c r="Q833" s="16"/>
      <c r="R833" s="16" t="str">
        <f t="shared" si="186"/>
        <v/>
      </c>
      <c r="S833" s="7"/>
      <c r="T833" s="16" t="s">
        <v>22</v>
      </c>
      <c r="U833" s="29">
        <f>IF($J$1="April",Y832,Y832)</f>
        <v>0</v>
      </c>
      <c r="V833" s="18"/>
      <c r="W833" s="29">
        <f t="shared" si="187"/>
        <v>0</v>
      </c>
      <c r="X833" s="18"/>
      <c r="Y833" s="29">
        <f t="shared" si="188"/>
        <v>0</v>
      </c>
      <c r="Z833" s="20"/>
    </row>
    <row r="834" spans="1:26" s="5" customFormat="1" ht="18" customHeight="1" x14ac:dyDescent="0.2">
      <c r="A834" s="47"/>
      <c r="B834" s="144" t="s">
        <v>17</v>
      </c>
      <c r="C834" s="145"/>
      <c r="D834" s="45"/>
      <c r="E834" s="45"/>
      <c r="F834" s="62" t="s">
        <v>39</v>
      </c>
      <c r="G834" s="63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60"/>
      <c r="I834" s="64"/>
      <c r="J834" s="65" t="s">
        <v>36</v>
      </c>
      <c r="K834" s="66">
        <f>K830/$K$2*I834</f>
        <v>0</v>
      </c>
      <c r="L834" s="67"/>
      <c r="N834" s="15"/>
      <c r="O834" s="16" t="s">
        <v>23</v>
      </c>
      <c r="P834" s="16"/>
      <c r="Q834" s="16"/>
      <c r="R834" s="16" t="str">
        <f t="shared" si="186"/>
        <v/>
      </c>
      <c r="S834" s="7"/>
      <c r="T834" s="16" t="s">
        <v>23</v>
      </c>
      <c r="U834" s="29">
        <f>IF($J$1="May",Y833,Y833)</f>
        <v>0</v>
      </c>
      <c r="V834" s="18"/>
      <c r="W834" s="29">
        <f t="shared" si="187"/>
        <v>0</v>
      </c>
      <c r="X834" s="18"/>
      <c r="Y834" s="29">
        <f t="shared" si="188"/>
        <v>0</v>
      </c>
      <c r="Z834" s="20"/>
    </row>
    <row r="835" spans="1:26" s="5" customFormat="1" ht="18" customHeight="1" x14ac:dyDescent="0.2">
      <c r="A835" s="47"/>
      <c r="B835" s="68"/>
      <c r="C835" s="68"/>
      <c r="D835" s="45"/>
      <c r="E835" s="45"/>
      <c r="F835" s="62" t="s">
        <v>10</v>
      </c>
      <c r="G835" s="63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60"/>
      <c r="I835" s="64"/>
      <c r="J835" s="65" t="s">
        <v>37</v>
      </c>
      <c r="K835" s="69"/>
      <c r="L835" s="70"/>
      <c r="N835" s="15"/>
      <c r="O835" s="16" t="s">
        <v>24</v>
      </c>
      <c r="P835" s="16"/>
      <c r="Q835" s="16"/>
      <c r="R835" s="16" t="str">
        <f t="shared" si="186"/>
        <v/>
      </c>
      <c r="S835" s="7"/>
      <c r="T835" s="16" t="s">
        <v>24</v>
      </c>
      <c r="U835" s="29">
        <f>IF($J$1="May",Y834,Y834)</f>
        <v>0</v>
      </c>
      <c r="V835" s="18"/>
      <c r="W835" s="29">
        <f t="shared" si="187"/>
        <v>0</v>
      </c>
      <c r="X835" s="18"/>
      <c r="Y835" s="29">
        <f t="shared" si="188"/>
        <v>0</v>
      </c>
      <c r="Z835" s="20"/>
    </row>
    <row r="836" spans="1:26" s="5" customFormat="1" ht="18" customHeight="1" x14ac:dyDescent="0.2">
      <c r="A836" s="47"/>
      <c r="B836" s="62" t="s">
        <v>5</v>
      </c>
      <c r="C836" s="68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45"/>
      <c r="E836" s="45"/>
      <c r="F836" s="62" t="s">
        <v>40</v>
      </c>
      <c r="G836" s="63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60"/>
      <c r="I836" s="136" t="s">
        <v>44</v>
      </c>
      <c r="J836" s="137"/>
      <c r="K836" s="69">
        <f>K834+K835</f>
        <v>0</v>
      </c>
      <c r="L836" s="70"/>
      <c r="N836" s="15"/>
      <c r="O836" s="16" t="s">
        <v>25</v>
      </c>
      <c r="P836" s="16"/>
      <c r="Q836" s="16"/>
      <c r="R836" s="16" t="str">
        <f t="shared" si="186"/>
        <v/>
      </c>
      <c r="S836" s="7"/>
      <c r="T836" s="16" t="s">
        <v>25</v>
      </c>
      <c r="U836" s="29">
        <f>IF($J$1="May",Y835,Y835)</f>
        <v>0</v>
      </c>
      <c r="V836" s="18"/>
      <c r="W836" s="29">
        <f t="shared" si="187"/>
        <v>0</v>
      </c>
      <c r="X836" s="18"/>
      <c r="Y836" s="29">
        <f t="shared" si="188"/>
        <v>0</v>
      </c>
      <c r="Z836" s="20"/>
    </row>
    <row r="837" spans="1:26" s="5" customFormat="1" ht="18" customHeight="1" x14ac:dyDescent="0.2">
      <c r="A837" s="47"/>
      <c r="B837" s="62" t="s">
        <v>4</v>
      </c>
      <c r="C837" s="68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45"/>
      <c r="E837" s="45"/>
      <c r="F837" s="62" t="s">
        <v>11</v>
      </c>
      <c r="G837" s="63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60"/>
      <c r="I837" s="136" t="s">
        <v>45</v>
      </c>
      <c r="J837" s="137"/>
      <c r="K837" s="63">
        <f>G837</f>
        <v>0</v>
      </c>
      <c r="L837" s="71"/>
      <c r="N837" s="15"/>
      <c r="O837" s="16" t="s">
        <v>26</v>
      </c>
      <c r="P837" s="16"/>
      <c r="Q837" s="16"/>
      <c r="R837" s="16" t="str">
        <f t="shared" si="186"/>
        <v/>
      </c>
      <c r="S837" s="7"/>
      <c r="T837" s="16" t="s">
        <v>26</v>
      </c>
      <c r="U837" s="29" t="str">
        <f>IF($J$1="September",Y836,"")</f>
        <v/>
      </c>
      <c r="V837" s="18"/>
      <c r="W837" s="29" t="str">
        <f t="shared" si="187"/>
        <v/>
      </c>
      <c r="X837" s="18"/>
      <c r="Y837" s="29" t="str">
        <f t="shared" si="188"/>
        <v/>
      </c>
      <c r="Z837" s="20"/>
    </row>
    <row r="838" spans="1:26" s="5" customFormat="1" ht="18" customHeight="1" x14ac:dyDescent="0.2">
      <c r="A838" s="47"/>
      <c r="B838" s="80" t="s">
        <v>43</v>
      </c>
      <c r="C838" s="68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45"/>
      <c r="E838" s="45"/>
      <c r="F838" s="62" t="s">
        <v>42</v>
      </c>
      <c r="G838" s="63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45"/>
      <c r="I838" s="141" t="s">
        <v>38</v>
      </c>
      <c r="J838" s="143"/>
      <c r="K838" s="41">
        <f>K836-K837</f>
        <v>0</v>
      </c>
      <c r="L838" s="72"/>
      <c r="N838" s="15"/>
      <c r="O838" s="16" t="s">
        <v>31</v>
      </c>
      <c r="P838" s="16"/>
      <c r="Q838" s="16"/>
      <c r="R838" s="16" t="str">
        <f t="shared" si="186"/>
        <v/>
      </c>
      <c r="S838" s="7"/>
      <c r="T838" s="16" t="s">
        <v>31</v>
      </c>
      <c r="U838" s="29" t="str">
        <f>IF($J$1="September",Y837,"")</f>
        <v/>
      </c>
      <c r="V838" s="18"/>
      <c r="W838" s="29" t="str">
        <f t="shared" si="187"/>
        <v/>
      </c>
      <c r="X838" s="18"/>
      <c r="Y838" s="29" t="str">
        <f t="shared" si="188"/>
        <v/>
      </c>
      <c r="Z838" s="20"/>
    </row>
    <row r="839" spans="1:26" s="5" customFormat="1" ht="18" customHeight="1" x14ac:dyDescent="0.2">
      <c r="A839" s="47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59"/>
      <c r="N839" s="15"/>
      <c r="O839" s="16" t="s">
        <v>27</v>
      </c>
      <c r="P839" s="16"/>
      <c r="Q839" s="16"/>
      <c r="R839" s="16" t="str">
        <f t="shared" si="186"/>
        <v/>
      </c>
      <c r="S839" s="7"/>
      <c r="T839" s="16" t="s">
        <v>27</v>
      </c>
      <c r="U839" s="29" t="str">
        <f>IF($J$1="October",Y838,"")</f>
        <v/>
      </c>
      <c r="V839" s="18"/>
      <c r="W839" s="29" t="str">
        <f t="shared" si="187"/>
        <v/>
      </c>
      <c r="X839" s="18"/>
      <c r="Y839" s="29" t="str">
        <f t="shared" si="188"/>
        <v/>
      </c>
      <c r="Z839" s="20"/>
    </row>
    <row r="840" spans="1:26" s="5" customFormat="1" ht="18" customHeight="1" x14ac:dyDescent="0.2">
      <c r="A840" s="47"/>
      <c r="B840" s="152" t="s">
        <v>57</v>
      </c>
      <c r="C840" s="152"/>
      <c r="D840" s="152"/>
      <c r="E840" s="152"/>
      <c r="F840" s="152"/>
      <c r="G840" s="152"/>
      <c r="H840" s="152"/>
      <c r="I840" s="152"/>
      <c r="J840" s="152"/>
      <c r="K840" s="152"/>
      <c r="L840" s="59"/>
      <c r="N840" s="15"/>
      <c r="O840" s="16" t="s">
        <v>32</v>
      </c>
      <c r="P840" s="16"/>
      <c r="Q840" s="16"/>
      <c r="R840" s="16" t="str">
        <f t="shared" si="186"/>
        <v/>
      </c>
      <c r="S840" s="7"/>
      <c r="T840" s="16" t="s">
        <v>32</v>
      </c>
      <c r="U840" s="29" t="str">
        <f>IF($J$1="November",Y839,"")</f>
        <v/>
      </c>
      <c r="V840" s="18"/>
      <c r="W840" s="29" t="str">
        <f t="shared" si="187"/>
        <v/>
      </c>
      <c r="X840" s="18"/>
      <c r="Y840" s="29" t="str">
        <f t="shared" si="188"/>
        <v/>
      </c>
      <c r="Z840" s="20"/>
    </row>
    <row r="841" spans="1:26" s="5" customFormat="1" ht="18" customHeight="1" x14ac:dyDescent="0.2">
      <c r="A841" s="47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59"/>
      <c r="N841" s="15"/>
      <c r="O841" s="16" t="s">
        <v>33</v>
      </c>
      <c r="P841" s="16"/>
      <c r="Q841" s="16"/>
      <c r="R841" s="16" t="str">
        <f t="shared" si="186"/>
        <v/>
      </c>
      <c r="S841" s="7"/>
      <c r="T841" s="16" t="s">
        <v>33</v>
      </c>
      <c r="U841" s="29" t="str">
        <f>IF($J$1="Dec",Y840,"")</f>
        <v/>
      </c>
      <c r="V841" s="18"/>
      <c r="W841" s="29" t="str">
        <f t="shared" si="187"/>
        <v/>
      </c>
      <c r="X841" s="18"/>
      <c r="Y841" s="29" t="str">
        <f t="shared" si="188"/>
        <v/>
      </c>
      <c r="Z841" s="20"/>
    </row>
    <row r="842" spans="1:26" s="5" customFormat="1" ht="18" customHeight="1" thickBot="1" x14ac:dyDescent="0.25">
      <c r="A842" s="73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75"/>
      <c r="N842" s="21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3"/>
    </row>
    <row r="843" spans="1:26" s="5" customFormat="1" ht="18" customHeight="1" x14ac:dyDescent="0.2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s="27" customFormat="1" ht="18" customHeight="1" x14ac:dyDescent="0.2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s="5" customFormat="1" ht="18" customHeight="1" x14ac:dyDescent="0.2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s="27" customFormat="1" ht="18" customHeight="1" x14ac:dyDescent="0.2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9">
    <mergeCell ref="T593:Y593"/>
    <mergeCell ref="F537:G537"/>
    <mergeCell ref="T578:Y578"/>
    <mergeCell ref="A382:L382"/>
    <mergeCell ref="B419:C419"/>
    <mergeCell ref="I377:J377"/>
    <mergeCell ref="I438:J438"/>
    <mergeCell ref="H459:I459"/>
    <mergeCell ref="I421:J421"/>
    <mergeCell ref="C398:F398"/>
    <mergeCell ref="B409:K410"/>
    <mergeCell ref="F401:G401"/>
    <mergeCell ref="I422:J422"/>
    <mergeCell ref="A428:L428"/>
    <mergeCell ref="H474:I474"/>
    <mergeCell ref="I482:J482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T609:Y609"/>
    <mergeCell ref="H703:I703"/>
    <mergeCell ref="A578:L578"/>
    <mergeCell ref="I588:J588"/>
    <mergeCell ref="I643:K643"/>
    <mergeCell ref="O655:R655"/>
    <mergeCell ref="A488:L488"/>
    <mergeCell ref="I483:J483"/>
    <mergeCell ref="I712:J712"/>
    <mergeCell ref="F800:G800"/>
    <mergeCell ref="F783:G783"/>
    <mergeCell ref="I527:J527"/>
    <mergeCell ref="B808:K809"/>
    <mergeCell ref="B802:C802"/>
    <mergeCell ref="B824:K825"/>
    <mergeCell ref="B729:K730"/>
    <mergeCell ref="A812:L812"/>
    <mergeCell ref="B818:C818"/>
    <mergeCell ref="I496:J496"/>
    <mergeCell ref="C718:F718"/>
    <mergeCell ref="I680:J680"/>
    <mergeCell ref="I663:J663"/>
    <mergeCell ref="C703:F703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I822:J822"/>
    <mergeCell ref="C813:F813"/>
    <mergeCell ref="B755:C755"/>
    <mergeCell ref="H829:I829"/>
    <mergeCell ref="I571:J571"/>
    <mergeCell ref="A503:L503"/>
    <mergeCell ref="I772:J772"/>
    <mergeCell ref="I743:J743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T247:Y247"/>
    <mergeCell ref="T217:Y217"/>
    <mergeCell ref="T292:Y292"/>
    <mergeCell ref="T367:Y367"/>
    <mergeCell ref="O352:R35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B569:C569"/>
    <mergeCell ref="I572:J572"/>
    <mergeCell ref="A548:L548"/>
    <mergeCell ref="F552:G552"/>
    <mergeCell ref="I477:K477"/>
    <mergeCell ref="I453:J453"/>
    <mergeCell ref="T548:Y548"/>
    <mergeCell ref="T563:Y563"/>
    <mergeCell ref="T262:Y262"/>
    <mergeCell ref="O292:R292"/>
    <mergeCell ref="O337:R337"/>
    <mergeCell ref="I360:J360"/>
    <mergeCell ref="C444:F444"/>
    <mergeCell ref="I481:J481"/>
    <mergeCell ref="B479:C479"/>
    <mergeCell ref="I407:J407"/>
    <mergeCell ref="I376:J376"/>
    <mergeCell ref="I467:J467"/>
    <mergeCell ref="B403:C403"/>
    <mergeCell ref="I405:J405"/>
    <mergeCell ref="A397:L397"/>
    <mergeCell ref="I401:K401"/>
    <mergeCell ref="H414:I414"/>
    <mergeCell ref="B434:C434"/>
    <mergeCell ref="I526:J526"/>
    <mergeCell ref="I361:J361"/>
    <mergeCell ref="F432:G432"/>
    <mergeCell ref="I437:J437"/>
    <mergeCell ref="I537:K537"/>
    <mergeCell ref="I513:J513"/>
    <mergeCell ref="I326:K326"/>
    <mergeCell ref="I331:J331"/>
    <mergeCell ref="I332:J332"/>
    <mergeCell ref="I272:J272"/>
    <mergeCell ref="C278:F278"/>
    <mergeCell ref="I107:J107"/>
    <mergeCell ref="C98:F98"/>
    <mergeCell ref="C158:F158"/>
    <mergeCell ref="C368:F36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H128:I128"/>
    <mergeCell ref="A112:L112"/>
    <mergeCell ref="C128:F128"/>
    <mergeCell ref="I122:J122"/>
    <mergeCell ref="I106:J106"/>
    <mergeCell ref="C83:F83"/>
    <mergeCell ref="O142:R142"/>
    <mergeCell ref="T97:Y97"/>
    <mergeCell ref="O97:R97"/>
    <mergeCell ref="T112:Y112"/>
    <mergeCell ref="T172:Y172"/>
    <mergeCell ref="F101:G101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I632:J632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F206:G206"/>
    <mergeCell ref="B73:C73"/>
    <mergeCell ref="I75:J75"/>
    <mergeCell ref="C68:F68"/>
    <mergeCell ref="H68:I68"/>
    <mergeCell ref="F71:G71"/>
    <mergeCell ref="H143:I143"/>
    <mergeCell ref="A142:L142"/>
    <mergeCell ref="B103:C103"/>
    <mergeCell ref="I92:J92"/>
    <mergeCell ref="F176:G176"/>
    <mergeCell ref="I71:K71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I511:J511"/>
    <mergeCell ref="I512:J512"/>
    <mergeCell ref="I436:J436"/>
    <mergeCell ref="H610:I610"/>
    <mergeCell ref="I837:J837"/>
    <mergeCell ref="I806:J806"/>
    <mergeCell ref="I451:J451"/>
    <mergeCell ref="H368:I368"/>
    <mergeCell ref="H218:I218"/>
    <mergeCell ref="F221:G221"/>
    <mergeCell ref="I221:K221"/>
    <mergeCell ref="F643:G643"/>
    <mergeCell ref="I619:J619"/>
    <mergeCell ref="I617:J617"/>
    <mergeCell ref="I528:J528"/>
    <mergeCell ref="B539:C539"/>
    <mergeCell ref="I541:J541"/>
    <mergeCell ref="B605:K606"/>
    <mergeCell ref="B599:C599"/>
    <mergeCell ref="H625:I625"/>
    <mergeCell ref="H564:I564"/>
    <mergeCell ref="C640:F640"/>
    <mergeCell ref="H640:I640"/>
    <mergeCell ref="I225:J225"/>
    <mergeCell ref="A352:L352"/>
    <mergeCell ref="I330:J330"/>
    <mergeCell ref="A277:L277"/>
    <mergeCell ref="I452:J452"/>
    <mergeCell ref="F417:G417"/>
    <mergeCell ref="F341:G341"/>
    <mergeCell ref="I341:K341"/>
    <mergeCell ref="I557:J557"/>
    <mergeCell ref="C579:F579"/>
    <mergeCell ref="I648:J648"/>
    <mergeCell ref="B683:K684"/>
    <mergeCell ref="H549:I549"/>
    <mergeCell ref="I836:J836"/>
    <mergeCell ref="A828:L828"/>
    <mergeCell ref="I664:J664"/>
    <mergeCell ref="B677:C677"/>
    <mergeCell ref="C656:F656"/>
    <mergeCell ref="A655:L655"/>
    <mergeCell ref="C672:F672"/>
    <mergeCell ref="H656:I656"/>
    <mergeCell ref="I820:J820"/>
    <mergeCell ref="F816:G816"/>
    <mergeCell ref="C829:F829"/>
    <mergeCell ref="I821:J821"/>
    <mergeCell ref="I816:K816"/>
    <mergeCell ref="I711:J711"/>
    <mergeCell ref="F832:G832"/>
    <mergeCell ref="H813:I813"/>
    <mergeCell ref="I783:K783"/>
    <mergeCell ref="F737:G737"/>
    <mergeCell ref="I788:J788"/>
    <mergeCell ref="B745:K746"/>
    <mergeCell ref="A764:L764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O639:R639"/>
    <mergeCell ref="O702:R702"/>
    <mergeCell ref="B661:C661"/>
    <mergeCell ref="I710:J710"/>
    <mergeCell ref="A702:L702"/>
    <mergeCell ref="B651:K652"/>
    <mergeCell ref="O733:R733"/>
    <mergeCell ref="B693:C693"/>
    <mergeCell ref="C688:F688"/>
    <mergeCell ref="O828:R828"/>
    <mergeCell ref="O812:R812"/>
    <mergeCell ref="O671:R671"/>
    <mergeCell ref="O749:R749"/>
    <mergeCell ref="B785:C785"/>
    <mergeCell ref="B776:K777"/>
    <mergeCell ref="I787:J787"/>
    <mergeCell ref="I789:J789"/>
    <mergeCell ref="A717:L717"/>
    <mergeCell ref="B723:C723"/>
    <mergeCell ref="B770:C770"/>
    <mergeCell ref="I665:J665"/>
    <mergeCell ref="C691:E691"/>
    <mergeCell ref="I695:J695"/>
    <mergeCell ref="I696:J696"/>
    <mergeCell ref="F714:J71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B667:K668"/>
    <mergeCell ref="I697:J697"/>
    <mergeCell ref="A639:L639"/>
    <mergeCell ref="I757:J757"/>
    <mergeCell ref="F706:G706"/>
    <mergeCell ref="I633:J633"/>
    <mergeCell ref="B630:C630"/>
    <mergeCell ref="I628:K628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I182:J182"/>
    <mergeCell ref="I191:K191"/>
    <mergeCell ref="C203:F203"/>
    <mergeCell ref="F326:G326"/>
    <mergeCell ref="H263:I263"/>
    <mergeCell ref="I271:J271"/>
    <mergeCell ref="I281:K281"/>
    <mergeCell ref="B283:C283"/>
    <mergeCell ref="B268:C268"/>
    <mergeCell ref="A247:L247"/>
    <mergeCell ref="I241:J241"/>
    <mergeCell ref="F356:G356"/>
    <mergeCell ref="A367:L367"/>
    <mergeCell ref="O127:R127"/>
    <mergeCell ref="I120:J120"/>
    <mergeCell ref="I121:J121"/>
    <mergeCell ref="C414:F414"/>
    <mergeCell ref="B373:C373"/>
    <mergeCell ref="H173:I173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H308:I308"/>
    <mergeCell ref="O202:R202"/>
    <mergeCell ref="O187:R187"/>
    <mergeCell ref="O157:R157"/>
    <mergeCell ref="O413:R413"/>
    <mergeCell ref="I386:K386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O232:R232"/>
    <mergeCell ref="O172:R172"/>
    <mergeCell ref="I180:J180"/>
    <mergeCell ref="I196:J196"/>
    <mergeCell ref="I195:J195"/>
    <mergeCell ref="C218:F218"/>
    <mergeCell ref="B223:C223"/>
    <mergeCell ref="O488:R488"/>
    <mergeCell ref="O533:R533"/>
    <mergeCell ref="O624:R624"/>
    <mergeCell ref="F522:G522"/>
    <mergeCell ref="I522:K522"/>
    <mergeCell ref="I498:J498"/>
    <mergeCell ref="I466:J466"/>
    <mergeCell ref="H444:I444"/>
    <mergeCell ref="I597:K597"/>
    <mergeCell ref="C534:F534"/>
    <mergeCell ref="F597:G597"/>
    <mergeCell ref="I586:J586"/>
    <mergeCell ref="I582:K582"/>
    <mergeCell ref="H489:I489"/>
    <mergeCell ref="F492:G492"/>
    <mergeCell ref="I492:K492"/>
    <mergeCell ref="O609:R609"/>
    <mergeCell ref="I618:J618"/>
    <mergeCell ref="I447:K447"/>
    <mergeCell ref="I497:J497"/>
    <mergeCell ref="H534:I534"/>
    <mergeCell ref="I558:J558"/>
    <mergeCell ref="B554:C554"/>
    <mergeCell ref="I542:J54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I406:J406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338:F338"/>
    <mergeCell ref="F281:G281"/>
    <mergeCell ref="H278:I278"/>
    <mergeCell ref="F146:G146"/>
    <mergeCell ref="I146:K146"/>
    <mergeCell ref="H188:I188"/>
    <mergeCell ref="C188:F188"/>
    <mergeCell ref="I255:J255"/>
    <mergeCell ref="T828:Y828"/>
    <mergeCell ref="T812:Y812"/>
    <mergeCell ref="I206:K206"/>
    <mergeCell ref="B208:C208"/>
    <mergeCell ref="I210:J210"/>
    <mergeCell ref="I356:K356"/>
    <mergeCell ref="H353:I353"/>
    <mergeCell ref="T796:Y796"/>
    <mergeCell ref="O796:R79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O578:R578"/>
    <mergeCell ref="O563:R563"/>
    <mergeCell ref="O548:R548"/>
    <mergeCell ref="O443:R443"/>
    <mergeCell ref="C549:F549"/>
    <mergeCell ref="O307:R307"/>
    <mergeCell ref="I301:J301"/>
    <mergeCell ref="O277:R277"/>
    <mergeCell ref="I240:J240"/>
    <mergeCell ref="A262:L262"/>
    <mergeCell ref="I266:K266"/>
    <mergeCell ref="I346:J346"/>
    <mergeCell ref="I345:J345"/>
    <mergeCell ref="I311:K311"/>
    <mergeCell ref="A337:L337"/>
    <mergeCell ref="A322:L322"/>
    <mergeCell ref="B313:C313"/>
    <mergeCell ref="I316:J316"/>
    <mergeCell ref="I256:J256"/>
    <mergeCell ref="I257:J257"/>
    <mergeCell ref="F266:G266"/>
    <mergeCell ref="O262:R262"/>
    <mergeCell ref="B298:C298"/>
    <mergeCell ref="C293:F293"/>
    <mergeCell ref="F296:G296"/>
    <mergeCell ref="F311:G311"/>
    <mergeCell ref="C323:F323"/>
    <mergeCell ref="H323:I323"/>
    <mergeCell ref="I296:K296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Salary Sheets</vt:lpstr>
      <vt:lpstr>Salary Record</vt:lpstr>
      <vt:lpstr>'Salary Record'!Print_Area</vt:lpstr>
      <vt:lpstr>'Salary Sheets'!Print_Area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2024-04-01T06:20:41Z</cp:lastPrinted>
  <dcterms:created xsi:type="dcterms:W3CDTF">2007-01-04T05:01:09Z</dcterms:created>
  <dcterms:modified xsi:type="dcterms:W3CDTF">2024-04-04T12:21:38Z</dcterms:modified>
</cp:coreProperties>
</file>