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85324F4-D531-4974-AA20-4D5147728FF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Posting!$A$1:$P$20144</definedName>
    <definedName name="_xlnm._FilterDatabase" localSheetId="5" hidden="1">Supplier!$A$1:$XFC$3839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33" r:id="rId29"/>
    <pivotCache cacheId="175" r:id="rId30"/>
  </pivotCaches>
</workbook>
</file>

<file path=xl/calcChain.xml><?xml version="1.0" encoding="utf-8"?>
<calcChain xmlns="http://schemas.openxmlformats.org/spreadsheetml/2006/main">
  <c r="G20129" i="1" l="1"/>
  <c r="G20124" i="1"/>
  <c r="G20125" i="1"/>
  <c r="G20126" i="1"/>
  <c r="G20127" i="1"/>
  <c r="G20128" i="1"/>
  <c r="G20123" i="1"/>
  <c r="G20116" i="1"/>
  <c r="G20117" i="1"/>
  <c r="G20118" i="1"/>
  <c r="G20119" i="1"/>
  <c r="G20120" i="1"/>
  <c r="G20121" i="1"/>
  <c r="G20122" i="1"/>
  <c r="G3841" i="2"/>
  <c r="G3846" i="2"/>
  <c r="G3833" i="2"/>
  <c r="G3845" i="2"/>
  <c r="G3844" i="2"/>
  <c r="G3843" i="2"/>
  <c r="G3842" i="2"/>
  <c r="G3840" i="2"/>
  <c r="G20145" i="1"/>
  <c r="L2" i="33"/>
  <c r="D2" i="33"/>
  <c r="L3" i="33"/>
  <c r="D3" i="33"/>
  <c r="K31" i="33"/>
  <c r="G3814" i="2"/>
  <c r="J28" i="31"/>
  <c r="I28" i="31"/>
  <c r="H28" i="31"/>
  <c r="N169" i="28"/>
  <c r="I169" i="28"/>
  <c r="D169" i="28"/>
  <c r="E20" i="31"/>
  <c r="P5" i="31"/>
  <c r="B25" i="3" s="1"/>
  <c r="P11" i="31"/>
  <c r="C26" i="3" s="1"/>
  <c r="P10" i="31"/>
  <c r="B26" i="3" s="1"/>
  <c r="P6" i="31"/>
  <c r="C25" i="3" s="1"/>
  <c r="G20115" i="1"/>
  <c r="G20144" i="1"/>
  <c r="G20139" i="1"/>
  <c r="G20113" i="1"/>
  <c r="G20114" i="1"/>
  <c r="G20106" i="1"/>
  <c r="G20107" i="1"/>
  <c r="G20098" i="1"/>
  <c r="G20099" i="1"/>
  <c r="G20100" i="1"/>
  <c r="G20101" i="1"/>
  <c r="G20102" i="1"/>
  <c r="G20103" i="1"/>
  <c r="G20104" i="1"/>
  <c r="G20105" i="1"/>
  <c r="G20097" i="1"/>
  <c r="G20112" i="1"/>
  <c r="G20111" i="1"/>
  <c r="G20109" i="1" l="1"/>
  <c r="G19961" i="1"/>
  <c r="G19829" i="1"/>
  <c r="G20110" i="1"/>
  <c r="G20108" i="1"/>
  <c r="G20096" i="1"/>
  <c r="D10" i="40"/>
  <c r="G3801" i="2" l="1"/>
  <c r="G3797" i="2"/>
  <c r="G3816" i="2"/>
  <c r="G3839" i="2"/>
  <c r="G3838" i="2"/>
  <c r="G3836" i="2"/>
  <c r="G3815" i="2"/>
  <c r="G20089" i="1"/>
  <c r="G20090" i="1"/>
  <c r="G20091" i="1"/>
  <c r="G20092" i="1"/>
  <c r="G20093" i="1"/>
  <c r="G20094" i="1"/>
  <c r="G20095" i="1"/>
  <c r="G20138" i="1"/>
  <c r="G20137" i="1"/>
  <c r="G20136" i="1"/>
  <c r="G3832" i="2"/>
  <c r="G3813" i="2"/>
  <c r="G20075" i="1" l="1"/>
  <c r="G20088" i="1"/>
  <c r="G20086" i="1"/>
  <c r="G20087" i="1"/>
  <c r="G20143" i="1"/>
  <c r="G20085" i="1"/>
  <c r="G20079" i="1"/>
  <c r="G20080" i="1"/>
  <c r="G20081" i="1"/>
  <c r="G20082" i="1"/>
  <c r="G20083" i="1"/>
  <c r="G20084" i="1"/>
  <c r="G20077" i="1"/>
  <c r="G20078" i="1"/>
  <c r="G20076" i="1"/>
  <c r="G20074" i="1"/>
  <c r="G20071" i="1"/>
  <c r="G20072" i="1"/>
  <c r="G20073" i="1"/>
  <c r="G20065" i="1" l="1"/>
  <c r="G20066" i="1"/>
  <c r="G20067" i="1"/>
  <c r="G20068" i="1"/>
  <c r="G20069" i="1"/>
  <c r="G20070" i="1"/>
  <c r="G19951" i="1"/>
  <c r="G20064" i="1"/>
  <c r="G20047" i="1"/>
  <c r="G20048" i="1"/>
  <c r="G19780" i="1" l="1"/>
  <c r="G3827" i="2"/>
  <c r="G3828" i="2"/>
  <c r="G3829" i="2"/>
  <c r="G3830" i="2"/>
  <c r="G20036" i="1"/>
  <c r="G20033" i="1"/>
  <c r="G20034" i="1"/>
  <c r="G20035" i="1"/>
  <c r="G3837" i="2"/>
  <c r="G3835" i="2"/>
  <c r="G3834" i="2"/>
  <c r="G3831" i="2"/>
  <c r="G20063" i="1" l="1"/>
  <c r="G20060" i="1"/>
  <c r="G20059" i="1" l="1"/>
  <c r="G20062" i="1"/>
  <c r="G20054" i="1"/>
  <c r="G19950" i="1"/>
  <c r="G20055" i="1"/>
  <c r="G20056" i="1"/>
  <c r="G20057" i="1"/>
  <c r="G20058" i="1"/>
  <c r="G20061" i="1"/>
  <c r="G20053" i="1"/>
  <c r="G20052" i="1"/>
  <c r="G20049" i="1"/>
  <c r="G20050" i="1"/>
  <c r="G20051" i="1"/>
  <c r="G20026" i="1"/>
  <c r="G20027" i="1"/>
  <c r="G20028" i="1"/>
  <c r="G20029" i="1"/>
  <c r="G20030" i="1"/>
  <c r="G20031" i="1"/>
  <c r="G20032" i="1"/>
  <c r="G20037" i="1"/>
  <c r="G20038" i="1"/>
  <c r="G20039" i="1"/>
  <c r="G20040" i="1"/>
  <c r="G20041" i="1"/>
  <c r="G20042" i="1"/>
  <c r="G20043" i="1"/>
  <c r="G20044" i="1"/>
  <c r="G20045" i="1"/>
  <c r="G20046" i="1"/>
  <c r="G20134" i="1"/>
  <c r="G20011" i="1"/>
  <c r="G20012" i="1"/>
  <c r="G20013" i="1"/>
  <c r="G20014" i="1"/>
  <c r="G20015" i="1"/>
  <c r="G20016" i="1"/>
  <c r="G20017" i="1"/>
  <c r="G20018" i="1"/>
  <c r="G20019" i="1"/>
  <c r="G20020" i="1"/>
  <c r="G20021" i="1"/>
  <c r="G20022" i="1"/>
  <c r="G20023" i="1"/>
  <c r="G20024" i="1"/>
  <c r="G20025" i="1"/>
  <c r="C7" i="3"/>
  <c r="G20131" i="1"/>
  <c r="G20132" i="1"/>
  <c r="G20133" i="1"/>
  <c r="G20130" i="1"/>
  <c r="G19903" i="1"/>
  <c r="G20135" i="1"/>
  <c r="G19949" i="1" l="1"/>
  <c r="G19991" i="1" l="1"/>
  <c r="G19992" i="1"/>
  <c r="G19993" i="1"/>
  <c r="G19994" i="1"/>
  <c r="G19995" i="1"/>
  <c r="G20142" i="1"/>
  <c r="G19948" i="1"/>
  <c r="G3820" i="2"/>
  <c r="G3821" i="2"/>
  <c r="G3822" i="2"/>
  <c r="G3823" i="2"/>
  <c r="G3824" i="2"/>
  <c r="G3825" i="2"/>
  <c r="G3819" i="2"/>
  <c r="G3826" i="2"/>
  <c r="G3818" i="2"/>
  <c r="G3817" i="2"/>
  <c r="G20008" i="1"/>
  <c r="G20009" i="1"/>
  <c r="G20010" i="1"/>
  <c r="G19989" i="1"/>
  <c r="G19996" i="1"/>
  <c r="G19997" i="1"/>
  <c r="G19944" i="1"/>
  <c r="G19945" i="1"/>
  <c r="G19998" i="1"/>
  <c r="G19999" i="1"/>
  <c r="G20000" i="1"/>
  <c r="G20001" i="1"/>
  <c r="G19946" i="1"/>
  <c r="G20002" i="1"/>
  <c r="G19947" i="1"/>
  <c r="G20003" i="1"/>
  <c r="G20004" i="1"/>
  <c r="G20005" i="1"/>
  <c r="G20006" i="1"/>
  <c r="G20007" i="1"/>
  <c r="G19990" i="1"/>
  <c r="G19981" i="1"/>
  <c r="G19982" i="1"/>
  <c r="G19987" i="1"/>
  <c r="G19988" i="1"/>
  <c r="G19986" i="1"/>
  <c r="G19942" i="1"/>
  <c r="G19943" i="1"/>
  <c r="G19979" i="1"/>
  <c r="G19928" i="1"/>
  <c r="G19929" i="1"/>
  <c r="G19930" i="1"/>
  <c r="G19931" i="1"/>
  <c r="G20141" i="1" l="1"/>
  <c r="G20140" i="1"/>
  <c r="G3800" i="2"/>
  <c r="G3812" i="2"/>
  <c r="G3811" i="2"/>
  <c r="G3810" i="2"/>
  <c r="G3799" i="2"/>
  <c r="G19939" i="1"/>
  <c r="G19627" i="1" l="1"/>
  <c r="G19924" i="1"/>
  <c r="G19920" i="1"/>
  <c r="G19977" i="1"/>
  <c r="G19978" i="1"/>
  <c r="G19957" i="1" l="1"/>
  <c r="G19938" i="1"/>
  <c r="G19937" i="1"/>
  <c r="G19940" i="1"/>
  <c r="G19941" i="1"/>
  <c r="G19983" i="1"/>
  <c r="G19984" i="1"/>
  <c r="G19985" i="1"/>
  <c r="G19976" i="1"/>
  <c r="G19980" i="1"/>
  <c r="G19974" i="1"/>
  <c r="G19975" i="1"/>
  <c r="G19936" i="1"/>
  <c r="G19962" i="1"/>
  <c r="G19935" i="1"/>
  <c r="G19963" i="1"/>
  <c r="G19964" i="1"/>
  <c r="G19965" i="1"/>
  <c r="G19966" i="1"/>
  <c r="G19967" i="1"/>
  <c r="G19968" i="1"/>
  <c r="G19969" i="1"/>
  <c r="G19970" i="1"/>
  <c r="G19971" i="1"/>
  <c r="G19972" i="1"/>
  <c r="G19973" i="1"/>
  <c r="G19932" i="1"/>
  <c r="G19959" i="1"/>
  <c r="G19960" i="1"/>
  <c r="G19933" i="1"/>
  <c r="G19934" i="1"/>
  <c r="G19885" i="1"/>
  <c r="G19884" i="1"/>
  <c r="B7" i="3"/>
  <c r="B19" i="3" s="1"/>
  <c r="E4" i="31" s="1"/>
  <c r="C18" i="3"/>
  <c r="C17" i="3"/>
  <c r="C16" i="3"/>
  <c r="C15" i="3"/>
  <c r="C14" i="3"/>
  <c r="C13" i="3"/>
  <c r="C12" i="3"/>
  <c r="C11" i="3"/>
  <c r="C10" i="3"/>
  <c r="C9" i="3"/>
  <c r="C8" i="3"/>
  <c r="G19958" i="1"/>
  <c r="B28" i="3" l="1"/>
  <c r="C19" i="3"/>
  <c r="G3748" i="2"/>
  <c r="G19955" i="1"/>
  <c r="G19956" i="1"/>
  <c r="G19927" i="1"/>
  <c r="G19952" i="1"/>
  <c r="G19953" i="1"/>
  <c r="G19954" i="1"/>
  <c r="G18" i="3"/>
  <c r="G19886" i="1"/>
  <c r="G19887" i="1"/>
  <c r="G19888" i="1"/>
  <c r="G19883" i="1"/>
  <c r="G19864" i="1"/>
  <c r="G19845" i="1"/>
  <c r="G3809" i="2"/>
  <c r="G3808" i="2"/>
  <c r="G19882" i="1"/>
  <c r="G19881" i="1"/>
  <c r="G19852" i="1"/>
  <c r="G19868" i="1"/>
  <c r="G19869" i="1"/>
  <c r="G19880" i="1"/>
  <c r="G19874" i="1"/>
  <c r="G19875" i="1"/>
  <c r="G19876" i="1"/>
  <c r="G19877" i="1"/>
  <c r="G19878" i="1"/>
  <c r="G19879" i="1"/>
  <c r="G19870" i="1"/>
  <c r="G19871" i="1"/>
  <c r="G19872" i="1"/>
  <c r="G19873" i="1"/>
  <c r="G19902" i="1"/>
  <c r="G19901" i="1"/>
  <c r="E19817" i="1"/>
  <c r="G19817" i="1" s="1"/>
  <c r="E19816" i="1"/>
  <c r="G19816" i="1" s="1"/>
  <c r="G19863" i="1"/>
  <c r="G19865" i="1"/>
  <c r="G19866" i="1"/>
  <c r="G19867" i="1"/>
  <c r="G19862" i="1"/>
  <c r="G19861" i="1"/>
  <c r="G19858" i="1"/>
  <c r="G19859" i="1"/>
  <c r="G19860" i="1"/>
  <c r="G19855" i="1"/>
  <c r="G19856" i="1"/>
  <c r="G19857" i="1"/>
  <c r="G19853" i="1"/>
  <c r="G19854" i="1"/>
  <c r="G19851" i="1"/>
  <c r="G3805" i="2"/>
  <c r="G3806" i="2"/>
  <c r="G3807" i="2"/>
  <c r="G19850" i="1"/>
  <c r="G19849" i="1"/>
  <c r="G19848" i="1"/>
  <c r="G19847" i="1"/>
  <c r="G19846" i="1"/>
  <c r="G19840" i="1"/>
  <c r="G19841" i="1"/>
  <c r="G19842" i="1"/>
  <c r="G19843" i="1"/>
  <c r="G19844" i="1"/>
  <c r="G3804" i="2"/>
  <c r="G3803" i="2"/>
  <c r="G3802" i="2"/>
  <c r="C21" i="3" l="1"/>
  <c r="E5" i="31"/>
  <c r="E6" i="31" s="1"/>
  <c r="E11" i="31" s="1"/>
  <c r="E22" i="31" s="1"/>
  <c r="C28" i="3"/>
  <c r="C30" i="3" s="1"/>
  <c r="F18" i="3"/>
  <c r="G19926" i="1"/>
  <c r="G3798" i="2"/>
  <c r="G19839" i="1"/>
  <c r="G19837" i="1"/>
  <c r="G19838" i="1"/>
  <c r="D27" i="31" l="1"/>
  <c r="D29" i="31" s="1"/>
  <c r="C27" i="31"/>
  <c r="C29" i="31" s="1"/>
  <c r="E27" i="31"/>
  <c r="E29" i="31" s="1"/>
  <c r="G19925" i="1"/>
  <c r="G19923" i="1"/>
  <c r="G19922" i="1"/>
  <c r="G19921" i="1" l="1"/>
  <c r="G19919" i="1"/>
  <c r="G19828" i="1" l="1"/>
  <c r="G19835" i="1"/>
  <c r="G19834" i="1"/>
  <c r="G19836" i="1"/>
  <c r="G19830" i="1"/>
  <c r="G19831" i="1"/>
  <c r="G19832" i="1"/>
  <c r="G19833" i="1"/>
  <c r="G19826" i="1"/>
  <c r="G19827" i="1"/>
  <c r="G19818" i="1"/>
  <c r="G19819" i="1"/>
  <c r="G19820" i="1"/>
  <c r="G19821" i="1"/>
  <c r="G19822" i="1"/>
  <c r="G19823" i="1"/>
  <c r="G19824" i="1"/>
  <c r="G19825" i="1"/>
  <c r="G19916" i="1"/>
  <c r="G19915" i="1"/>
  <c r="G19918"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7" i="1" l="1"/>
  <c r="H3" i="40" l="1"/>
  <c r="I3" i="40" s="1"/>
  <c r="J3" i="40" s="1"/>
  <c r="D3" i="40"/>
  <c r="E3" i="40" s="1"/>
  <c r="G19787" i="1"/>
  <c r="G19905" i="1" l="1"/>
  <c r="G19906" i="1"/>
  <c r="G19907" i="1"/>
  <c r="G19908" i="1"/>
  <c r="G19909" i="1"/>
  <c r="G19910" i="1"/>
  <c r="G19911" i="1"/>
  <c r="G19912" i="1"/>
  <c r="G19913" i="1"/>
  <c r="G19914" i="1"/>
  <c r="G19890" i="1"/>
  <c r="G19891" i="1"/>
  <c r="G19892" i="1"/>
  <c r="G19893" i="1"/>
  <c r="G19894" i="1"/>
  <c r="G19895" i="1"/>
  <c r="G19896" i="1"/>
  <c r="G19897" i="1"/>
  <c r="G19898" i="1"/>
  <c r="G19899" i="1"/>
  <c r="G19900"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1" i="40"/>
  <c r="I11" i="40" s="1"/>
  <c r="J11" i="40" s="1"/>
  <c r="E13" i="40" l="1"/>
  <c r="G18" i="40" l="1"/>
  <c r="H18" i="40" l="1"/>
  <c r="E24"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4" i="1"/>
  <c r="G19889"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7" i="40" l="1"/>
  <c r="G19" i="40" l="1"/>
  <c r="G20" i="40" l="1"/>
  <c r="G23" i="40" l="1"/>
  <c r="G24" i="40" l="1"/>
  <c r="G25" i="40" l="1"/>
  <c r="H10" i="40" l="1"/>
  <c r="H12" i="40"/>
  <c r="H17" i="40"/>
  <c r="H14" i="40"/>
  <c r="H19" i="40"/>
  <c r="H20" i="40"/>
  <c r="H21" i="40"/>
  <c r="H22" i="40"/>
  <c r="H23" i="40"/>
  <c r="H24" i="40"/>
  <c r="H25" i="40"/>
  <c r="I25" i="40" s="1"/>
  <c r="J25" i="40" s="1"/>
  <c r="I12" i="40" l="1"/>
  <c r="J12" i="40" s="1"/>
  <c r="I18" i="40"/>
  <c r="J18" i="40" s="1"/>
  <c r="I14" i="40"/>
  <c r="J14" i="40" s="1"/>
  <c r="I21" i="40"/>
  <c r="J21" i="40" s="1"/>
  <c r="I10" i="40"/>
  <c r="J10" i="40" s="1"/>
  <c r="I17" i="40"/>
  <c r="J17" i="40" s="1"/>
  <c r="I19" i="40"/>
  <c r="J19" i="40" s="1"/>
  <c r="I20" i="40"/>
  <c r="J20" i="40" s="1"/>
  <c r="I22" i="40"/>
  <c r="J22" i="40" s="1"/>
  <c r="I23" i="40"/>
  <c r="J23" i="40" s="1"/>
  <c r="I24" i="40"/>
  <c r="J24" i="40" s="1"/>
  <c r="D20" i="40"/>
  <c r="E20" i="40" s="1"/>
  <c r="D16" i="40" l="1"/>
  <c r="E16" i="40" l="1"/>
  <c r="H16" i="40" s="1"/>
  <c r="I16" i="40" s="1"/>
  <c r="J16" i="40" s="1"/>
  <c r="E12" i="40"/>
  <c r="H13" i="40"/>
  <c r="I13" i="40" s="1"/>
  <c r="J13" i="40" s="1"/>
  <c r="E17" i="40"/>
  <c r="E14" i="40"/>
  <c r="E19" i="40"/>
  <c r="E22" i="40"/>
  <c r="E23" i="40"/>
  <c r="E25" i="40"/>
  <c r="E15" i="40"/>
  <c r="H15" i="40" s="1"/>
  <c r="I15" i="40" s="1"/>
  <c r="J15" i="40" s="1"/>
  <c r="B21" i="40"/>
  <c r="G3674" i="2"/>
  <c r="G3669" i="2"/>
  <c r="G3668" i="2"/>
  <c r="G3650" i="2"/>
  <c r="J26" i="40" l="1"/>
  <c r="E21"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F19" i="3" s="1"/>
  <c r="G21" i="3" s="1"/>
  <c r="AS50" i="3"/>
  <c r="G4309" i="1"/>
  <c r="F767" i="2"/>
  <c r="G25" i="3" l="1"/>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I27" i="31" s="1"/>
  <c r="I29" i="31" s="1"/>
  <c r="N86" i="23"/>
  <c r="I92" i="23"/>
  <c r="I94" i="23" s="1"/>
  <c r="K92" i="23"/>
  <c r="K94" i="23" s="1"/>
  <c r="G762" i="2"/>
  <c r="G761" i="2"/>
  <c r="G760" i="2"/>
  <c r="H27" i="31" l="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3" i="33" l="1"/>
  <c r="G2" i="33"/>
  <c r="G3" i="33"/>
  <c r="F2" i="33"/>
  <c r="K3" i="40"/>
  <c r="L3" i="40" s="1"/>
  <c r="K2" i="40"/>
  <c r="L2" i="40" s="1"/>
  <c r="K4" i="40"/>
  <c r="L4" i="40" s="1"/>
  <c r="K5" i="40"/>
  <c r="L5" i="40" s="1"/>
  <c r="K11" i="40"/>
  <c r="L11" i="40" s="1"/>
  <c r="K6" i="40"/>
  <c r="L6" i="40" s="1"/>
  <c r="K8" i="40"/>
  <c r="L8" i="40" s="1"/>
  <c r="K9" i="40"/>
  <c r="L9" i="40" s="1"/>
  <c r="K7" i="40"/>
  <c r="L7" i="40" s="1"/>
  <c r="K15" i="40"/>
  <c r="L15" i="40" s="1"/>
  <c r="K20" i="40"/>
  <c r="L20" i="40" s="1"/>
  <c r="G12" i="33"/>
  <c r="F12" i="33"/>
  <c r="F4" i="33"/>
  <c r="G4" i="33"/>
  <c r="K24" i="40"/>
  <c r="L24" i="40" s="1"/>
  <c r="K18" i="40"/>
  <c r="L18" i="40" s="1"/>
  <c r="K16" i="40"/>
  <c r="L16" i="40" s="1"/>
  <c r="K19" i="40"/>
  <c r="L19" i="40" s="1"/>
  <c r="K21" i="40"/>
  <c r="L21" i="40" s="1"/>
  <c r="K12" i="40"/>
  <c r="L12" i="40" s="1"/>
  <c r="K23" i="40"/>
  <c r="L23" i="40" s="1"/>
  <c r="K17" i="40"/>
  <c r="L17" i="40" s="1"/>
  <c r="K10" i="40"/>
  <c r="K22" i="40"/>
  <c r="L22" i="40" s="1"/>
  <c r="K13" i="40"/>
  <c r="L13" i="40" s="1"/>
  <c r="K14" i="40"/>
  <c r="K25" i="40"/>
  <c r="L25"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0" i="40" l="1"/>
  <c r="L26" i="40" s="1"/>
  <c r="K26" i="40"/>
  <c r="AA12" i="31"/>
  <c r="J28" i="3"/>
  <c r="AF4" i="31"/>
  <c r="AA7" i="31"/>
  <c r="AF5" i="31"/>
  <c r="K28" i="3"/>
  <c r="L31" i="33"/>
  <c r="AK213" i="3"/>
  <c r="AA17" i="31" l="1"/>
  <c r="U20" i="31" s="1"/>
  <c r="K30" i="3"/>
  <c r="AF6" i="31"/>
  <c r="AF11" i="31" s="1"/>
  <c r="AF22" i="31" s="1"/>
  <c r="AF27" i="31" s="1"/>
  <c r="AF29" i="31" s="1"/>
  <c r="AD27" i="31" l="1"/>
  <c r="AD29" i="31" s="1"/>
  <c r="AE27" i="31"/>
  <c r="AE29" i="31" s="1"/>
  <c r="E10"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<sst xmlns="http://schemas.openxmlformats.org/spreadsheetml/2006/main" count="90927" uniqueCount="13569">
  <si>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</si>
  <si>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</si>
  <si>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</si>
  <si>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</si>
  <si>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</si>
  <si>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</si>
  <si>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</si>
  <si>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</si>
  <si>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</si>
  <si>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</si>
  <si>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</si>
  <si>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</si>
  <si>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</si>
  <si>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</si>
  <si>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</si>
  <si>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</si>
  <si>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</si>
  <si>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</si>
  <si>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</si>
  <si>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</si>
  <si>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</si>
  <si>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</si>
  <si>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</si>
  <si>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</si>
  <si>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</si>
  <si>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</si>
  <si>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</si>
  <si>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</si>
  <si>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</si>
  <si>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</si>
  <si>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</si>
  <si>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</si>
  <si>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</si>
  <si>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</si>
  <si>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</si>
  <si>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</si>
  <si>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</si>
  <si>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</si>
  <si>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</si>
  <si>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</si>
  <si>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</si>
  <si>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</si>
  <si>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</si>
  <si>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</si>
  <si>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</si>
  <si>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</si>
  <si>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</si>
  <si>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</si>
  <si>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</si>
  <si>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</si>
  <si>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</si>
  <si>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</si>
  <si>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</si>
  <si>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</si>
  <si>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</si>
  <si>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</si>
  <si>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</si>
  <si>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</si>
  <si>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</si>
  <si>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</si>
  <si>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</si>
  <si>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</si>
  <si>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</si>
  <si>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</si>
  <si>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</si>
  <si>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</si>
  <si>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</si>
  <si>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</si>
  <si>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</si>
  <si>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</si>
  <si>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</si>
  <si>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</si>
  <si>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</si>
  <si>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</si>
  <si>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</si>
  <si>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</si>
  <si>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</si>
  <si>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</si>
  <si>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</si>
  <si>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</si>
  <si>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</si>
  <si>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</si>
  <si>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</si>
  <si>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</si>
  <si>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</si>
  <si>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</si>
  <si>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</si>
  <si>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</si>
  <si>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</si>
  <si>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</si>
  <si>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</si>
  <si>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</si>
  <si>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</si>
  <si>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</si>
  <si>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</si>
  <si>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</si>
  <si>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</si>
  <si>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</si>
  <si>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</si>
  <si>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</si>
  <si>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</si>
  <si>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</si>
  <si>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</si>
  <si>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</si>
  <si>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</si>
  <si>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</si>
  <si>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</si>
  <si>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</si>
  <si>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</si>
  <si>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</si>
  <si>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</si>
  <si>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</si>
  <si>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</si>
  <si>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</si>
  <si>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</si>
  <si>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</si>
  <si>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</si>
  <si>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</si>
  <si>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</si>
  <si>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</si>
  <si>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</si>
  <si>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</si>
  <si>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</si>
  <si>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</si>
  <si>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</si>
  <si>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</si>
  <si>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</si>
  <si>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</si>
  <si>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</si>
  <si>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</si>
  <si>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</si>
  <si>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</si>
  <si>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</si>
  <si>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</si>
  <si>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</si>
  <si>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</si>
  <si>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</si>
  <si>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</si>
  <si>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</si>
  <si>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</si>
  <si>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</si>
  <si>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</si>
  <si>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</si>
  <si>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</si>
  <si>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</si>
  <si>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</si>
  <si>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</si>
  <si>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</si>
  <si>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</si>
  <si>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</si>
  <si>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</si>
  <si>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</si>
  <si>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</si>
  <si>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</si>
  <si>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</si>
  <si>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</si>
  <si>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</si>
  <si>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</si>
  <si>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</si>
  <si>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</si>
  <si>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</si>
  <si>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</si>
  <si>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</si>
  <si>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</si>
  <si>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</si>
  <si>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</si>
  <si>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</si>
  <si>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</si>
  <si>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</si>
  <si>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</si>
  <si>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</si>
  <si>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</si>
  <si>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</si>
  <si>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</si>
  <si>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</si>
  <si>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</si>
  <si>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</si>
  <si>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</si>
  <si>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</si>
  <si>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</si>
  <si>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</si>
  <si>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</si>
  <si>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</si>
  <si>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</si>
  <si>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</si>
  <si>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</si>
  <si>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</si>
  <si>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</si>
  <si>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</si>
  <si>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</si>
  <si>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</si>
  <si>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</si>
  <si>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</si>
  <si>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</si>
  <si>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</si>
  <si>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</si>
  <si>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</si>
  <si>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</si>
  <si>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</si>
  <si>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</si>
  <si>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</si>
  <si>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</si>
  <si>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</si>
  <si>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</si>
  <si>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</si>
  <si>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</si>
  <si>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</si>
  <si>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</si>
  <si>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</si>
  <si>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</si>
  <si>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</si>
  <si>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</si>
  <si>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</si>
  <si>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</si>
  <si>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</si>
  <si>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</si>
  <si>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</si>
  <si>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</si>
  <si>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</si>
  <si>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</si>
  <si>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</si>
  <si>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</si>
  <si>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</si>
  <si>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</si>
  <si>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</si>
  <si>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</si>
  <si>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</si>
  <si>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</si>
  <si>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</si>
  <si>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</si>
  <si>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</si>
  <si>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</si>
  <si>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</si>
  <si>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</si>
  <si>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</si>
  <si>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</si>
  <si>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</si>
  <si>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</si>
  <si>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</si>
  <si>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</si>
  <si>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</si>
  <si>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</si>
  <si>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</si>
  <si>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</si>
  <si>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</si>
  <si>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</si>
  <si>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</si>
  <si>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</si>
  <si>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</si>
  <si>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</si>
  <si>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</si>
  <si>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</si>
  <si>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</si>
  <si>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</si>
  <si>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</si>
  <si>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</si>
  <si>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</si>
  <si>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</si>
  <si>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</si>
  <si>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</si>
  <si>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</si>
  <si>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</si>
  <si>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</si>
  <si>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</si>
  <si>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</si>
  <si>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</si>
  <si>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</si>
  <si>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</si>
  <si>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</si>
  <si>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</si>
  <si>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</si>
  <si>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</si>
  <si>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</si>
  <si>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</si>
  <si>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</si>
  <si>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</si>
  <si>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</si>
  <si>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</si>
  <si>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</si>
  <si>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</si>
  <si>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</si>
  <si>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</si>
  <si>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</si>
  <si>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</si>
  <si>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</si>
  <si>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</si>
  <si>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</si>
  <si>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</si>
  <si>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</si>
  <si>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</si>
  <si>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</si>
  <si>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</si>
  <si>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</si>
  <si>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</si>
  <si>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</si>
  <si>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</si>
  <si>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</si>
  <si>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</si>
  <si>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</si>
  <si>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</si>
  <si>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</si>
  <si>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</si>
  <si>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</si>
  <si>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</si>
  <si>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</si>
  <si>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</si>
  <si>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</si>
  <si>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</si>
  <si>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</si>
  <si>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</si>
  <si>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</si>
  <si>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</si>
  <si>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</si>
  <si>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</si>
  <si>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</si>
  <si>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</si>
  <si>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</si>
  <si>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</si>
  <si>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</si>
  <si>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</si>
  <si>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</si>
  <si>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</si>
  <si>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</si>
  <si>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</si>
  <si>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</si>
  <si>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</si>
  <si>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</si>
  <si>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</si>
  <si>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</si>
  <si>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</si>
  <si>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</si>
  <si>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</si>
  <si>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</si>
  <si>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</si>
  <si>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</si>
  <si>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</si>
  <si>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</si>
  <si>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</si>
  <si>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</si>
  <si>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</si>
  <si>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</si>
  <si>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</si>
  <si>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</si>
  <si>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</si>
  <si>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</si>
  <si>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</si>
  <si>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</si>
  <si>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</si>
  <si>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</si>
  <si>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</si>
  <si>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</si>
  <si>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</si>
  <si>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</si>
  <si>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</si>
  <si>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</si>
  <si>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</si>
  <si>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</si>
  <si>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</si>
  <si>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</si>
  <si>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</si>
  <si>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</si>
  <si>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</si>
  <si>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</si>
  <si>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</si>
  <si>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</si>
  <si>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</si>
  <si>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</si>
  <si>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</si>
  <si>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</si>
  <si>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</si>
  <si>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</si>
  <si>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</si>
  <si>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</si>
  <si>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</si>
  <si>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</si>
  <si>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</si>
  <si>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</si>
  <si>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</si>
  <si>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</si>
  <si>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</si>
  <si>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</si>
  <si>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</si>
  <si>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</si>
  <si>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</si>
  <si>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</si>
  <si>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</si>
  <si>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</si>
  <si>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</si>
  <si>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</si>
  <si>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</si>
  <si>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</si>
  <si>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</si>
  <si>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</si>
  <si>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</si>
  <si>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</si>
  <si>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</si>
  <si>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</si>
  <si>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</si>
  <si>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</si>
  <si>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</si>
  <si>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</si>
  <si>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</si>
  <si>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</si>
  <si>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</si>
  <si>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</si>
  <si>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</si>
  <si>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</si>
  <si>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</si>
  <si>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</si>
  <si>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</si>
  <si>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</si>
  <si>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</si>
  <si>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</si>
  <si>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</si>
  <si>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</si>
  <si>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</si>
  <si>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</si>
  <si>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</si>
  <si>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</si>
  <si>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</si>
  <si>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</si>
  <si>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</si>
  <si>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</si>
  <si>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</si>
  <si>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</si>
  <si>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</si>
  <si>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</si>
  <si>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</si>
  <si>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</si>
  <si>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</si>
  <si>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</si>
  <si>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</si>
  <si>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</si>
  <si>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</si>
  <si>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</si>
  <si>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</si>
  <si>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</si>
  <si>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</si>
  <si>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</si>
  <si>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</si>
  <si>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</si>
  <si>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</si>
  <si>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</si>
  <si>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</si>
  <si>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</si>
  <si>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</si>
  <si>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</si>
  <si>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</si>
  <si>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</si>
  <si>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</si>
  <si>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</si>
  <si>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</si>
  <si>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</si>
  <si>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</si>
  <si>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</si>
  <si>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</si>
  <si>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</si>
  <si>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</si>
  <si>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</si>
  <si>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</si>
  <si>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</si>
  <si>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</si>
  <si>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</si>
  <si>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</si>
  <si>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</si>
  <si>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</si>
  <si>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</si>
  <si>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</si>
  <si>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</si>
  <si>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</si>
  <si>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</si>
  <si>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</si>
  <si>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</si>
  <si>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</si>
  <si>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</si>
  <si>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</si>
  <si>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</si>
  <si>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</si>
  <si>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</si>
  <si>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</si>
  <si>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</si>
  <si>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</si>
  <si>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</si>
  <si>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</si>
  <si>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</si>
  <si>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</si>
  <si>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</si>
  <si>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</si>
  <si>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</si>
  <si>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</si>
  <si>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</si>
  <si>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</si>
  <si>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</si>
  <si>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</si>
  <si>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</si>
  <si>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</si>
  <si>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</si>
  <si>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</si>
  <si>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</si>
  <si>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</si>
  <si>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</si>
  <si>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</si>
  <si>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</si>
  <si>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</si>
  <si>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</si>
  <si>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</si>
  <si>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</si>
  <si>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</si>
  <si>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</si>
  <si>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</si>
  <si>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</si>
  <si>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</si>
  <si>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</si>
  <si>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</si>
  <si>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</si>
  <si>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</si>
  <si>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</si>
  <si>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</si>
  <si>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</si>
  <si>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</si>
  <si>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</si>
  <si>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</si>
  <si>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</si>
  <si>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</si>
  <si>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</si>
  <si>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</si>
  <si>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</si>
  <si>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</si>
  <si>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</si>
  <si>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</si>
  <si>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</si>
  <si>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</si>
  <si>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</si>
  <si>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</si>
  <si>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</si>
  <si>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</si>
  <si>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</si>
  <si>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</si>
  <si>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</si>
  <si>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</si>
  <si>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</si>
  <si>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</si>
  <si>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</si>
  <si>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</si>
  <si>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</si>
  <si>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</si>
  <si>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</si>
  <si>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</si>
  <si>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</si>
  <si>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</si>
  <si>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</si>
  <si>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</si>
  <si>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</si>
  <si>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</si>
  <si>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</si>
  <si>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</si>
  <si>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</si>
  <si>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</si>
  <si>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</si>
  <si>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</si>
  <si>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</si>
  <si>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</si>
  <si>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</si>
  <si>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</si>
  <si>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</si>
  <si>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</si>
  <si>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</si>
  <si>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</si>
  <si>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</si>
  <si>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</si>
  <si>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</si>
  <si>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</si>
  <si>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</si>
  <si>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</si>
  <si>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</si>
  <si>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</si>
  <si>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</si>
  <si>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</si>
  <si>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</si>
  <si>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</si>
  <si>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</si>
  <si>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</si>
  <si>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</si>
  <si>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</si>
  <si>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</si>
  <si>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</si>
  <si>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</si>
  <si>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</si>
  <si>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</si>
  <si>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</si>
  <si>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</si>
  <si>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</si>
  <si>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</si>
  <si>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</si>
  <si>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</si>
  <si>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</si>
  <si>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</si>
  <si>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</si>
  <si>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</si>
  <si>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</si>
  <si>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</si>
  <si>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</si>
  <si>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</si>
  <si>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</si>
  <si>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</si>
  <si>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</si>
  <si>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</si>
  <si>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</si>
  <si>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</si>
  <si>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</si>
  <si>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</si>
  <si>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</si>
  <si>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</si>
  <si>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</si>
  <si>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</si>
  <si>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</si>
  <si>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</si>
  <si>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</si>
  <si>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</si>
  <si>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</si>
  <si>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</si>
  <si>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</si>
  <si>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</si>
  <si>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</si>
  <si>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</si>
  <si>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</si>
  <si>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</si>
  <si>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</si>
  <si>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</si>
  <si>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</si>
  <si>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</si>
  <si>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</si>
  <si>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</si>
  <si>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</si>
  <si>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</si>
  <si>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</si>
  <si>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</si>
  <si>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</si>
  <si>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</si>
  <si>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</si>
  <si>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</si>
  <si>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</si>
  <si>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</si>
  <si>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</si>
  <si>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</si>
  <si>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</si>
  <si>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</si>
  <si>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</si>
  <si>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</si>
  <si>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</si>
  <si>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</si>
  <si>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</si>
  <si>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</si>
  <si>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</si>
  <si>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</si>
  <si>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</si>
  <si>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</si>
  <si>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</si>
  <si>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</si>
  <si>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</si>
  <si>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</si>
  <si>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</si>
  <si>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</si>
  <si>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</si>
  <si>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</si>
  <si>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</si>
  <si>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</si>
  <si>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</si>
  <si>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</si>
  <si>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</si>
  <si>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</si>
  <si>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</si>
  <si>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</si>
  <si>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</si>
  <si>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</si>
  <si>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</si>
  <si>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</si>
  <si>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</si>
  <si>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</si>
  <si>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</si>
  <si>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</si>
  <si>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</si>
  <si>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</si>
  <si>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</si>
  <si>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</si>
  <si>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</si>
  <si>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</si>
  <si>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</si>
  <si>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</si>
  <si>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</si>
  <si>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</si>
  <si>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</si>
  <si>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</si>
  <si>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</si>
  <si>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</si>
  <si>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</si>
  <si>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</si>
  <si>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</si>
  <si>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</si>
  <si>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</si>
  <si>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</si>
  <si>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</si>
  <si>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</si>
  <si>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</si>
  <si>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</si>
  <si>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</si>
  <si>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</si>
  <si>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</si>
  <si>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</si>
  <si>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</si>
  <si>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</si>
  <si>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</si>
  <si>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</si>
  <si>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</si>
  <si>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</si>
  <si>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</si>
  <si>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</si>
  <si>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</si>
  <si>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</si>
  <si>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</si>
  <si>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</si>
  <si>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</si>
  <si>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</si>
  <si>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</si>
  <si>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</si>
  <si>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</si>
  <si>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</si>
  <si>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</si>
  <si>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</si>
  <si>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</si>
  <si>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</si>
  <si>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</si>
  <si>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</si>
  <si>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</si>
  <si>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</si>
  <si>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</si>
  <si>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</si>
  <si>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</si>
  <si>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</si>
  <si>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</si>
  <si>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</si>
  <si>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</si>
  <si>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</si>
  <si>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</si>
  <si>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</si>
  <si>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</si>
  <si>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</si>
  <si>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</si>
  <si>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</si>
  <si>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</si>
  <si>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</si>
  <si>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</si>
  <si>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</si>
  <si>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</si>
  <si>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</si>
  <si>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</si>
  <si>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</si>
  <si>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</si>
  <si>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</si>
  <si>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</si>
  <si>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</si>
  <si>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</si>
  <si>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</si>
  <si>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</si>
  <si>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</si>
  <si>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</si>
  <si>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</si>
  <si>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</si>
  <si>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</si>
  <si>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</si>
  <si>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</si>
  <si>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</si>
  <si>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</si>
  <si>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</si>
  <si>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</si>
  <si>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</si>
  <si>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</si>
  <si>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</si>
  <si>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</si>
  <si>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</si>
  <si>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</si>
  <si>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</si>
  <si>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</si>
  <si>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</si>
  <si>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</si>
  <si>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</si>
  <si>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</si>
  <si>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</si>
  <si>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</si>
  <si>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</si>
  <si>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</si>
  <si>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</si>
  <si>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</si>
  <si>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</si>
  <si>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</si>
  <si>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</si>
  <si>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</si>
  <si>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</si>
  <si>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</si>
  <si>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</si>
  <si>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</si>
  <si>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</si>
  <si>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</si>
  <si>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</si>
  <si>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</si>
  <si>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</si>
  <si>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</si>
  <si>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</si>
  <si>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</si>
  <si>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</si>
  <si>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</si>
  <si>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</si>
  <si>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</si>
  <si>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</si>
  <si>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</si>
  <si>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</si>
  <si>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</si>
  <si>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</si>
  <si>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</si>
  <si>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</si>
  <si>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</si>
  <si>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</si>
  <si>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</si>
  <si>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</si>
  <si>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</si>
  <si>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</si>
  <si>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</si>
  <si>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</si>
  <si>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</si>
  <si>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</si>
  <si>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</si>
  <si>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</si>
  <si>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</si>
  <si>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</si>
  <si>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</si>
  <si>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</si>
  <si>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</si>
  <si>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</si>
  <si>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</si>
  <si>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</si>
  <si>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</si>
  <si>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</si>
  <si>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</si>
  <si>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</si>
  <si>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</si>
  <si>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</si>
  <si>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</si>
  <si>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</si>
  <si>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</si>
  <si>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</si>
  <si>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</si>
  <si>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</si>
  <si>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</si>
  <si>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</si>
  <si>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</si>
  <si>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</si>
  <si>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</si>
  <si>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</si>
  <si>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</si>
  <si>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</si>
  <si>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</si>
  <si>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</si>
  <si>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</si>
  <si>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</si>
  <si>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</si>
  <si>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</si>
  <si>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</si>
  <si>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</si>
  <si>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</si>
  <si>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</si>
  <si>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</si>
  <si>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</si>
  <si>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</si>
  <si>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</si>
  <si>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</si>
  <si>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</si>
  <si>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</si>
  <si>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</si>
  <si>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</si>
  <si>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</si>
  <si>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</si>
  <si>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</si>
  <si>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</si>
  <si>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</si>
  <si>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</si>
  <si>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</si>
  <si>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</si>
  <si>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</si>
  <si>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</si>
  <si>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</si>
  <si>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</si>
  <si>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</si>
  <si>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</si>
  <si>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</si>
  <si>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</si>
  <si>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</si>
  <si>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</si>
  <si>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</si>
  <si>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</si>
  <si>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</si>
  <si>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</si>
  <si>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</si>
  <si>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</si>
  <si>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</si>
  <si>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</si>
  <si>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</si>
  <si>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</si>
  <si>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</si>
  <si>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</si>
  <si>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</si>
  <si>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</si>
  <si>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</si>
  <si>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</si>
  <si>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</si>
  <si>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</si>
  <si>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</si>
  <si>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</si>
  <si>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</si>
  <si>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</si>
  <si>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</si>
  <si>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</si>
  <si>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</si>
  <si>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</si>
  <si>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</si>
  <si>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</si>
  <si>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</si>
  <si>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</si>
  <si>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</si>
  <si>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</si>
  <si>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</si>
  <si>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</si>
  <si>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</si>
  <si>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</si>
  <si>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</si>
  <si>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</si>
  <si>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</si>
  <si>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</si>
  <si>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</si>
  <si>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</si>
  <si>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</si>
  <si>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</si>
  <si>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</si>
  <si>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</si>
  <si>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</si>
  <si>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</si>
  <si>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</si>
  <si>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</si>
  <si>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</si>
  <si>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</si>
  <si>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</si>
  <si>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</si>
  <si>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</si>
  <si>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</si>
  <si>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</si>
  <si>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</si>
  <si>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</si>
  <si>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</si>
  <si>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</si>
  <si>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</si>
  <si>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</si>
  <si>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</si>
  <si>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</si>
  <si>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</si>
  <si>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</si>
  <si>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</si>
  <si>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</si>
  <si>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</si>
  <si>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</si>
  <si>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</si>
  <si>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</si>
  <si>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</si>
  <si>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</si>
  <si>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</si>
  <si>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</si>
  <si>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</si>
  <si>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</si>
  <si>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</si>
  <si>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</si>
  <si>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</si>
  <si>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</si>
  <si>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</si>
  <si>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</si>
  <si>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</si>
  <si>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</si>
  <si>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</si>
  <si>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</si>
  <si>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</si>
  <si>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</si>
  <si>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</si>
  <si>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</si>
  <si>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</si>
  <si>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</si>
  <si>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</si>
  <si>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</si>
  <si>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</si>
  <si>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</si>
  <si>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</si>
  <si>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</si>
  <si>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</si>
  <si>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</si>
  <si>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</si>
  <si>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</si>
  <si>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</si>
  <si>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</si>
  <si>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</si>
  <si>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</si>
  <si>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</si>
  <si>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</si>
  <si>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</si>
  <si>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</si>
  <si>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</si>
  <si>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</si>
  <si>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</si>
  <si>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</si>
  <si>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</si>
  <si>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</si>
  <si>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</si>
  <si>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</si>
  <si>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</si>
  <si>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</si>
  <si>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</si>
  <si>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</si>
  <si>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</si>
  <si>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</si>
  <si>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</si>
  <si>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</si>
  <si>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</si>
  <si>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</si>
  <si>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</si>
  <si>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</si>
  <si>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</si>
  <si>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</si>
  <si>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</si>
  <si>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</si>
  <si>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</si>
  <si>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</si>
  <si>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</si>
  <si>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</si>
  <si>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</si>
  <si>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</si>
  <si>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</si>
  <si>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</si>
  <si>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</si>
  <si>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</si>
  <si>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</si>
  <si>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</si>
  <si>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</si>
  <si>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</si>
  <si>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</si>
  <si>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</si>
  <si>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</si>
  <si>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</si>
  <si>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</si>
  <si>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</si>
  <si>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</si>
  <si>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</si>
  <si>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</si>
  <si>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</si>
  <si>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</si>
  <si>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</si>
  <si>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</si>
  <si>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</si>
  <si>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</si>
  <si>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</si>
  <si>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</si>
  <si>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</si>
  <si>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</si>
  <si>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</si>
  <si>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</si>
  <si>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</si>
  <si>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</si>
  <si>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</si>
  <si>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</si>
  <si>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</si>
  <si>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</si>
  <si>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</si>
  <si>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</si>
  <si>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</si>
  <si>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</si>
  <si>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</si>
  <si>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</si>
  <si>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</si>
  <si>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</si>
  <si>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</si>
  <si>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</si>
  <si>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</si>
  <si>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</si>
  <si>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</si>
  <si>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</si>
  <si>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</si>
  <si>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</si>
  <si>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</si>
  <si>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</si>
  <si>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</si>
  <si>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</si>
  <si>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</si>
  <si>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</si>
  <si>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</si>
  <si>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</si>
  <si>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</si>
  <si>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</si>
  <si>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</si>
  <si>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</si>
  <si>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</si>
  <si>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</si>
  <si>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</si>
  <si>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</si>
  <si>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</si>
  <si>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</si>
  <si>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</si>
  <si>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</si>
  <si>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</si>
  <si>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</si>
  <si>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</si>
  <si>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</si>
  <si>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</si>
  <si>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</si>
  <si>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</si>
  <si>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</si>
  <si>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</si>
  <si>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</si>
  <si>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</si>
  <si>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</si>
  <si>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</si>
  <si>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</si>
  <si>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</si>
  <si>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</si>
  <si>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</si>
  <si>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</si>
  <si>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</si>
  <si>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</si>
  <si>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</si>
  <si>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</si>
  <si>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</si>
  <si>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</si>
  <si>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</si>
  <si>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</si>
  <si>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</si>
  <si>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</si>
  <si>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</si>
  <si>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</si>
  <si>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</si>
  <si>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</si>
  <si>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</si>
  <si>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</si>
  <si>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</si>
  <si>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</si>
  <si>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</si>
  <si>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</si>
  <si>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</si>
  <si>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</si>
  <si>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</si>
  <si>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</si>
  <si>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</si>
  <si>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</si>
  <si>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</si>
  <si>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</si>
  <si>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</si>
  <si>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</si>
  <si>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</si>
  <si>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</si>
  <si>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</si>
  <si>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</si>
  <si>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</si>
  <si>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</si>
  <si>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</si>
  <si>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</si>
  <si>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</si>
  <si>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</si>
  <si>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</si>
  <si>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</si>
  <si>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</si>
  <si>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</si>
  <si>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</si>
  <si>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</si>
  <si>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</si>
  <si>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</si>
  <si>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</si>
  <si>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</si>
  <si>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</si>
  <si>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</si>
  <si>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</si>
  <si>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</si>
  <si>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</si>
  <si>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</si>
  <si>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</si>
  <si>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</si>
  <si>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</si>
  <si>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</si>
  <si>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</si>
  <si>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</si>
  <si>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</si>
  <si>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</si>
  <si>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</si>
  <si>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</si>
  <si>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</si>
  <si>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</si>
  <si>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</si>
  <si>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</si>
  <si>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</si>
  <si>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</si>
  <si>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</si>
  <si>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</si>
  <si>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</si>
  <si>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</si>
  <si>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</si>
  <si>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</si>
  <si>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</si>
  <si>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</si>
  <si>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</si>
  <si>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</si>
  <si>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</si>
  <si>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</si>
  <si>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</si>
  <si>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</si>
  <si>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</si>
  <si>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</si>
  <si>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</si>
  <si>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</si>
  <si>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</si>
  <si>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</si>
  <si>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</si>
  <si>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</si>
  <si>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</si>
  <si>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</si>
  <si>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</si>
  <si>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</si>
  <si>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</si>
  <si>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</si>
  <si>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</si>
  <si>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</si>
  <si>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</si>
  <si>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</si>
  <si>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</si>
  <si>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</si>
  <si>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</si>
  <si>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</si>
  <si>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</si>
  <si>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</si>
  <si>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</si>
  <si>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</si>
  <si>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</si>
  <si>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</si>
  <si>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</si>
  <si>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</si>
  <si>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</si>
  <si>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</si>
  <si>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</si>
  <si>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</si>
  <si>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</si>
  <si>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</si>
  <si>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</si>
  <si>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</si>
  <si>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</si>
  <si>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</si>
  <si>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</si>
  <si>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</si>
  <si>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</si>
  <si>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</si>
  <si>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</si>
  <si>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</si>
  <si>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</si>
  <si>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</si>
  <si>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</si>
  <si>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</si>
  <si>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</si>
  <si>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</si>
  <si>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</si>
  <si>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</si>
  <si>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</si>
  <si>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</si>
  <si>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</si>
  <si>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</si>
  <si>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</si>
  <si>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</si>
  <si>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</si>
  <si>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</si>
  <si>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</si>
  <si>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</si>
  <si>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</si>
  <si>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</si>
  <si>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</si>
  <si>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</si>
  <si>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</si>
  <si>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</si>
  <si>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</si>
  <si>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</si>
  <si>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</si>
  <si>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</si>
  <si>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</si>
  <si>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</si>
  <si>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</si>
  <si>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</si>
  <si>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</si>
  <si>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</si>
  <si>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</si>
  <si>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</si>
  <si>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</si>
  <si>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</si>
  <si>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</si>
  <si>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</si>
  <si>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</si>
  <si>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</si>
  <si>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</si>
  <si>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</si>
  <si>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</si>
  <si>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</si>
  <si>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</si>
  <si>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</si>
  <si>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</si>
  <si>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</si>
  <si>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</si>
  <si>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</si>
  <si>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</si>
  <si>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</si>
  <si>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</si>
  <si>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</si>
  <si>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</si>
  <si>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</si>
  <si>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</si>
  <si>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</si>
  <si>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</si>
  <si>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</si>
  <si>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</si>
  <si>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</si>
  <si>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</si>
  <si>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</si>
  <si>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</si>
  <si>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</si>
  <si>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</si>
  <si>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</si>
  <si>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</si>
  <si>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</si>
  <si>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</si>
  <si>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</si>
  <si>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</si>
  <si>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</si>
  <si>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</si>
  <si>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</si>
  <si>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</si>
  <si>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</si>
  <si>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</si>
  <si>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</si>
  <si>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</si>
  <si>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</si>
  <si>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</si>
  <si>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</si>
  <si>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</si>
  <si>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</si>
  <si>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</si>
  <si>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</si>
  <si>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</si>
  <si>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</si>
  <si>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</si>
  <si>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</si>
  <si>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</si>
  <si>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</si>
  <si>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</si>
  <si>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</si>
  <si>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</si>
  <si>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</si>
  <si>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</si>
  <si>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</si>
  <si>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</si>
  <si>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</si>
  <si>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</si>
  <si>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</si>
  <si>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</si>
  <si>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</si>
  <si>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</si>
  <si>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</si>
  <si>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</si>
  <si>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</si>
  <si>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</si>
  <si>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</si>
  <si>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</si>
  <si>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</si>
  <si>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</si>
  <si>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</si>
  <si>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</si>
  <si>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</si>
  <si>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</si>
  <si>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</si>
  <si>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</si>
  <si>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</si>
  <si>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</si>
  <si>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</si>
  <si>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</si>
  <si>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</si>
  <si>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</si>
  <si>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</si>
  <si>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</si>
  <si>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</si>
  <si>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</si>
  <si>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</si>
  <si>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</si>
  <si>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</si>
  <si>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</si>
  <si>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</si>
  <si>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</si>
  <si>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</si>
  <si>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</si>
  <si>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</si>
  <si>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</si>
  <si>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</si>
  <si>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</si>
  <si>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</si>
  <si>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</si>
  <si>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</si>
  <si>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</si>
  <si>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</si>
  <si>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</si>
  <si>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</si>
  <si>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</si>
  <si>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</si>
  <si>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</si>
  <si>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</si>
  <si>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</si>
  <si>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</si>
  <si>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</si>
  <si>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</si>
  <si>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</si>
  <si>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</si>
  <si>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</si>
  <si>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</si>
  <si>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</si>
  <si>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</si>
  <si>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</si>
  <si>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</si>
  <si>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</si>
  <si>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</si>
  <si>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</si>
  <si>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</si>
  <si>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</si>
  <si>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</si>
  <si>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</si>
  <si>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</si>
  <si>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</si>
  <si>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</si>
  <si>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</si>
  <si>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</si>
  <si>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</si>
  <si>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</si>
  <si>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</si>
  <si>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</si>
  <si>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</si>
  <si>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</si>
  <si>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</si>
  <si>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</si>
  <si>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</si>
  <si>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</si>
  <si>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</si>
  <si>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</si>
  <si>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</si>
  <si>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</si>
  <si>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</si>
  <si>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</si>
  <si>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</si>
  <si>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</si>
  <si>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</si>
  <si>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</si>
  <si>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</si>
  <si>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</si>
  <si>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</si>
  <si>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</si>
  <si>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</si>
  <si>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</si>
  <si>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</si>
  <si>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</si>
  <si>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</si>
  <si>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</si>
  <si>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</si>
  <si>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</si>
  <si>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</si>
  <si>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</si>
  <si>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</si>
  <si>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</si>
  <si>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</si>
  <si>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</si>
  <si>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</si>
  <si>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</si>
  <si>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</si>
  <si>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</si>
  <si>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</si>
  <si>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</si>
  <si>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</si>
  <si>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</si>
  <si>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</si>
  <si>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</si>
  <si>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</si>
  <si>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</si>
  <si>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</si>
  <si>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</si>
  <si>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</si>
  <si>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</si>
  <si>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</si>
  <si>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</si>
  <si>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</si>
  <si>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</si>
  <si>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</si>
  <si>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</si>
  <si>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</si>
  <si>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</si>
  <si>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</si>
  <si>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</si>
  <si>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</si>
  <si>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</si>
  <si>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</si>
  <si>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</si>
  <si>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</si>
  <si>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</si>
  <si>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</si>
  <si>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</si>
  <si>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</si>
  <si>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</si>
  <si>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</si>
  <si>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</si>
  <si>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</si>
  <si>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</si>
  <si>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</si>
  <si>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</si>
  <si>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</si>
  <si>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</si>
  <si>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</si>
  <si>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</si>
  <si>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</si>
  <si>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</si>
  <si>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</si>
  <si>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</si>
  <si>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</si>
  <si>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</si>
  <si>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</si>
  <si>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</si>
  <si>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</si>
  <si>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</si>
  <si>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</si>
  <si>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</si>
  <si>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</si>
  <si>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</si>
  <si>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</si>
  <si>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</si>
  <si>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</si>
  <si>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</si>
  <si>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</si>
  <si>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</si>
  <si>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</si>
  <si>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</si>
  <si>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</si>
  <si>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</si>
  <si>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</si>
  <si>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</si>
  <si>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</si>
  <si>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</si>
  <si>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</si>
  <si>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</si>
  <si>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</si>
  <si>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</si>
  <si>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</si>
  <si>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</si>
  <si>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</si>
  <si>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</si>
  <si>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</si>
  <si>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</si>
  <si>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</si>
  <si>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</si>
  <si>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</si>
  <si>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</si>
  <si>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</si>
  <si>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</si>
  <si>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</si>
  <si>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</si>
  <si>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</si>
  <si>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</si>
  <si>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</si>
  <si>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</si>
  <si>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</si>
  <si>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</si>
  <si>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</si>
  <si>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</si>
  <si>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</si>
  <si>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</si>
  <si>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</si>
  <si>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</si>
  <si>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</si>
  <si>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</si>
  <si>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</si>
  <si>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</si>
  <si>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</si>
  <si>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</si>
  <si>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</si>
  <si>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</si>
  <si>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</si>
  <si>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</si>
  <si>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</si>
  <si>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</si>
  <si>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</si>
  <si>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</si>
  <si>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</si>
  <si>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</si>
  <si>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</si>
  <si>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</si>
  <si>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</si>
  <si>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</si>
  <si>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</si>
  <si>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</si>
  <si>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</si>
  <si>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</si>
  <si>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</si>
  <si>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</si>
  <si>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</si>
  <si>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</si>
  <si>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</si>
  <si>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</si>
  <si>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</si>
  <si>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</si>
  <si>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</si>
  <si>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</si>
  <si>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</si>
  <si>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</si>
  <si>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</si>
  <si>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</si>
  <si>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</si>
  <si>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</si>
  <si>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</si>
  <si>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</si>
  <si>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</si>
  <si>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</si>
  <si>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</si>
  <si>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</si>
  <si>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</si>
  <si>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</si>
  <si>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</si>
  <si>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</si>
  <si>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</si>
  <si>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</si>
  <si>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</si>
  <si>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</si>
  <si>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</si>
  <si>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</si>
  <si>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</si>
  <si>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</si>
  <si>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</si>
  <si>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</si>
  <si>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</si>
  <si>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</si>
  <si>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</si>
  <si>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</si>
  <si>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</si>
  <si>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</si>
  <si>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</si>
  <si>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</si>
  <si>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</si>
  <si>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</si>
  <si>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</si>
  <si>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</si>
  <si>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</si>
  <si>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</si>
  <si>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</si>
  <si>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</si>
  <si>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</si>
  <si>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</si>
  <si>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</si>
  <si>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</si>
  <si>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</si>
  <si>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</si>
  <si>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</si>
  <si>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</si>
  <si>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</si>
  <si>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</si>
  <si>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</si>
  <si>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</si>
  <si>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</si>
  <si>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</si>
  <si>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</si>
  <si>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</si>
  <si>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</si>
  <si>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</si>
  <si>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</si>
  <si>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</si>
  <si>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</si>
  <si>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</si>
  <si>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</si>
  <si>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</si>
  <si>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</si>
  <si>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</si>
  <si>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</si>
  <si>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</si>
  <si>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</si>
  <si>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</si>
  <si>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</si>
  <si>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</si>
  <si>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</si>
  <si>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</si>
  <si>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</si>
  <si>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</si>
  <si>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</si>
  <si>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</si>
  <si>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</si>
  <si>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</si>
  <si>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</si>
  <si>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</si>
  <si>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</si>
  <si>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</si>
  <si>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</si>
  <si>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</si>
  <si>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</si>
  <si>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</si>
  <si>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</si>
  <si>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</si>
  <si>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</si>
  <si>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</si>
  <si>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</si>
  <si>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</si>
  <si>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</si>
  <si>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</si>
  <si>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</si>
  <si>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</si>
  <si>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</si>
  <si>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</si>
  <si>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</si>
  <si>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</si>
  <si>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</si>
  <si>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</si>
  <si>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</si>
  <si>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</si>
  <si>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</si>
  <si>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</si>
  <si>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</si>
  <si>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</si>
  <si>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</si>
  <si>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</si>
  <si>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</si>
  <si>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</si>
  <si>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</si>
  <si>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</si>
  <si>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</si>
  <si>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</si>
  <si>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</si>
  <si>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</si>
  <si>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</si>
  <si>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</si>
  <si>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</si>
  <si>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</si>
  <si>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</si>
  <si>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</si>
  <si>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</si>
  <si>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</si>
  <si>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</si>
  <si>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</si>
  <si>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</si>
  <si>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</si>
  <si>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</si>
  <si>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</si>
  <si>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</si>
  <si>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</si>
  <si>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</si>
  <si>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</si>
  <si>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</si>
  <si>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</si>
  <si>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</si>
  <si>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</si>
  <si>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</si>
  <si>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</si>
  <si>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</si>
  <si>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</si>
  <si>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</si>
  <si>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</si>
  <si>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</si>
  <si>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</si>
  <si>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</si>
  <si>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</si>
  <si>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</si>
  <si>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</si>
  <si>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</si>
  <si>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</si>
  <si>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</si>
  <si>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</si>
  <si>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</si>
  <si>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</si>
  <si>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</si>
  <si>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</si>
  <si>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</si>
  <si>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</si>
  <si>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</si>
  <si>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</si>
  <si>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</si>
  <si>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</si>
  <si>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</si>
  <si>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</si>
  <si>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</si>
  <si>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</si>
  <si>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</si>
  <si>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</si>
  <si>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</si>
  <si>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</si>
  <si>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</si>
  <si>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</si>
  <si>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</si>
  <si>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</si>
  <si>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</si>
  <si>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</si>
  <si>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</si>
  <si>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</si>
  <si>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</si>
  <si>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</si>
  <si>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</si>
  <si>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</si>
  <si>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</si>
  <si>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</si>
  <si>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</si>
  <si>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</si>
  <si>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</si>
  <si>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</si>
  <si>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</si>
  <si>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</si>
  <si>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</si>
  <si>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</si>
  <si>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</si>
  <si>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</si>
  <si>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</si>
  <si>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</si>
  <si>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</si>
  <si>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</si>
  <si>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</si>
  <si>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</si>
  <si>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</si>
  <si>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</si>
  <si>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</si>
  <si>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</si>
  <si>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</si>
  <si>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</si>
  <si>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</si>
  <si>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</si>
  <si>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</si>
  <si>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</si>
  <si>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</si>
  <si>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</si>
  <si>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</si>
  <si>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</si>
  <si>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</si>
  <si>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</si>
  <si>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</si>
  <si>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</si>
  <si>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</si>
  <si>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</si>
  <si>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</si>
  <si>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</si>
  <si>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</si>
  <si>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</si>
  <si>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</si>
  <si>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</si>
  <si>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</si>
  <si>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</si>
  <si>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</si>
  <si>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</si>
  <si>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</si>
  <si>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</si>
  <si>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</si>
  <si>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</si>
  <si>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</si>
  <si>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</si>
  <si>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</si>
  <si>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</si>
  <si>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</si>
  <si>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</si>
  <si>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</si>
  <si>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</si>
  <si>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</si>
  <si>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</si>
  <si>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</si>
  <si>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</si>
  <si>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</si>
  <si>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</si>
  <si>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</si>
  <si>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</si>
  <si>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</si>
  <si>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</si>
  <si>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</si>
  <si>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</si>
  <si>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</si>
  <si>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</si>
  <si>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</si>
  <si>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</si>
  <si>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</si>
  <si>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</si>
  <si>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</si>
  <si>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</si>
  <si>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</si>
  <si>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</si>
  <si>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</si>
  <si>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</si>
  <si>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</si>
  <si>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</si>
  <si>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</si>
  <si>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</si>
  <si>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</si>
  <si>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</si>
  <si>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</si>
  <si>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</si>
  <si>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</si>
  <si>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</si>
  <si>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</si>
  <si>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</si>
  <si>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</si>
  <si>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</si>
  <si>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</si>
  <si>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</si>
  <si>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</si>
  <si>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</si>
  <si>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</si>
  <si>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</si>
  <si>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</si>
  <si>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</si>
  <si>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</si>
  <si>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</si>
  <si>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</si>
  <si>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</si>
  <si>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</si>
  <si>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</si>
  <si>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</si>
  <si>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</si>
  <si>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</si>
  <si>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</si>
  <si>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</si>
  <si>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</si>
  <si>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</si>
  <si>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</si>
  <si>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</si>
  <si>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</si>
  <si>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</si>
  <si>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</si>
  <si>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</si>
  <si>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</si>
  <si>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</si>
  <si>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</si>
  <si>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</si>
  <si>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</si>
  <si>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</si>
  <si>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</si>
  <si>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</si>
  <si>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</si>
  <si>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</si>
  <si>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</si>
  <si>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</si>
  <si>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</si>
  <si>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</si>
  <si>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</si>
  <si>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</si>
  <si>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</si>
  <si>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</si>
  <si>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</si>
  <si>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</si>
  <si>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</si>
  <si>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</si>
  <si>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</si>
  <si>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</si>
  <si>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</si>
  <si>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</si>
  <si>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</si>
  <si>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</si>
  <si>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</si>
  <si>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</si>
  <si>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</si>
  <si>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</si>
  <si>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</si>
  <si>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</si>
  <si>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</si>
  <si>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</si>
  <si>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</si>
  <si>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</si>
  <si>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</si>
  <si>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</si>
  <si>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</si>
  <si>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</si>
  <si>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</si>
  <si>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</si>
  <si>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</si>
  <si>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</si>
  <si>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</si>
  <si>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</si>
  <si>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</si>
  <si>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</si>
  <si>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</si>
  <si>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</si>
  <si>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</si>
  <si>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</si>
  <si>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</si>
  <si>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</si>
  <si>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</si>
  <si>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</si>
  <si>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</si>
  <si>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</si>
  <si>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</si>
  <si>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</si>
  <si>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</si>
  <si>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</si>
  <si>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</si>
  <si>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</si>
  <si>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</si>
  <si>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</si>
  <si>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</si>
  <si>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</si>
  <si>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</si>
  <si>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</si>
  <si>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</si>
  <si>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</si>
  <si>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</si>
  <si>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</si>
  <si>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</si>
  <si>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</si>
  <si>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</si>
  <si>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</si>
  <si>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</si>
  <si>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</si>
  <si>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</si>
  <si>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</si>
  <si>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</si>
  <si>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</si>
  <si>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</si>
  <si>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</si>
  <si>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</si>
  <si>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</si>
  <si>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</si>
  <si>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</si>
  <si>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</si>
  <si>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</si>
  <si>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</si>
  <si>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</si>
  <si>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</si>
  <si>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</si>
  <si>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</si>
  <si>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</si>
  <si>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</si>
  <si>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</si>
  <si>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</si>
  <si>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</si>
  <si>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</si>
  <si>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</si>
  <si>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</si>
  <si>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</si>
  <si>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</si>
  <si>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</si>
  <si>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</si>
  <si>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</si>
  <si>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</si>
  <si>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</si>
  <si>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</si>
  <si>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</si>
  <si>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</si>
  <si>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</si>
  <si>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</si>
  <si>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</si>
  <si>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</si>
  <si>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</si>
  <si>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</si>
  <si>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</si>
  <si>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</si>
  <si>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</si>
  <si>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</si>
  <si>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</si>
  <si>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</si>
  <si>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</si>
  <si>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</si>
  <si>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</si>
  <si>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</si>
  <si>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</si>
  <si>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</si>
  <si>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</si>
  <si>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</si>
  <si>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</si>
  <si>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</si>
  <si>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</si>
  <si>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</si>
  <si>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</si>
  <si>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</si>
  <si>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</si>
  <si>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</si>
  <si>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</si>
  <si>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</si>
  <si>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</si>
  <si>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</si>
  <si>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</si>
  <si>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</si>
  <si>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</si>
  <si>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</si>
  <si>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</si>
  <si>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</si>
  <si>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</si>
  <si>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</si>
  <si>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</si>
  <si>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</si>
  <si>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</si>
  <si>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</si>
  <si>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</si>
  <si>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</si>
  <si>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</si>
  <si>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</si>
  <si>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</si>
  <si>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</si>
  <si>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</si>
  <si>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</si>
  <si>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</si>
  <si>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</si>
  <si>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</si>
  <si>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</si>
  <si>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</si>
  <si>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</si>
  <si>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</si>
  <si>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</si>
  <si>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</si>
  <si>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</si>
  <si>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</si>
  <si>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</si>
  <si>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</si>
  <si>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</si>
  <si>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</si>
  <si>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</si>
  <si>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</si>
  <si>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</si>
  <si>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</si>
  <si>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</si>
  <si>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</si>
  <si>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</si>
  <si>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</si>
  <si>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</si>
  <si>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</si>
  <si>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</si>
  <si>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</si>
  <si>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</si>
  <si>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</si>
  <si>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</si>
  <si>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</si>
  <si>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</si>
  <si>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</si>
  <si>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</si>
  <si>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</si>
  <si>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</si>
  <si>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</si>
  <si>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</si>
  <si>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</si>
  <si>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</si>
  <si>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</si>
  <si>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</si>
  <si>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</si>
  <si>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</si>
  <si>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</si>
  <si>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</si>
  <si>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</si>
  <si>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</si>
  <si>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</si>
  <si>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</si>
  <si>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</si>
  <si>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</si>
  <si>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</si>
  <si>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</si>
  <si>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</si>
  <si>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</si>
  <si>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</si>
  <si>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</si>
  <si>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</si>
  <si>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</si>
  <si>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</si>
  <si>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</si>
  <si>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</si>
  <si>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</si>
  <si>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</si>
  <si>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</si>
  <si>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</si>
  <si>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</si>
  <si>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</si>
  <si>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</si>
  <si>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</si>
  <si>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</si>
  <si>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</si>
  <si>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</si>
  <si>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</si>
  <si>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</si>
  <si>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</si>
  <si>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</si>
  <si>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</si>
  <si>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</si>
  <si>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</si>
  <si>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</si>
  <si>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</si>
  <si>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</si>
  <si>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</si>
  <si>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</si>
  <si>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</si>
  <si>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</si>
  <si>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</si>
  <si>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</si>
  <si>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</si>
  <si>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</si>
  <si>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</si>
  <si>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</si>
  <si>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</si>
  <si>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</si>
  <si>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</si>
  <si>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</si>
  <si>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</si>
  <si>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</si>
  <si>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</si>
  <si>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</si>
  <si>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</si>
  <si>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</si>
  <si>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</si>
  <si>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</si>
  <si>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</si>
  <si>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</si>
  <si>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</si>
  <si>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</si>
  <si>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</si>
  <si>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</si>
  <si>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</si>
  <si>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</si>
  <si>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</si>
  <si>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</si>
  <si>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</si>
  <si>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</si>
  <si>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</si>
  <si>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</si>
  <si>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</si>
  <si>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</si>
  <si>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</si>
  <si>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</si>
  <si>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</si>
  <si>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</si>
  <si>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</si>
  <si>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</si>
  <si>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</si>
  <si>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</si>
  <si>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</si>
  <si>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</si>
  <si>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</si>
  <si>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</si>
  <si>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</si>
  <si>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</si>
  <si>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</si>
  <si>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</si>
  <si>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</si>
  <si>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</si>
  <si>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</si>
  <si>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</si>
  <si>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</si>
  <si>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</si>
  <si>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</si>
  <si>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</si>
  <si>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</si>
  <si>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</si>
  <si>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</si>
  <si>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</si>
  <si>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</si>
  <si>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</si>
  <si>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</si>
  <si>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</si>
  <si>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</si>
  <si>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</si>
  <si>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</si>
  <si>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</si>
  <si>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</si>
  <si>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</si>
  <si>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</si>
  <si>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</si>
  <si>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</si>
  <si>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</si>
  <si>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</si>
  <si>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</si>
  <si>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</si>
  <si>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</si>
  <si>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</si>
  <si>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</si>
  <si>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</si>
  <si>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</si>
  <si>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</si>
  <si>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</si>
  <si>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</si>
  <si>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</si>
  <si>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</si>
  <si>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</si>
  <si>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</si>
  <si>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</si>
  <si>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</si>
  <si>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</si>
  <si>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</si>
  <si>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</si>
  <si>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</si>
  <si>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</si>
  <si>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</si>
  <si>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</si>
  <si>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</si>
  <si>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</si>
  <si>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</si>
  <si>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</si>
  <si>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</si>
  <si>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</si>
  <si>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</si>
  <si>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</si>
  <si>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</si>
  <si>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</si>
  <si>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</si>
  <si>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</si>
  <si>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</si>
  <si>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</si>
  <si>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</si>
  <si>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</si>
  <si>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</si>
  <si>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</si>
  <si>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</si>
  <si>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</si>
  <si>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</si>
  <si>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</si>
  <si>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</si>
  <si>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</si>
  <si>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</si>
  <si>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</si>
  <si>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</si>
  <si>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</si>
  <si>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</si>
  <si>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</si>
  <si>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</si>
  <si>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</si>
  <si>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</si>
  <si>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</si>
  <si>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</si>
  <si>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</si>
  <si>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</si>
  <si>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</si>
  <si>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</si>
  <si>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</si>
  <si>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</si>
  <si>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</si>
  <si>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</si>
  <si>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</si>
  <si>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</si>
  <si>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</si>
  <si>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</si>
  <si>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</si>
  <si>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</si>
  <si>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</si>
  <si>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</si>
  <si>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</si>
  <si>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</si>
  <si>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</si>
  <si>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</si>
  <si>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</si>
  <si>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</si>
  <si>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</si>
  <si>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</si>
  <si>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</si>
  <si>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</si>
  <si>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</si>
  <si>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</si>
  <si>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</si>
  <si>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</si>
  <si>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</si>
  <si>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</si>
  <si>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</si>
  <si>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</si>
  <si>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</si>
  <si>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</si>
  <si>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</si>
  <si>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</si>
  <si>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</si>
  <si>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</si>
  <si>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</si>
  <si>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</si>
  <si>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</si>
  <si>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</si>
  <si>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</si>
  <si>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</si>
  <si>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</si>
  <si>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</si>
  <si>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</si>
  <si>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</si>
  <si>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</si>
  <si>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</si>
  <si>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</si>
  <si>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</si>
  <si>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</si>
  <si>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</si>
  <si>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</si>
  <si>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</si>
  <si>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</si>
  <si>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</si>
  <si>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</si>
  <si>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</si>
  <si>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</si>
  <si>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</si>
  <si>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</si>
  <si>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</si>
  <si>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</si>
  <si>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</si>
  <si>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</si>
  <si>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</si>
  <si>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</si>
  <si>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</si>
  <si>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</si>
  <si>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</si>
  <si>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</si>
  <si>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</si>
  <si>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</si>
  <si>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</si>
  <si>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</si>
  <si>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</si>
  <si>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</si>
  <si>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</si>
  <si>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</si>
  <si>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</si>
  <si>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</si>
  <si>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</si>
  <si>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</si>
  <si>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</si>
  <si>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</si>
  <si>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</si>
  <si>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</si>
  <si>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</si>
  <si>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</si>
  <si>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</si>
  <si>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</si>
  <si>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</si>
  <si>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</si>
  <si>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</si>
  <si>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</si>
  <si>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</si>
  <si>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</si>
  <si>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</si>
  <si>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</si>
  <si>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</si>
  <si>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</si>
  <si>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</si>
  <si>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</si>
  <si>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</si>
  <si>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</si>
  <si>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</si>
  <si>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</si>
  <si>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</si>
  <si>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</si>
  <si>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</si>
  <si>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</si>
  <si>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</si>
  <si>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</si>
  <si>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</si>
  <si>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</si>
  <si>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</si>
  <si>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</si>
  <si>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</si>
  <si>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</si>
  <si>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</si>
  <si>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</si>
  <si>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</si>
  <si>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</si>
  <si>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</si>
  <si>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</si>
  <si>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</si>
  <si>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</si>
  <si>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</si>
  <si>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</si>
  <si>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</si>
  <si>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</si>
  <si>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</si>
  <si>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</si>
  <si>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</si>
  <si>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</si>
  <si>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</si>
  <si>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</si>
  <si>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</si>
  <si>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</si>
  <si>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</si>
  <si>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</si>
  <si>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</si>
  <si>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</si>
  <si>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</si>
  <si>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</si>
  <si>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</si>
  <si>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</si>
  <si>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</si>
  <si>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</si>
  <si>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</si>
  <si>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</si>
  <si>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</si>
  <si>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</si>
  <si>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</si>
  <si>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</si>
  <si>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</si>
  <si>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</si>
  <si>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</si>
  <si>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</si>
  <si>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</si>
  <si>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</si>
  <si>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</si>
  <si>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</si>
  <si>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</si>
  <si>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</si>
  <si>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</si>
  <si>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</si>
  <si>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</si>
  <si>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</si>
  <si>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</si>
  <si>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</si>
  <si>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</si>
  <si>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</si>
  <si>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</si>
  <si>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</si>
  <si>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</si>
  <si>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</si>
  <si>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</si>
  <si>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</si>
  <si>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</si>
  <si>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</si>
  <si>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</si>
  <si>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</si>
  <si>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</si>
  <si>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</si>
  <si>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</si>
  <si>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</si>
  <si>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</si>
  <si>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</si>
  <si>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</si>
  <si>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</si>
  <si>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</si>
  <si>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</si>
  <si>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</si>
  <si>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</si>
  <si>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</si>
  <si>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</si>
  <si>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</si>
  <si>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</si>
  <si>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</si>
  <si>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</si>
  <si>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</si>
  <si>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</si>
  <si>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</si>
  <si>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</si>
  <si>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</si>
  <si>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</si>
  <si>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</si>
  <si>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</si>
  <si>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</si>
  <si>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</si>
  <si>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</si>
  <si>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</si>
  <si>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</si>
  <si>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</si>
  <si>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</si>
  <si>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</si>
  <si>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</si>
  <si>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</si>
  <si>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</si>
  <si>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</si>
  <si>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</si>
  <si>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</si>
  <si>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</si>
  <si>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</si>
  <si>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</si>
  <si>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</si>
  <si>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</si>
  <si>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</si>
  <si>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</si>
  <si>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</si>
  <si>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</si>
  <si>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</si>
  <si>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</si>
  <si>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</si>
  <si>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</si>
  <si>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</si>
  <si>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</si>
  <si>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</si>
  <si>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</si>
  <si>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</si>
  <si>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</si>
  <si>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</si>
  <si>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</si>
  <si>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</si>
  <si>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</si>
  <si>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</si>
  <si>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</si>
  <si>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</si>
  <si>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</si>
  <si>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</si>
  <si>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</si>
  <si>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</si>
  <si>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</si>
  <si>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</si>
  <si>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</si>
  <si>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</si>
  <si>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</si>
  <si>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</si>
  <si>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</si>
  <si>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</si>
  <si>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</si>
  <si>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</si>
  <si>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</si>
  <si>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</si>
  <si>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</si>
  <si>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</si>
  <si>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</si>
  <si>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</si>
  <si>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</si>
  <si>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</si>
  <si>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</si>
  <si>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</si>
  <si>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</si>
  <si>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</si>
  <si>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</si>
  <si>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</si>
  <si>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</si>
  <si>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</si>
  <si>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</si>
  <si>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</si>
  <si>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</si>
  <si>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</si>
  <si>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</si>
  <si>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</si>
  <si>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</si>
  <si>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</si>
  <si>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</si>
  <si>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</si>
  <si>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</si>
  <si>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</si>
  <si>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</si>
  <si>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</si>
  <si>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</si>
  <si>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</si>
  <si>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</si>
  <si>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</si>
  <si>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</si>
  <si>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</si>
  <si>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</si>
  <si>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</si>
  <si>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</si>
  <si>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</si>
  <si>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</si>
  <si>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</si>
  <si>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</si>
  <si>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</si>
  <si>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</si>
  <si>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</si>
  <si>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</si>
  <si>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</si>
  <si>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</si>
  <si>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</si>
  <si>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</si>
  <si>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</si>
  <si>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</si>
  <si>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</si>
  <si>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</si>
  <si>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</si>
  <si>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</si>
  <si>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</si>
  <si>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</si>
  <si>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</si>
  <si>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</si>
  <si>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</si>
  <si>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</si>
  <si>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</si>
  <si>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</si>
  <si>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</si>
  <si>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</si>
  <si>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</si>
  <si>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</si>
  <si>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</si>
  <si>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</si>
  <si>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</si>
  <si>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</si>
  <si>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</si>
  <si>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</si>
  <si>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</si>
  <si>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</si>
  <si>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</si>
  <si>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</si>
  <si>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</si>
  <si>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</si>
  <si>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</si>
  <si>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</si>
  <si>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</si>
  <si>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</si>
  <si>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</si>
  <si>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</si>
  <si>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</si>
  <si>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</si>
  <si>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</si>
  <si>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</si>
  <si>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</si>
  <si>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</si>
  <si>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</si>
  <si>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</si>
  <si>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</si>
  <si>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</si>
  <si>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</si>
  <si>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</si>
  <si>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</si>
  <si>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</si>
  <si>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</si>
  <si>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</si>
  <si>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</si>
  <si>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</si>
  <si>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</si>
  <si>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</si>
  <si>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</si>
  <si>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</si>
  <si>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</si>
  <si>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</si>
  <si>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</si>
  <si>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</si>
  <si>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</si>
  <si>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</si>
  <si>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</si>
  <si>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</si>
  <si>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</si>
  <si>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</si>
  <si>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</si>
  <si>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</si>
  <si>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</si>
  <si>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</si>
  <si>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</si>
  <si>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</si>
  <si>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</si>
  <si>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</si>
  <si>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</si>
  <si>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</si>
  <si>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</si>
  <si>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</si>
  <si>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</si>
  <si>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</si>
  <si>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</si>
  <si>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</si>
  <si>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</si>
  <si>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</si>
  <si>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</si>
  <si>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</si>
  <si>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</si>
  <si>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</si>
  <si>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</si>
  <si>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</si>
  <si>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</si>
  <si>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</si>
  <si>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</si>
  <si>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</si>
  <si>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</si>
  <si>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</si>
  <si>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</si>
  <si>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</si>
  <si>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</si>
  <si>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</si>
  <si>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</si>
  <si>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</si>
  <si>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</si>
  <si>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</si>
  <si>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</si>
  <si>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</si>
  <si>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</si>
  <si>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</si>
  <si>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</si>
  <si>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</si>
  <si>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</si>
  <si>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</si>
  <si>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</si>
  <si>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</si>
  <si>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</si>
  <si>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</si>
  <si>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</si>
  <si>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</si>
  <si>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</si>
  <si>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</si>
  <si>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</si>
  <si>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</si>
  <si>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</si>
  <si>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</si>
  <si>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</si>
  <si>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</si>
  <si>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</si>
  <si>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</si>
  <si>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</si>
  <si>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</si>
  <si>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</si>
  <si>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</si>
  <si>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</si>
  <si>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</si>
  <si>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</si>
  <si>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</si>
  <si>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</si>
  <si>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</si>
  <si>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</si>
  <si>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</si>
  <si>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</si>
  <si>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</si>
  <si>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</si>
  <si>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</si>
  <si>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</si>
  <si>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</si>
  <si>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</si>
  <si>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</si>
  <si>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</si>
  <si>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</si>
  <si>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</si>
  <si>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</si>
  <si>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</si>
  <si>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</si>
  <si>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</si>
  <si>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</si>
  <si>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</si>
  <si>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</si>
  <si>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</si>
  <si>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</si>
  <si>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</si>
  <si>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</si>
  <si>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</si>
  <si>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</si>
  <si>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</si>
  <si>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</si>
  <si>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</si>
  <si>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</si>
  <si>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</si>
  <si>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</si>
  <si>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</si>
  <si>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</si>
  <si>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</si>
  <si>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</si>
  <si>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</si>
  <si>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</si>
  <si>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</si>
  <si>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</si>
  <si>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</si>
  <si>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</si>
  <si>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</si>
  <si>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</si>
  <si>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</si>
  <si>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</si>
  <si>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</si>
  <si>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</si>
  <si>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</si>
  <si>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</si>
  <si>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</si>
  <si>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</si>
  <si>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</si>
  <si>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</si>
  <si>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</si>
  <si>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</si>
  <si>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</si>
  <si>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</si>
  <si>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</si>
  <si>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</si>
  <si>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</si>
  <si>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</si>
  <si>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</si>
  <si>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</si>
  <si>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</si>
  <si>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</si>
  <si>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</si>
  <si>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</si>
  <si>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</si>
  <si>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</si>
  <si>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</si>
  <si>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</si>
  <si>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</si>
  <si>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</si>
  <si>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</si>
  <si>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</si>
  <si>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</si>
  <si>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</si>
  <si>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</si>
  <si>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</si>
  <si>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</si>
  <si>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</si>
  <si>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</si>
  <si>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</si>
  <si>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</si>
  <si>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</si>
  <si>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</si>
  <si>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</si>
  <si>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</si>
  <si>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</si>
  <si>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</si>
  <si>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</si>
  <si>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</si>
  <si>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</si>
  <si>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</si>
  <si>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</si>
  <si>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</si>
  <si>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</si>
  <si>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</si>
  <si>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</si>
  <si>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</si>
  <si>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</si>
  <si>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</si>
  <si>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</si>
  <si>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</si>
  <si>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</si>
  <si>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</si>
  <si>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</si>
  <si>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</si>
  <si>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</si>
  <si>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</si>
  <si>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</si>
  <si>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</si>
  <si>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</si>
  <si>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</si>
  <si>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</si>
  <si>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</si>
  <si>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</si>
  <si>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</si>
  <si>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</si>
  <si>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</si>
  <si>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</si>
  <si>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</si>
  <si>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</si>
  <si>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</si>
  <si>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</si>
  <si>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</si>
  <si>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</si>
  <si>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</si>
  <si>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</si>
  <si>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</si>
  <si>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</si>
  <si>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</si>
  <si>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</si>
  <si>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</si>
  <si>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</si>
  <si>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</si>
  <si>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</si>
  <si>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</si>
  <si>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</si>
  <si>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</si>
  <si>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</si>
  <si>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</si>
  <si>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</si>
  <si>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</si>
  <si>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</si>
  <si>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</si>
  <si>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</si>
  <si>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</si>
  <si>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</si>
  <si>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</si>
  <si>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</si>
  <si>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</si>
  <si>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</si>
  <si>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</si>
  <si>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</si>
  <si>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</si>
  <si>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</si>
  <si>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</si>
  <si>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</si>
  <si>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</si>
  <si>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</si>
  <si>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</si>
  <si>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</si>
  <si>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</si>
  <si>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</si>
  <si>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</si>
  <si>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</si>
  <si>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</si>
  <si>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</si>
  <si>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</si>
  <si>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</si>
  <si>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</si>
  <si>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</si>
  <si>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</si>
  <si>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</si>
  <si>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</si>
  <si>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</si>
  <si>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</si>
  <si>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</si>
  <si>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</si>
  <si>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</si>
  <si>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</si>
  <si>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</si>
  <si>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</si>
  <si>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</si>
  <si>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</si>
  <si>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</si>
  <si>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</si>
  <si>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</si>
  <si>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</si>
  <si>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</si>
  <si>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</si>
  <si>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</si>
  <si>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</si>
  <si>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</si>
  <si>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</si>
  <si>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</si>
  <si>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</si>
  <si>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</si>
  <si>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</si>
  <si>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</si>
  <si>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</si>
  <si>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</si>
  <si>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</si>
  <si>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</si>
  <si>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</si>
  <si>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</si>
  <si>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</si>
  <si>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</si>
  <si>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</si>
  <si>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</si>
  <si>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</si>
  <si>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</si>
  <si>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</si>
  <si>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</si>
  <si>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</si>
  <si>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</si>
  <si>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</si>
  <si>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</si>
  <si>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</si>
  <si>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</si>
  <si>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</si>
  <si>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</si>
  <si>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</si>
  <si>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</si>
  <si>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</si>
  <si>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</si>
  <si>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</si>
  <si>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</si>
  <si>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</si>
  <si>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</si>
  <si>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</si>
  <si>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</si>
  <si>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</si>
  <si>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</si>
  <si>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</si>
  <si>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</si>
  <si>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</si>
  <si>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</si>
  <si>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</si>
  <si>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</si>
  <si>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</si>
  <si>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</si>
  <si>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</si>
  <si>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</si>
  <si>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</si>
  <si>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</si>
  <si>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</si>
  <si>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</si>
  <si>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</si>
  <si>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</si>
  <si>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</si>
  <si>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</si>
  <si>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</si>
  <si>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</si>
  <si>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</si>
  <si>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</si>
  <si>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</si>
  <si>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</si>
  <si>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</si>
  <si>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</si>
  <si>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</si>
  <si>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</si>
  <si>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</si>
  <si>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</si>
  <si>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</si>
  <si>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</si>
  <si>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</si>
  <si>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</si>
  <si>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</si>
  <si>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</si>
  <si>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</si>
  <si>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</si>
  <si>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</si>
  <si>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</si>
  <si>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</si>
  <si>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</si>
  <si>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</si>
  <si>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</si>
  <si>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</si>
  <si>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</si>
  <si>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</si>
  <si>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</si>
  <si>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</si>
  <si>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</si>
  <si>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</si>
  <si>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</si>
  <si>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</si>
  <si>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</si>
  <si>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</si>
  <si>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</si>
  <si>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</si>
  <si>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</si>
  <si>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</si>
  <si>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</si>
  <si>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</si>
  <si>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</si>
  <si>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</si>
  <si>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</si>
  <si>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</si>
  <si>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</si>
  <si>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</si>
  <si>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</si>
  <si>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</si>
  <si>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</si>
  <si>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</si>
  <si>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</si>
  <si>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</si>
  <si>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</si>
  <si>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</si>
  <si>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</si>
  <si>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</si>
  <si>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</si>
  <si>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</si>
  <si>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</si>
  <si>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</si>
  <si>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</si>
  <si>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</si>
  <si>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</si>
  <si>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</si>
  <si>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</si>
  <si>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</si>
  <si>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</si>
  <si>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</si>
  <si>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</si>
  <si>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</si>
  <si>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</si>
  <si>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</si>
  <si>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</si>
  <si>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</si>
  <si>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</si>
  <si>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</si>
  <si>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</si>
  <si>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</si>
  <si>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</si>
  <si>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</si>
  <si>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</si>
  <si>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</si>
  <si>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</si>
  <si>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</si>
  <si>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</si>
  <si>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</si>
  <si>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</si>
  <si>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</si>
  <si>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</si>
  <si>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</si>
  <si>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</si>
  <si>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</si>
  <si>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</si>
  <si>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</si>
  <si>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</si>
  <si>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</si>
  <si>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</si>
  <si>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</si>
  <si>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</si>
  <si>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</si>
  <si>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</si>
  <si>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</si>
  <si>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</si>
  <si>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</si>
  <si>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</si>
  <si>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</si>
  <si>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</si>
  <si>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</si>
  <si>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</si>
  <si>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</si>
  <si>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</si>
  <si>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</si>
  <si>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</si>
  <si>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</si>
  <si>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</si>
  <si>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</si>
  <si>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</si>
  <si>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</si>
  <si>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</si>
  <si>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</si>
  <si>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</si>
  <si>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</si>
  <si>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</si>
  <si>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</si>
  <si>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</si>
  <si>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</si>
  <si>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</si>
  <si>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</si>
  <si>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</si>
  <si>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</si>
  <si>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</si>
  <si>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</si>
  <si>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</si>
  <si>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</si>
  <si>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</si>
  <si>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</si>
  <si>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</si>
  <si>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</si>
  <si>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</si>
  <si>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</si>
  <si>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</si>
  <si>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</si>
  <si>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</si>
  <si>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</si>
  <si>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</si>
  <si>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</si>
  <si>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</si>
  <si>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</si>
  <si>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</si>
  <si>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</si>
  <si>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</si>
  <si>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</si>
  <si>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</si>
  <si>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</si>
  <si>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</si>
  <si>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</si>
  <si>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</si>
  <si>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</si>
  <si>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</si>
  <si>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</si>
  <si>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</si>
  <si>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</si>
  <si>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</si>
  <si>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</si>
  <si>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</si>
  <si>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</si>
  <si>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</si>
  <si>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</si>
  <si>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</si>
  <si>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</si>
  <si>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</si>
  <si>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</si>
  <si>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</si>
  <si>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</si>
  <si>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</si>
  <si>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</si>
  <si>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</si>
  <si>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</si>
  <si>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</si>
  <si>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</si>
  <si>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</si>
  <si>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</si>
  <si>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</si>
  <si>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</si>
  <si>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</si>
  <si>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</si>
  <si>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</si>
  <si>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</si>
  <si>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</si>
  <si>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</si>
  <si>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</si>
  <si>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</si>
  <si>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</si>
  <si>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</si>
  <si>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</si>
  <si>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</si>
  <si>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</si>
  <si>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</si>
  <si>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</si>
  <si>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</si>
  <si>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</si>
  <si>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</si>
  <si>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</si>
  <si>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</si>
  <si>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</si>
  <si>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</si>
  <si>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</si>
  <si>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</si>
  <si>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</si>
  <si>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</si>
  <si>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</si>
  <si>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</si>
  <si>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</si>
  <si>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</si>
  <si>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</si>
  <si>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</si>
  <si>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</si>
  <si>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</si>
  <si>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</si>
  <si>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</si>
  <si>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</si>
  <si>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</si>
  <si>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</si>
  <si>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</si>
  <si>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</si>
  <si>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</si>
  <si>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</si>
  <si>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</si>
  <si>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</si>
  <si>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</si>
  <si>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</si>
  <si>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</si>
  <si>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</si>
  <si>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</si>
  <si>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</si>
  <si>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</si>
  <si>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</si>
  <si>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</si>
  <si>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</si>
  <si>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</si>
  <si>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</si>
  <si>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</si>
  <si>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</si>
  <si>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</si>
  <si>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</si>
  <si>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</si>
  <si>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</si>
  <si>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</si>
  <si>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</si>
  <si>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</si>
  <si>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</si>
  <si>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</si>
  <si>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</si>
  <si>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</si>
  <si>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</si>
  <si>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</si>
  <si>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</si>
  <si>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</si>
  <si>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</si>
  <si>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</si>
  <si>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</si>
  <si>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</si>
  <si>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</si>
  <si>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</si>
  <si>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</si>
  <si>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</si>
  <si>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</si>
  <si>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</si>
  <si>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</si>
  <si>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</si>
  <si>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</si>
  <si>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</si>
  <si>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</si>
  <si>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</si>
  <si>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</si>
  <si>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</si>
  <si>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</si>
  <si>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</si>
  <si>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</si>
  <si>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</si>
  <si>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</si>
  <si>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</si>
  <si>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</si>
  <si>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</si>
  <si>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</si>
  <si>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</si>
  <si>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</si>
  <si>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</si>
  <si>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</si>
  <si>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</si>
  <si>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</si>
  <si>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</si>
  <si>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</si>
  <si>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</si>
  <si>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</si>
  <si>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</si>
  <si>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</si>
  <si>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</si>
  <si>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</si>
  <si>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</si>
  <si>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</si>
  <si>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</si>
  <si>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</si>
  <si>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</si>
  <si>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</si>
  <si>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</si>
  <si>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</si>
  <si>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</si>
  <si>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</si>
  <si>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</si>
  <si>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</si>
  <si>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</si>
  <si>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</si>
  <si>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</si>
  <si>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</si>
  <si>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</si>
  <si>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</si>
  <si>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</si>
  <si>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</si>
  <si>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</si>
  <si>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</si>
  <si>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</si>
  <si>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</si>
  <si>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</si>
  <si>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</si>
  <si>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</si>
  <si>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</si>
  <si>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</si>
  <si>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</si>
  <si>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</si>
  <si>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</si>
  <si>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</si>
  <si>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</si>
  <si>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</si>
  <si>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</si>
  <si>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</si>
  <si>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</si>
  <si>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</si>
  <si>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</si>
  <si>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</si>
  <si>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</si>
  <si>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</si>
  <si>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</si>
  <si>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</si>
  <si>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</si>
  <si>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</si>
  <si>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</si>
  <si>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</si>
  <si>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</si>
  <si>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</si>
  <si>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</si>
  <si>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</si>
  <si>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</si>
  <si>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</si>
  <si>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</si>
  <si>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</si>
  <si>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</si>
  <si>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</si>
  <si>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</si>
  <si>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</si>
  <si>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</si>
  <si>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</si>
  <si>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</si>
  <si>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</si>
  <si>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</si>
  <si>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</si>
  <si>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</si>
  <si>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</si>
  <si>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</si>
  <si>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</si>
  <si>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</si>
  <si>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</si>
  <si>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</si>
  <si>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</si>
  <si>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</si>
  <si>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</si>
  <si>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</si>
  <si>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</si>
  <si>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</si>
  <si>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</si>
  <si>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</si>
  <si>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</si>
  <si>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</si>
  <si>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</si>
  <si>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</si>
  <si>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</si>
  <si>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</si>
  <si>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</si>
  <si>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</si>
  <si>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</si>
  <si>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</si>
  <si>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</si>
  <si>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</si>
  <si>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</si>
  <si>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</si>
  <si>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</si>
  <si>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</si>
  <si>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</si>
  <si>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</si>
  <si>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</si>
  <si>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</si>
  <si>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</si>
  <si>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</si>
  <si>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</si>
  <si>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</si>
  <si>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</si>
  <si>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</si>
  <si>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</si>
  <si>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</si>
  <si>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</si>
  <si>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</si>
  <si>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</si>
  <si>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</si>
  <si>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</si>
  <si>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</si>
  <si>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</si>
  <si>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</si>
  <si>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</si>
  <si>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</si>
  <si>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</si>
  <si>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</si>
  <si>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</si>
  <si>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</si>
  <si>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</si>
  <si>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</si>
  <si>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</si>
  <si>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</si>
  <si>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</si>
  <si>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</si>
  <si>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</si>
  <si>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</si>
  <si>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</si>
  <si>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</si>
  <si>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</si>
  <si>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</si>
  <si>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</si>
  <si>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</si>
  <si>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</si>
  <si>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</si>
  <si>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</si>
  <si>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</si>
  <si>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</si>
  <si>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</si>
  <si>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</si>
  <si>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</si>
  <si>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</si>
  <si>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</si>
  <si>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</si>
  <si>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</si>
  <si>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</si>
  <si>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</si>
  <si>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</si>
  <si>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</si>
  <si>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</si>
  <si>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</si>
  <si>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</si>
  <si>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</si>
  <si>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</si>
  <si>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</si>
  <si>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</si>
  <si>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</si>
  <si>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</si>
  <si>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</si>
  <si>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</si>
  <si>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</si>
  <si>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</si>
  <si>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</si>
  <si>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</si>
  <si>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</si>
  <si>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</si>
  <si>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</si>
  <si>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</si>
  <si>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</si>
  <si>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</si>
  <si>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</si>
  <si>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</si>
  <si>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</si>
  <si>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</si>
  <si>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</si>
  <si>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</si>
  <si>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</si>
  <si>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</si>
  <si>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</si>
  <si>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</si>
  <si>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</si>
  <si>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</si>
  <si>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</si>
  <si>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</si>
  <si>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</si>
  <si>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</si>
  <si>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</si>
  <si>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</si>
  <si>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</si>
  <si>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</si>
  <si>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</si>
  <si>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</si>
  <si>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</si>
  <si>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</si>
  <si>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</si>
  <si>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</si>
  <si>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</si>
  <si>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</si>
  <si>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</si>
  <si>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</si>
  <si>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</si>
  <si>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</si>
  <si>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</si>
  <si>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</si>
  <si>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</si>
  <si>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</si>
  <si>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</si>
  <si>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</si>
  <si>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</si>
  <si>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</si>
  <si>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</si>
  <si>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</si>
  <si>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</si>
  <si>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</si>
  <si>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</si>
  <si>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</si>
  <si>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</si>
  <si>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</si>
  <si>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</si>
  <si>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</si>
  <si>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</si>
  <si>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</si>
  <si>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</si>
  <si>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</si>
  <si>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</si>
  <si>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</si>
  <si>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</si>
  <si>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</si>
  <si>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</si>
  <si>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</si>
  <si>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</si>
  <si>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</si>
  <si>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</si>
  <si>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</si>
  <si>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</si>
  <si>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</si>
  <si>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</si>
  <si>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</si>
  <si>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</si>
  <si>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</si>
  <si>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</si>
  <si>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</si>
  <si>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</si>
  <si>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</si>
  <si>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</si>
  <si>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</si>
  <si>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</si>
  <si>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</si>
  <si>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</si>
  <si>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</si>
  <si>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</si>
  <si>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</si>
  <si>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</si>
  <si>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</si>
  <si>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</si>
  <si>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</si>
  <si>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</si>
  <si>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</si>
  <si>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</si>
  <si>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</si>
  <si>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</si>
  <si>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</si>
  <si>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</si>
  <si>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</si>
  <si>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</si>
  <si>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</si>
  <si>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</si>
  <si>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</si>
  <si>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</si>
  <si>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</si>
  <si>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</si>
  <si>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</si>
  <si>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</si>
  <si>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</si>
  <si>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</si>
  <si>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</si>
  <si>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</si>
  <si>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</si>
  <si>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</si>
  <si>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</si>
  <si>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</si>
  <si>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</si>
  <si>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</si>
  <si>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</si>
  <si>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</si>
  <si>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</si>
  <si>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</si>
  <si>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</si>
  <si>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</si>
  <si>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</si>
  <si>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</si>
  <si>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</si>
  <si>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</si>
  <si>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</si>
  <si>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</si>
  <si>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</si>
  <si>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</si>
  <si>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</si>
  <si>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</si>
  <si>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</si>
  <si>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</si>
  <si>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</si>
  <si>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</si>
  <si>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</si>
  <si>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</si>
  <si>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</si>
  <si>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</si>
  <si>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</si>
  <si>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</si>
  <si>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</si>
  <si>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</si>
  <si>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</si>
  <si>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</si>
  <si>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</si>
  <si>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</si>
  <si>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</si>
  <si>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</si>
  <si>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</si>
  <si>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</si>
  <si>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</si>
  <si>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</si>
  <si>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</si>
  <si>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</si>
  <si>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</si>
  <si>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</si>
  <si>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</si>
  <si>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</si>
  <si>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</si>
  <si>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</si>
  <si>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</si>
  <si>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</si>
  <si>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</si>
  <si>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</si>
  <si>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</si>
  <si>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</si>
  <si>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</si>
  <si>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</si>
  <si>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</si>
  <si>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</si>
  <si>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</si>
  <si>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</si>
  <si>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</si>
  <si>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</si>
  <si>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</si>
  <si>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</si>
  <si>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</si>
  <si>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</si>
  <si>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</si>
  <si>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</si>
  <si>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</si>
  <si>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</si>
  <si>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</si>
  <si>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</si>
  <si>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</si>
  <si>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</si>
  <si>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</si>
  <si>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</si>
  <si>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</si>
  <si>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</si>
  <si>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</si>
  <si>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</si>
  <si>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</si>
  <si>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</si>
  <si>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</si>
  <si>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</si>
  <si>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</si>
  <si>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</si>
  <si>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</si>
  <si>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</si>
  <si>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</si>
  <si>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</si>
  <si>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</si>
  <si>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</si>
  <si>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</si>
  <si>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</si>
  <si>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</si>
  <si>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</si>
  <si>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</si>
  <si>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</si>
  <si>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</si>
  <si>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</si>
  <si>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</si>
  <si>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</si>
  <si>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</si>
  <si>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</si>
  <si>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</si>
  <si>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</si>
  <si>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</si>
  <si>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</si>
  <si>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</si>
  <si>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</si>
  <si>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</si>
  <si>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</si>
  <si>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</si>
  <si>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</si>
  <si>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</si>
  <si>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</si>
  <si>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</si>
  <si>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</si>
  <si>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</si>
  <si>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</si>
  <si>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</si>
  <si>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</si>
  <si>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</si>
  <si>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</si>
  <si>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</si>
  <si>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</si>
  <si>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</si>
  <si>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</si>
  <si>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</si>
  <si>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</si>
  <si>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</si>
  <si>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</si>
  <si>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</si>
  <si>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</si>
  <si>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</si>
  <si>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</si>
  <si>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</si>
  <si>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</si>
  <si>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</si>
  <si>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</si>
  <si>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</si>
  <si>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</si>
  <si>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</si>
  <si>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</si>
  <si>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</si>
  <si>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</si>
  <si>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</si>
  <si>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</si>
  <si>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</si>
  <si>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</si>
  <si>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</si>
  <si>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</si>
  <si>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</si>
  <si>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</si>
  <si>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</si>
  <si>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</si>
  <si>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</si>
  <si>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</si>
  <si>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</si>
  <si>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</si>
  <si>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</si>
  <si>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</si>
  <si>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</si>
  <si>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</si>
  <si>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</si>
  <si>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</si>
  <si>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</si>
  <si>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</si>
  <si>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</si>
  <si>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</si>
  <si>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</si>
  <si>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</si>
  <si>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</si>
  <si>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</si>
  <si>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</si>
  <si>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</si>
  <si>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</si>
  <si>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</si>
  <si>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</si>
  <si>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</si>
  <si>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</si>
  <si>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</si>
  <si>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</si>
  <si>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</si>
  <si>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</si>
  <si>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</si>
  <si>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</si>
  <si>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</si>
  <si>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</si>
  <si>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</si>
  <si>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</si>
  <si>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</si>
  <si>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</si>
  <si>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</si>
  <si>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</si>
  <si>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</si>
  <si>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</si>
  <si>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</si>
  <si>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</si>
  <si>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</si>
  <si>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</si>
  <si>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</si>
  <si>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</si>
  <si>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</si>
  <si>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</si>
  <si>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</si>
  <si>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</si>
  <si>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</si>
  <si>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</si>
  <si>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</si>
  <si>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</si>
  <si>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</si>
  <si>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</si>
  <si>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</si>
  <si>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</si>
  <si>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</si>
  <si>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</si>
  <si>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</si>
  <si>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</si>
  <si>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</si>
  <si>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</si>
  <si>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</si>
  <si>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</si>
  <si>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</si>
  <si>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</si>
  <si>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</si>
  <si>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</si>
  <si>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</si>
  <si>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</si>
  <si>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</si>
  <si>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</si>
  <si>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</si>
  <si>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</si>
  <si>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</si>
  <si>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</si>
  <si>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</si>
  <si>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</si>
  <si>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</si>
  <si>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</si>
  <si>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</si>
  <si>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</si>
  <si>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</si>
  <si>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</si>
  <si>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</si>
  <si>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</si>
  <si>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</si>
  <si>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</si>
  <si>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</si>
  <si>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</si>
  <si>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</si>
  <si>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</si>
  <si>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</si>
  <si>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</si>
  <si>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</si>
  <si>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</si>
  <si>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</si>
  <si>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</si>
  <si>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</si>
  <si>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</si>
  <si>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</si>
  <si>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</si>
  <si>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</si>
  <si>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</si>
  <si>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</si>
  <si>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</si>
  <si>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</si>
  <si>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</si>
  <si>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</si>
  <si>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</si>
  <si>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</si>
  <si>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</si>
  <si>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</si>
  <si>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</si>
  <si>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</si>
  <si>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</si>
  <si>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</si>
  <si>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</si>
  <si>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</si>
  <si>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</si>
  <si>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</si>
  <si>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</si>
  <si>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</si>
  <si>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</si>
  <si>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</si>
  <si>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</si>
  <si>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</si>
  <si>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</si>
  <si>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</si>
  <si>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</si>
  <si>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</si>
  <si>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</si>
  <si>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</si>
  <si>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</si>
  <si>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</si>
  <si>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</si>
  <si>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</si>
  <si>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</si>
  <si>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</si>
  <si>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</si>
  <si>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</si>
  <si>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</si>
  <si>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</si>
  <si>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</si>
  <si>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</si>
  <si>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</si>
  <si>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</si>
  <si>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</si>
  <si>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</si>
  <si>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</si>
  <si>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</si>
  <si>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</si>
  <si>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</si>
  <si>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</si>
  <si>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</si>
  <si>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</si>
  <si>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</si>
  <si>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</si>
  <si>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</si>
  <si>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</si>
  <si>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</si>
  <si>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</si>
  <si>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</si>
  <si>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</si>
  <si>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</si>
  <si>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</si>
  <si>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</si>
  <si>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</si>
  <si>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</si>
  <si>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</si>
  <si>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</si>
  <si>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</si>
  <si>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</si>
  <si>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</si>
  <si>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</si>
  <si>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</si>
  <si>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</si>
  <si>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</si>
  <si>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</si>
  <si>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</si>
  <si>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</si>
  <si>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</si>
  <si>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</si>
  <si>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</si>
  <si>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</si>
  <si>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</si>
  <si>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</si>
  <si>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</si>
  <si>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</si>
  <si>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</si>
  <si>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</si>
  <si>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</si>
  <si>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</si>
  <si>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</si>
  <si>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</si>
  <si>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</si>
  <si>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</si>
  <si>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</si>
  <si>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</si>
  <si>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</si>
  <si>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</si>
  <si>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</si>
  <si>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</si>
  <si>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</si>
  <si>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</si>
  <si>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</si>
  <si>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</si>
  <si>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</si>
  <si>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</si>
  <si>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</si>
  <si>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</si>
  <si>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</si>
  <si>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</si>
  <si>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</si>
  <si>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</si>
  <si>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</si>
  <si>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</si>
  <si>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</si>
  <si>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</si>
  <si>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</si>
  <si>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</si>
  <si>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</si>
  <si>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</si>
  <si>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</si>
  <si>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</si>
  <si>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</si>
  <si>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</si>
  <si>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</si>
  <si>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</si>
  <si>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</si>
  <si>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</si>
  <si>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</si>
  <si>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</si>
  <si>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</si>
  <si>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</si>
  <si>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</si>
  <si>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</si>
  <si>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</si>
  <si>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</si>
  <si>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</si>
  <si>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</si>
  <si>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</si>
  <si>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</si>
  <si>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</si>
  <si>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</si>
  <si>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</si>
  <si>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</si>
  <si>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</si>
  <si>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</si>
  <si>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</si>
  <si>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</si>
  <si>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</si>
  <si>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</si>
  <si>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</si>
  <si>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</si>
  <si>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</si>
  <si>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</si>
  <si>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</si>
  <si>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</si>
  <si>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</si>
  <si>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</si>
  <si>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</si>
  <si>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</si>
  <si>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</si>
  <si>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</si>
  <si>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</si>
  <si>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</si>
  <si>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</si>
  <si>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</si>
  <si>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</si>
  <si>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</si>
  <si>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</si>
  <si>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</si>
  <si>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</si>
  <si>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</si>
  <si>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</si>
  <si>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</si>
  <si>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</si>
  <si>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</si>
  <si>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</si>
  <si>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</si>
  <si>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</si>
  <si>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</si>
  <si>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</si>
  <si>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</si>
  <si>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</si>
  <si>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</si>
  <si>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</si>
  <si>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</si>
  <si>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</si>
  <si>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</si>
  <si>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</si>
  <si>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</si>
  <si>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</si>
  <si>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</si>
  <si>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</si>
  <si>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</si>
  <si>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</si>
  <si>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</si>
  <si>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</si>
  <si>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</si>
  <si>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</si>
  <si>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</si>
  <si>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</si>
  <si>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</si>
  <si>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</si>
  <si>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</si>
  <si>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</si>
  <si>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</si>
  <si>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</si>
  <si>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</si>
  <si>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</si>
  <si>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</si>
  <si>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</si>
  <si>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</si>
  <si>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</si>
  <si>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</si>
  <si>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</si>
  <si>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</si>
  <si>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</si>
  <si>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</si>
  <si>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</si>
  <si>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</si>
  <si>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</si>
  <si>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</si>
  <si>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</si>
  <si>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</si>
  <si>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</si>
  <si>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</si>
  <si>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</si>
  <si>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</si>
  <si>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</si>
  <si>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</si>
  <si>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</si>
  <si>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</si>
  <si>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</si>
  <si>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</si>
  <si>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</si>
  <si>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</si>
  <si>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</si>
  <si>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</si>
  <si>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</si>
  <si>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</si>
  <si>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</si>
  <si>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</si>
  <si>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</si>
  <si>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</si>
  <si>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</si>
  <si>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</si>
  <si>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</si>
  <si>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</si>
  <si>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</si>
  <si>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</si>
  <si>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</si>
  <si>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</si>
  <si>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</si>
  <si>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</si>
  <si>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</si>
  <si>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</si>
  <si>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</si>
  <si>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</si>
  <si>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</si>
  <si>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</si>
  <si>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</si>
  <si>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</si>
  <si>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</si>
  <si>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</si>
  <si>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</si>
  <si>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</si>
  <si>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</si>
  <si>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</si>
  <si>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</si>
  <si>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</si>
  <si>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</si>
  <si>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</si>
  <si>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</si>
  <si>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</si>
  <si>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</si>
  <si>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</si>
  <si>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</si>
  <si>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</si>
  <si>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</si>
  <si>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</si>
  <si>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</si>
  <si>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</si>
  <si>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</si>
  <si>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</si>
  <si>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</si>
  <si>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</si>
  <si>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</si>
  <si>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</si>
  <si>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</si>
  <si>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</si>
  <si>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</si>
  <si>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</si>
  <si>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</si>
  <si>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</si>
  <si>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</si>
  <si>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</si>
  <si>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</si>
  <si>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</si>
  <si>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</si>
  <si>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</si>
  <si>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</si>
  <si>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</si>
  <si>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</si>
  <si>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</si>
  <si>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</si>
  <si>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</si>
  <si>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</si>
  <si>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</si>
  <si>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</si>
  <si>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</si>
  <si>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</si>
  <si>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</si>
  <si>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</si>
  <si>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</si>
  <si>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</si>
  <si>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</si>
  <si>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</si>
  <si>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</si>
  <si>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</si>
  <si>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</si>
  <si>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</si>
  <si>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</si>
  <si>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</si>
  <si>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</si>
  <si>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</si>
  <si>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</si>
  <si>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</si>
  <si>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</si>
  <si>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</si>
  <si>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</si>
  <si>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</si>
  <si>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</si>
  <si>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</si>
  <si>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</si>
  <si>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</si>
  <si>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</si>
  <si>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</si>
  <si>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</si>
  <si>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</si>
  <si>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</si>
  <si>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</si>
  <si>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</si>
  <si>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</si>
  <si>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</si>
  <si>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</si>
  <si>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</si>
  <si>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</si>
  <si>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</si>
  <si>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</si>
  <si>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</si>
  <si>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</si>
  <si>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</si>
  <si>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</si>
  <si>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</si>
  <si>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</si>
  <si>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</si>
  <si>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</si>
  <si>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</si>
  <si>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</si>
  <si>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</si>
  <si>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</si>
  <si>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</si>
  <si>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</si>
  <si>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</si>
  <si>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</si>
  <si>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</si>
  <si>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</si>
  <si>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</si>
  <si>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</si>
  <si>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</si>
  <si>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</si>
  <si>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</si>
  <si>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</si>
  <si>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</si>
  <si>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</si>
  <si>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</si>
  <si>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</si>
  <si>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</si>
  <si>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</si>
  <si>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</si>
  <si>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</si>
  <si>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</si>
  <si>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</si>
  <si>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</si>
  <si>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</si>
  <si>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</si>
  <si>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</si>
  <si>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</si>
  <si>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</si>
  <si>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</si>
  <si>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</si>
  <si>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</si>
  <si>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</si>
  <si>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</si>
  <si>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</si>
  <si>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</si>
  <si>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</si>
  <si>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</si>
  <si>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</si>
  <si>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</si>
  <si>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</si>
  <si>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</si>
  <si>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</si>
  <si>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</si>
  <si>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</si>
  <si>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</si>
  <si>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</si>
  <si>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</si>
  <si>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</si>
  <si>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</si>
  <si>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</si>
  <si>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</si>
  <si>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</si>
  <si>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</si>
  <si>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</si>
  <si>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</si>
  <si>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</si>
  <si>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</si>
  <si>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</si>
  <si>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</si>
  <si>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</si>
  <si>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</si>
  <si>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</si>
  <si>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</si>
  <si>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</si>
  <si>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</si>
  <si>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</si>
  <si>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</si>
  <si>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</si>
  <si>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</si>
  <si>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</si>
  <si>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</si>
  <si>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</si>
  <si>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</si>
  <si>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</si>
  <si>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</si>
  <si>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</si>
  <si>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</si>
  <si>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</si>
  <si>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</si>
  <si>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</si>
  <si>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</si>
  <si>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</si>
  <si>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</si>
  <si>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</si>
  <si>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</si>
  <si>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</si>
  <si>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</si>
  <si>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</si>
  <si>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</si>
  <si>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</si>
  <si>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</si>
  <si>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</si>
  <si>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</si>
  <si>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</si>
  <si>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</si>
  <si>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</si>
  <si>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</si>
  <si>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</si>
  <si>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</si>
  <si>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</si>
  <si>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</si>
  <si>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</si>
  <si>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</si>
  <si>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</si>
  <si>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</si>
  <si>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</si>
  <si>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</si>
  <si>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</si>
  <si>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</si>
  <si>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</si>
  <si>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</si>
  <si>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</si>
  <si>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</si>
  <si>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</si>
  <si>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</si>
  <si>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</si>
  <si>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</si>
  <si>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</si>
  <si>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</si>
  <si>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</si>
  <si>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</si>
  <si>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</si>
  <si>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</si>
  <si>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</si>
  <si>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</si>
  <si>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</si>
  <si>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</si>
  <si>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</si>
  <si>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</si>
  <si>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</si>
  <si>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</si>
  <si>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</si>
  <si>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</si>
  <si>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</si>
  <si>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</si>
  <si>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</si>
  <si>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</si>
  <si>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</si>
  <si>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</si>
  <si>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</si>
  <si>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</si>
  <si>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</si>
  <si>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</si>
  <si>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</si>
  <si>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</si>
  <si>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</si>
  <si>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</si>
  <si>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</si>
  <si>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</si>
  <si>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</si>
  <si>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</si>
  <si>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</si>
  <si>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</si>
  <si>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</si>
  <si>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</si>
  <si>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</si>
  <si>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</si>
  <si>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</si>
  <si>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</si>
  <si>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</si>
  <si>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</si>
  <si>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</si>
  <si>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</si>
  <si>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</si>
  <si>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</si>
  <si>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</si>
  <si>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</si>
  <si>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</si>
  <si>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</si>
  <si>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</si>
  <si>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</si>
  <si>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</si>
  <si>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</si>
  <si>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</si>
  <si>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</si>
  <si>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</si>
  <si>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</si>
  <si>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</si>
  <si>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</si>
  <si>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</si>
  <si>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</si>
  <si>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</si>
  <si>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</si>
  <si>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</si>
  <si>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</si>
  <si>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</si>
  <si>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</si>
  <si>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</si>
  <si>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</si>
  <si>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</si>
  <si>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</si>
  <si>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</si>
  <si>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</si>
  <si>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</si>
  <si>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</si>
  <si>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</si>
  <si>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</si>
  <si>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</si>
  <si>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</si>
  <si>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</si>
  <si>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</si>
  <si>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</si>
  <si>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</si>
  <si>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</si>
  <si>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</si>
  <si>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</si>
  <si>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</si>
  <si>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</si>
  <si>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</si>
  <si>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</si>
  <si>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</si>
  <si>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</si>
  <si>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</si>
  <si>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</si>
  <si>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</si>
  <si>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</si>
  <si>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</si>
  <si>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</si>
  <si>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</si>
  <si>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</si>
  <si>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</si>
  <si>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</si>
  <si>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</si>
  <si>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</si>
  <si>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</si>
  <si>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</si>
  <si>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</si>
  <si>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</si>
  <si>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</si>
  <si>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</si>
  <si>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</si>
  <si>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</si>
  <si>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</si>
  <si>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</si>
  <si>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</si>
  <si>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</si>
  <si>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</si>
  <si>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</si>
  <si>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</si>
  <si>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</si>
  <si>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</si>
  <si>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</si>
  <si>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</si>
  <si>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</si>
  <si>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</si>
  <si>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</si>
  <si>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</si>
  <si>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</si>
  <si>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</si>
  <si>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</si>
  <si>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</si>
  <si>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</si>
  <si>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</si>
  <si>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</si>
  <si>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</si>
  <si>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</si>
  <si>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</si>
  <si>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</si>
  <si>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</si>
  <si>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</si>
  <si>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</si>
  <si>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</si>
  <si>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</si>
  <si>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</si>
  <si>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</si>
  <si>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</si>
  <si>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</si>
  <si>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</si>
  <si>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</si>
  <si>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</si>
  <si>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</si>
  <si>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</si>
  <si>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</si>
  <si>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</si>
  <si>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</si>
  <si>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</si>
  <si>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</si>
  <si>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</si>
  <si>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</si>
  <si>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</si>
  <si>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</si>
  <si>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</si>
  <si>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</si>
  <si>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</si>
  <si>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</si>
  <si>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</si>
  <si>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</si>
  <si>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</si>
  <si>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</si>
  <si>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</si>
  <si>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</si>
  <si>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</si>
  <si>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</si>
  <si>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</si>
  <si>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</si>
  <si>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</si>
  <si>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</si>
  <si>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</si>
  <si>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</si>
  <si>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</si>
  <si>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</si>
  <si>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</si>
  <si>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</si>
  <si>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</si>
  <si>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</si>
  <si>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</si>
  <si>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</si>
  <si>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</si>
  <si>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</si>
  <si>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</si>
  <si>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</si>
  <si>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</si>
  <si>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</si>
  <si>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</si>
  <si>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</si>
  <si>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</si>
  <si>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</si>
  <si>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</si>
  <si>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</si>
  <si>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</si>
  <si>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</si>
  <si>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</si>
  <si>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</si>
  <si>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</si>
  <si>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</si>
  <si>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</si>
  <si>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</si>
  <si>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</si>
  <si>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</si>
  <si>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</si>
  <si>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</si>
  <si>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</si>
  <si>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</si>
  <si>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</si>
  <si>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</si>
  <si>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</si>
  <si>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</si>
  <si>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</si>
  <si>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</si>
  <si>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</si>
  <si>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</si>
  <si>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</si>
  <si>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</si>
  <si>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</si>
  <si>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</si>
  <si>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</si>
  <si>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</si>
  <si>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</si>
  <si>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</si>
  <si>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</si>
  <si>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</si>
  <si>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</si>
  <si>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</si>
  <si>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</si>
  <si>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</si>
  <si>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</si>
  <si>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</si>
  <si>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</si>
  <si>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</si>
  <si>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</si>
  <si>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</si>
  <si>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</si>
  <si>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</si>
  <si>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</si>
  <si>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</si>
  <si>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</si>
  <si>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</si>
  <si>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</si>
  <si>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</si>
  <si>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</si>
  <si>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</si>
  <si>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</si>
  <si>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</si>
  <si>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</si>
  <si>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</si>
  <si>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</si>
  <si>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</si>
  <si>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</si>
  <si>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</si>
  <si>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</si>
  <si>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</si>
  <si>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</si>
  <si>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</si>
  <si>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</si>
  <si>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</si>
  <si>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</si>
  <si>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</si>
  <si>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</si>
  <si>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</si>
  <si>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</si>
  <si>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</si>
  <si>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</si>
  <si>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</si>
  <si>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</si>
  <si>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</si>
  <si>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</si>
  <si>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</si>
  <si>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</si>
  <si>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</si>
  <si>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</si>
  <si>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</si>
  <si>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</si>
  <si>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</si>
  <si>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</si>
  <si>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</si>
  <si>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</si>
  <si>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</si>
  <si>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</si>
  <si>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</si>
  <si>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</si>
  <si>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</si>
  <si>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</si>
  <si>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</si>
  <si>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</si>
  <si>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</si>
  <si>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</si>
  <si>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</si>
  <si>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</si>
  <si>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</si>
  <si>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</si>
  <si>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</si>
  <si>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</si>
  <si>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</si>
  <si>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</si>
  <si>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</si>
  <si>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</si>
  <si>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</si>
  <si>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</si>
  <si>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</si>
  <si>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</si>
  <si>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</si>
  <si>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</si>
  <si>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</si>
  <si>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</si>
  <si>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</si>
  <si>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</si>
  <si>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</si>
  <si>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</si>
  <si>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</si>
  <si>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</si>
  <si>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</si>
  <si>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</si>
  <si>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</si>
  <si>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</si>
  <si>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</si>
  <si>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</si>
  <si>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</si>
  <si>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</si>
  <si>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</si>
  <si>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</si>
  <si>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</si>
  <si>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</si>
  <si>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</si>
  <si>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</si>
  <si>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</si>
  <si>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</si>
  <si>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</si>
  <si>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</si>
  <si>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</si>
  <si>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</si>
  <si>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</si>
  <si>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</si>
  <si>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</si>
  <si>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</si>
  <si>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</si>
  <si>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</si>
  <si>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</si>
  <si>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</si>
  <si>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</si>
  <si>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</si>
  <si>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</si>
  <si>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</si>
  <si>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</si>
  <si>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</si>
  <si>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</si>
  <si>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</si>
  <si>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</si>
  <si>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</si>
  <si>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</si>
  <si>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</si>
  <si>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</si>
  <si>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</si>
  <si>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</si>
  <si>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</si>
  <si>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</si>
  <si>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</si>
  <si>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</si>
  <si>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</si>
  <si>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</si>
  <si>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</si>
  <si>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</si>
  <si>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</si>
  <si>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</si>
  <si>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</si>
  <si>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</si>
  <si>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</si>
  <si>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</si>
  <si>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</si>
  <si>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</si>
  <si>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</si>
  <si>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</si>
  <si>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</si>
  <si>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</si>
  <si>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</si>
  <si>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</si>
  <si>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</si>
  <si>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</si>
  <si>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</si>
  <si>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</si>
  <si>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</si>
  <si>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</si>
  <si>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</si>
  <si>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</si>
  <si>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</si>
  <si>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</si>
  <si>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</si>
  <si>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</si>
  <si>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</si>
  <si>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</si>
  <si>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</si>
  <si>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</si>
  <si>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</si>
  <si>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</si>
  <si>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</si>
  <si>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</si>
  <si>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</si>
  <si>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</si>
  <si>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</si>
  <si>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</si>
  <si>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</si>
  <si>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</si>
  <si>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</si>
  <si>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</si>
  <si>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</si>
  <si>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</si>
  <si>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</si>
  <si>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</si>
  <si>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</si>
  <si>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</si>
  <si>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</si>
  <si>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</si>
  <si>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</si>
  <si>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</si>
  <si>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</si>
  <si>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</si>
  <si>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</si>
  <si>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</si>
  <si>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</si>
  <si>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</si>
  <si>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</si>
  <si>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</si>
  <si>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</si>
  <si>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</si>
  <si>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</si>
  <si>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</si>
  <si>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</si>
  <si>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</si>
  <si>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</si>
  <si>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</si>
  <si>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</si>
  <si>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</si>
  <si>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</si>
  <si>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</si>
  <si>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</si>
  <si>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</si>
  <si>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</si>
  <si>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</si>
  <si>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</si>
  <si>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</si>
  <si>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</si>
  <si>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</si>
  <si>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</si>
  <si>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</si>
  <si>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</si>
  <si>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</si>
  <si>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</si>
  <si>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</si>
  <si>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</si>
  <si>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</si>
  <si>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</si>
  <si>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</si>
  <si>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</si>
  <si>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</si>
  <si>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</si>
  <si>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</si>
  <si>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</si>
  <si>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</si>
  <si>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</si>
  <si>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</si>
  <si>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</si>
  <si>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</si>
  <si>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</si>
  <si>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</si>
  <si>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</si>
  <si>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</si>
  <si>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</si>
  <si>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</si>
  <si>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</si>
  <si>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</si>
  <si>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</si>
  <si>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</si>
  <si>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</si>
  <si>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</si>
  <si>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</si>
  <si>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</si>
  <si>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</si>
  <si>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</si>
  <si>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</si>
  <si>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</si>
  <si>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</si>
  <si>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</si>
  <si>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</si>
  <si>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</si>
  <si>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</si>
  <si>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</si>
  <si>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</si>
  <si>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</si>
  <si>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</si>
  <si>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</si>
  <si>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</si>
  <si>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</si>
  <si>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</si>
  <si>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</si>
  <si>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</si>
  <si>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</si>
  <si>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</si>
  <si>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</si>
  <si>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</si>
  <si>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</si>
  <si>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</si>
  <si>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</si>
  <si>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</si>
  <si>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</si>
  <si>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</si>
  <si>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</si>
  <si>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</si>
  <si>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</si>
  <si>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</si>
  <si>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</si>
  <si>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</si>
  <si>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</si>
  <si>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</si>
  <si>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</si>
  <si>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</si>
  <si>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</si>
  <si>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</si>
  <si>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</si>
  <si>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</si>
  <si>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</si>
  <si>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</si>
  <si>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</si>
  <si>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</si>
  <si>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</si>
  <si>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</si>
  <si>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</si>
  <si>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</si>
  <si>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</si>
  <si>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</si>
  <si>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</si>
  <si>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</si>
  <si>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</si>
  <si>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</si>
  <si>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</si>
  <si>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</si>
  <si>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</si>
  <si>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</si>
  <si>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</si>
  <si>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</si>
  <si>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</si>
  <si>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</si>
  <si>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</si>
  <si>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</si>
  <si>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</si>
  <si>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</si>
  <si>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</si>
  <si>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</si>
  <si>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</si>
  <si>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</si>
  <si>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</si>
  <si>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</si>
  <si>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</si>
  <si>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</si>
  <si>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</si>
  <si>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</si>
  <si>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</si>
  <si>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</si>
  <si>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</si>
  <si>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</si>
  <si>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</si>
  <si>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</si>
  <si>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</si>
  <si>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</si>
  <si>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</si>
  <si>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</si>
  <si>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</si>
  <si>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</si>
  <si>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</si>
  <si>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</si>
  <si>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</si>
  <si>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</si>
  <si>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</si>
  <si>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</si>
  <si>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</si>
  <si>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</si>
  <si>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</si>
  <si>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</si>
  <si>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</si>
  <si>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</si>
  <si>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</si>
  <si>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</si>
  <si>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</si>
  <si>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</si>
  <si>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</si>
  <si>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</si>
  <si>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</si>
  <si>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</si>
  <si>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</si>
  <si>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</si>
  <si>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</si>
  <si>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</si>
  <si>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</si>
  <si>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</si>
  <si>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</si>
  <si>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</si>
  <si>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</si>
  <si>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</si>
  <si>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</si>
  <si>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</si>
  <si>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</si>
  <si>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</si>
  <si>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</si>
  <si>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</si>
  <si>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</si>
  <si>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</si>
  <si>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</si>
  <si>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</si>
  <si>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</si>
  <si>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</si>
  <si>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</si>
  <si>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</si>
  <si>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</si>
  <si>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</si>
  <si>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</si>
  <si>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</si>
  <si>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</si>
  <si>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</si>
  <si>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</si>
  <si>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</si>
  <si>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</si>
  <si>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</si>
  <si>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</si>
  <si>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</si>
  <si>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</si>
  <si>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</si>
  <si>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</si>
  <si>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</si>
  <si>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</si>
  <si>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</si>
  <si>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</si>
  <si>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</si>
  <si>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</si>
  <si>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</si>
  <si>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</si>
  <si>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</si>
  <si>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</si>
  <si>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</si>
  <si>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</si>
  <si>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</si>
  <si>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</si>
  <si>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</si>
  <si>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</si>
  <si>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</si>
  <si>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</si>
  <si>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</si>
  <si>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</si>
  <si>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</si>
  <si>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</si>
  <si>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</si>
  <si>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</si>
  <si>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</si>
  <si>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</si>
  <si>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</si>
  <si>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</si>
  <si>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</si>
  <si>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</si>
  <si>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</si>
  <si>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</si>
  <si>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</si>
  <si>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</si>
  <si>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</si>
  <si>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</si>
  <si>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</si>
  <si>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</si>
  <si>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</si>
  <si>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</si>
  <si>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</si>
  <si>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</si>
  <si>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</si>
  <si>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</si>
  <si>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</si>
  <si>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</si>
  <si>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</si>
  <si>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</si>
  <si>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</si>
  <si>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</si>
  <si>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</si>
  <si>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</si>
  <si>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</si>
  <si>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</si>
  <si>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</si>
  <si>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</si>
  <si>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</si>
  <si>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</si>
  <si>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</si>
  <si>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</si>
  <si>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</si>
  <si>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</si>
  <si>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</si>
  <si>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</si>
  <si>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</si>
  <si>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</si>
  <si>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</si>
  <si>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</si>
  <si>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</si>
  <si>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</si>
  <si>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</si>
  <si>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</si>
  <si>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</si>
  <si>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</si>
  <si>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</si>
  <si>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</si>
  <si>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</si>
  <si>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</si>
  <si>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</si>
  <si>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</si>
  <si>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</si>
  <si>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</si>
  <si>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</si>
  <si>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</si>
  <si>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</si>
  <si>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</si>
  <si>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</si>
  <si>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</si>
  <si>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</si>
  <si>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</si>
  <si>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</si>
  <si>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</si>
  <si>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</si>
  <si>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</si>
  <si>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</si>
  <si>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</si>
  <si>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</si>
  <si>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</si>
  <si>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</si>
  <si>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</si>
  <si>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</si>
  <si>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</si>
  <si>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</si>
  <si>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</si>
  <si>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</si>
  <si>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</si>
  <si>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</si>
  <si>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</si>
  <si>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</si>
  <si>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</si>
  <si>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</si>
  <si>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</si>
  <si>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</si>
  <si>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</si>
  <si>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</si>
  <si>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</si>
  <si>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</si>
  <si>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</si>
  <si>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</si>
  <si>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</si>
  <si>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</si>
  <si>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</si>
  <si>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</si>
  <si>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</si>
  <si>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</si>
  <si>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</si>
  <si>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</si>
  <si>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</si>
  <si>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</si>
  <si>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</si>
  <si>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</si>
  <si>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</si>
  <si>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</si>
  <si>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</si>
  <si>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</si>
  <si>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</si>
  <si>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</si>
  <si>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</si>
  <si>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</si>
  <si>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</si>
  <si>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</si>
  <si>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</si>
  <si>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</si>
  <si>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</si>
  <si>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</si>
  <si>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</si>
  <si>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</si>
  <si>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</si>
  <si>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</si>
  <si>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</si>
  <si>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</si>
  <si>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</si>
  <si>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</si>
  <si>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</si>
  <si>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</si>
  <si>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</si>
  <si>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</si>
  <si>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</si>
  <si>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</si>
  <si>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</si>
  <si>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</si>
  <si>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</si>
  <si>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</si>
  <si>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</si>
  <si>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</si>
  <si>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</si>
  <si>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</si>
  <si>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</si>
  <si>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</si>
  <si>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</si>
  <si>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</si>
  <si>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</si>
  <si>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</si>
  <si>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</si>
  <si>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</si>
  <si>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</si>
  <si>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</si>
  <si>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</si>
  <si>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</si>
  <si>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</si>
  <si>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</si>
  <si>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</si>
  <si>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</si>
  <si>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</si>
  <si>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</si>
  <si>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</si>
  <si>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</si>
  <si>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</si>
  <si>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</si>
  <si>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</si>
  <si>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</si>
  <si>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</si>
  <si>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</si>
  <si>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</si>
  <si>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</si>
  <si>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</si>
  <si>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</si>
  <si>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</si>
  <si>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</si>
  <si>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</si>
  <si>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</si>
  <si>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</si>
  <si>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</si>
  <si>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</si>
  <si>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</si>
  <si>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</si>
  <si>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</si>
  <si>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</si>
  <si>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</si>
  <si>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</si>
  <si>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</si>
  <si>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</si>
  <si>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</si>
  <si>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</si>
  <si>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</si>
  <si>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</si>
  <si>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</si>
  <si>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</si>
  <si>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</si>
  <si>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</si>
  <si>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</si>
  <si>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</si>
  <si>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</si>
  <si>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</si>
  <si>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</si>
  <si>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</si>
  <si>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</si>
  <si>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</si>
  <si>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</si>
  <si>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</si>
  <si>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</si>
  <si>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</si>
  <si>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</si>
  <si>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</si>
  <si>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</si>
  <si>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</si>
  <si>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</si>
  <si>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</si>
  <si>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</si>
  <si>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</si>
  <si>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</si>
  <si>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</si>
  <si>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</si>
  <si>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</si>
  <si>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</si>
  <si>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</si>
  <si>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</si>
  <si>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</si>
  <si>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</si>
  <si>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</si>
  <si>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</si>
  <si>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</si>
  <si>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</si>
  <si>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</si>
  <si>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</si>
  <si>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</si>
  <si>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</si>
  <si>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</si>
  <si>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</si>
  <si>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</si>
  <si>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</si>
  <si>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</si>
  <si>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</si>
  <si>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</si>
  <si>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</si>
  <si>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</si>
  <si>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</si>
  <si>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</si>
  <si>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</si>
  <si>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</si>
  <si>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</si>
  <si>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</si>
  <si>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</si>
  <si>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</si>
  <si>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</si>
  <si>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</si>
  <si>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</si>
  <si>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</si>
  <si>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</si>
  <si>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</si>
  <si>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</si>
  <si>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</si>
  <si>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</si>
  <si>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</si>
  <si>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</si>
  <si>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</si>
  <si>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</si>
  <si>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</si>
  <si>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</si>
  <si>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</si>
  <si>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</si>
  <si>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</si>
  <si>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</si>
  <si>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</si>
  <si>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</si>
  <si>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</si>
  <si>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</si>
  <si>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</si>
  <si>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</si>
  <si>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</si>
  <si>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</si>
  <si>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</si>
  <si>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</si>
  <si>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</si>
  <si>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</si>
  <si>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</si>
  <si>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</si>
  <si>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</si>
  <si>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</si>
  <si>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</si>
  <si>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</si>
  <si>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</si>
  <si>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</si>
  <si>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</si>
  <si>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</si>
  <si>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</si>
  <si>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</si>
  <si>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</si>
  <si>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</si>
  <si>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</si>
  <si>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</si>
  <si>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</si>
  <si>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</si>
  <si>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</si>
  <si>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</si>
  <si>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</si>
  <si>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</si>
  <si>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</si>
  <si>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</si>
  <si>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</si>
  <si>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</si>
  <si>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</si>
  <si>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</si>
  <si>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</si>
  <si>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</si>
  <si>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</si>
  <si>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</si>
  <si>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</si>
  <si>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</si>
  <si>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</si>
  <si>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</si>
  <si>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</si>
  <si>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</si>
  <si>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</si>
  <si>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</si>
  <si>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</si>
  <si>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</si>
  <si>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</si>
  <si>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</si>
  <si>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</si>
  <si>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</si>
  <si>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</si>
  <si>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</si>
  <si>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</si>
  <si>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</si>
  <si>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</si>
  <si>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</si>
  <si>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</si>
  <si>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</si>
  <si>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</si>
  <si>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</si>
  <si>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</si>
  <si>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</si>
  <si>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</si>
  <si>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</si>
  <si>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</si>
  <si>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</si>
  <si>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</si>
  <si>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</si>
  <si>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</si>
  <si>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</si>
  <si>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</si>
  <si>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</si>
  <si>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</si>
  <si>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</si>
  <si>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</si>
  <si>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</si>
  <si>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</si>
  <si>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</si>
  <si>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</si>
  <si>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</si>
  <si>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</si>
  <si>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</si>
  <si>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</si>
  <si>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</si>
  <si>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</si>
  <si>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</si>
  <si>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</si>
  <si>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</si>
  <si>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</si>
  <si>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</si>
  <si>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</si>
  <si>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</si>
  <si>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</si>
  <si>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</si>
  <si>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</si>
  <si>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</si>
  <si>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</si>
  <si>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</si>
  <si>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</si>
  <si>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</si>
  <si>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</si>
  <si>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</si>
  <si>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</si>
  <si>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</si>
  <si>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</si>
  <si>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</si>
  <si>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</si>
  <si>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</si>
  <si>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</si>
  <si>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</si>
  <si>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</si>
  <si>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</si>
  <si>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</si>
  <si>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</si>
  <si>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</si>
  <si>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</si>
  <si>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</si>
  <si>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</si>
  <si>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</si>
  <si>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</si>
  <si>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</si>
  <si>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</si>
  <si>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</si>
  <si>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</si>
  <si>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</si>
  <si>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</si>
  <si>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</si>
  <si>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</si>
  <si>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</si>
  <si>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</si>
  <si>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</si>
  <si>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</si>
  <si>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</si>
  <si>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</si>
  <si>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</si>
  <si>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</si>
  <si>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</si>
  <si>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</si>
  <si>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</si>
  <si>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</si>
  <si>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</si>
  <si>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</si>
  <si>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</si>
  <si>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</si>
  <si>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</si>
  <si>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</si>
  <si>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</si>
  <si>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</si>
  <si>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</si>
  <si>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</si>
  <si>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</si>
  <si>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</si>
  <si>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</si>
  <si>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</si>
  <si>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</si>
  <si>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</si>
  <si>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</si>
  <si>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</si>
  <si>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</si>
  <si>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</si>
  <si>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</si>
  <si>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</si>
  <si>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</si>
  <si>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</si>
  <si>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</si>
  <si>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</si>
  <si>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</si>
  <si>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</si>
  <si>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</si>
  <si>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</si>
  <si>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</si>
  <si>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</si>
  <si>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</si>
  <si>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</si>
  <si>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</si>
  <si>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</si>
  <si>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</si>
  <si>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</si>
  <si>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</si>
  <si>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</si>
  <si>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</si>
  <si>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</si>
  <si>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</si>
  <si>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</si>
  <si>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</si>
  <si>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</si>
  <si>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</si>
  <si>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</si>
  <si>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</si>
  <si>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</si>
  <si>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</si>
  <si>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</si>
  <si>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</si>
  <si>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</si>
  <si>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</si>
  <si>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</si>
  <si>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</si>
  <si>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</si>
  <si>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</si>
  <si>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</si>
  <si>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</si>
  <si>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</si>
  <si>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</si>
  <si>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</si>
  <si>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</si>
  <si>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</si>
  <si>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</si>
  <si>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</si>
  <si>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</si>
  <si>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</si>
  <si>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</si>
  <si>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</si>
  <si>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</si>
  <si>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</si>
  <si>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</si>
  <si>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</si>
  <si>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</si>
  <si>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</si>
  <si>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</si>
  <si>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</si>
  <si>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</si>
  <si>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</si>
  <si>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</si>
  <si>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</si>
  <si>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</si>
  <si>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</si>
  <si>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</si>
  <si>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</si>
  <si>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</si>
  <si>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</si>
  <si>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</si>
  <si>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</si>
  <si>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</si>
  <si>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</si>
  <si>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</si>
  <si>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</si>
  <si>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</si>
  <si>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</si>
  <si>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</si>
  <si>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</si>
  <si>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</si>
  <si>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</si>
  <si>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</si>
  <si>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</si>
  <si>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</si>
  <si>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</si>
  <si>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</si>
  <si>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</si>
  <si>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</si>
  <si>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</si>
  <si>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</si>
  <si>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</si>
  <si>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</si>
  <si>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</si>
  <si>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</si>
  <si>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</si>
  <si>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</si>
  <si>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</si>
  <si>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</si>
  <si>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</si>
  <si>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</si>
  <si>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</si>
  <si>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</si>
  <si>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</si>
  <si>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</si>
  <si>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</si>
  <si>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</si>
  <si>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</si>
  <si>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</si>
  <si>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</si>
  <si>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</si>
  <si>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</si>
  <si>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</si>
  <si>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</si>
  <si>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</si>
  <si>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</si>
  <si>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</si>
  <si>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</si>
  <si>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</si>
  <si>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</si>
  <si>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</si>
  <si>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</si>
  <si>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</si>
  <si>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</si>
  <si>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</si>
  <si>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</si>
  <si>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</si>
  <si>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</si>
  <si>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</si>
  <si>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</si>
  <si>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</si>
  <si>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</si>
  <si>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</si>
  <si>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</si>
  <si>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</si>
  <si>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</si>
  <si>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</si>
  <si>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</si>
  <si>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</si>
  <si>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</si>
  <si>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</si>
  <si>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</si>
  <si>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</si>
  <si>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</si>
  <si>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</si>
  <si>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</si>
  <si>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</si>
  <si>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</si>
  <si>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</si>
  <si>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</si>
  <si>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</si>
  <si>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</si>
  <si>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</si>
  <si>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</si>
  <si>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</si>
  <si>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</si>
  <si>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</si>
  <si>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</si>
  <si>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</si>
  <si>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</si>
  <si>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</si>
  <si>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</si>
  <si>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</si>
  <si>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</si>
  <si>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</si>
  <si>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</si>
  <si>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</si>
  <si>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</si>
  <si>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</si>
  <si>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</si>
  <si>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</si>
  <si>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</si>
  <si>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</si>
  <si>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</si>
  <si>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</si>
  <si>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</si>
  <si>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</si>
  <si>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</si>
  <si>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</si>
  <si>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</si>
  <si>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</si>
  <si>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</si>
  <si>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</si>
  <si>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</si>
  <si>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</si>
  <si>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</si>
  <si>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</si>
  <si>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</si>
  <si>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</si>
  <si>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</si>
  <si>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</si>
  <si>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</si>
  <si>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</si>
  <si>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</si>
  <si>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</si>
  <si>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</si>
  <si>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</si>
  <si>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</si>
  <si>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</si>
  <si>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</si>
  <si>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</si>
  <si>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</si>
  <si>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</si>
  <si>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</si>
  <si>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</si>
  <si>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</si>
  <si>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</si>
  <si>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</si>
  <si>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</si>
  <si>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</si>
  <si>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</si>
  <si>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</si>
  <si>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</si>
  <si>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</si>
  <si>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</si>
  <si>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</si>
  <si>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</si>
  <si>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</si>
  <si>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</si>
  <si>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</si>
  <si>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</si>
  <si>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</si>
  <si>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</si>
  <si>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</si>
  <si>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</si>
  <si>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</si>
  <si>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</si>
  <si>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</si>
  <si>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</si>
  <si>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</si>
  <si>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</si>
  <si>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</si>
  <si>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</si>
  <si>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</si>
  <si>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</si>
  <si>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</si>
  <si>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</si>
  <si>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</si>
  <si>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</si>
  <si>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</si>
  <si>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</si>
  <si>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</si>
  <si>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</si>
  <si>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</si>
  <si>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</si>
  <si>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</si>
  <si>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</si>
  <si>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</si>
  <si>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</si>
  <si>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</si>
  <si>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</si>
  <si>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</si>
  <si>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</si>
  <si>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</si>
  <si>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</si>
  <si>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</si>
  <si>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</si>
  <si>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</si>
  <si>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</si>
  <si>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</si>
  <si>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</si>
  <si>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</si>
  <si>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</si>
  <si>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</si>
  <si>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</si>
  <si>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</si>
  <si>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</si>
  <si>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</si>
  <si>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</si>
  <si>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</si>
  <si>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</si>
  <si>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</si>
  <si>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</si>
  <si>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</si>
  <si>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</si>
  <si>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</si>
  <si>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</si>
  <si>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</si>
  <si>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</si>
  <si>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</si>
  <si>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</si>
  <si>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</si>
  <si>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</si>
  <si>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</si>
  <si>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</si>
  <si>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</si>
  <si>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</si>
  <si>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</si>
  <si>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</si>
  <si>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</si>
  <si>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</si>
  <si>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</si>
  <si>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</si>
  <si>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</si>
  <si>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</si>
  <si>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</si>
  <si>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</si>
  <si>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</si>
  <si>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</si>
  <si>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</si>
  <si>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</si>
  <si>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</si>
  <si>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</si>
  <si>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</si>
  <si>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</si>
  <si>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</si>
  <si>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</si>
  <si>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</si>
  <si>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</si>
  <si>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</si>
  <si>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</si>
  <si>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</si>
  <si>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</si>
  <si>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</si>
  <si>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</si>
  <si>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</si>
  <si>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</si>
  <si>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</si>
  <si>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</si>
  <si>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</si>
  <si>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</si>
  <si>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</si>
  <si>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</si>
  <si>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</si>
  <si>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</si>
  <si>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</si>
  <si>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</si>
  <si>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</si>
  <si>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</si>
  <si>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</si>
  <si>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</si>
  <si>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</si>
  <si>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</si>
  <si>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</si>
  <si>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</si>
  <si>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</si>
  <si>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</si>
  <si>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</si>
  <si>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</si>
  <si>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</si>
  <si>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</si>
  <si>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</si>
  <si>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</si>
  <si>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</si>
  <si>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</si>
  <si>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</si>
  <si>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</si>
  <si>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</si>
  <si>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</si>
  <si>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</si>
  <si>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</si>
  <si>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</si>
  <si>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</si>
  <si>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</si>
  <si>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</si>
  <si>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</si>
  <si>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</si>
  <si>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</si>
  <si>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</si>
  <si>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</si>
  <si>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</si>
  <si>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</si>
  <si>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</si>
  <si>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</si>
  <si>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</si>
  <si>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</si>
  <si>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</si>
  <si>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</si>
  <si>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</si>
  <si>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</si>
  <si>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</si>
  <si>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</si>
  <si>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</si>
  <si>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</si>
  <si>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</si>
  <si>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</si>
  <si>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</si>
  <si>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</si>
  <si>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</si>
  <si>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</si>
  <si>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</si>
  <si>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</si>
  <si>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</si>
  <si>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</si>
  <si>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</si>
  <si>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</si>
  <si>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</si>
  <si>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</si>
  <si>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</si>
  <si>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</si>
  <si>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</si>
  <si>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</si>
  <si>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</si>
  <si>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</si>
  <si>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</si>
  <si>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</si>
  <si>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</si>
  <si>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</si>
  <si>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</si>
  <si>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</si>
  <si>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</si>
  <si>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</si>
  <si>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</si>
  <si>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</si>
  <si>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</si>
  <si>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</si>
  <si>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</si>
  <si>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</si>
  <si>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</si>
  <si>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</si>
  <si>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</si>
  <si>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</si>
  <si>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</si>
  <si>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</si>
  <si>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</si>
  <si>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</si>
  <si>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</si>
  <si>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</si>
  <si>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</si>
  <si>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</si>
  <si>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</si>
  <si>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</si>
  <si>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</si>
  <si>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</si>
  <si>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</si>
  <si>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</si>
  <si>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</si>
  <si>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</si>
  <si>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</si>
  <si>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</si>
  <si>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</si>
  <si>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</si>
  <si>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</si>
  <si>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</si>
  <si>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</si>
  <si>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</si>
  <si>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</si>
  <si>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</si>
  <si>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</si>
  <si>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</si>
  <si>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</si>
  <si>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</si>
  <si>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</si>
  <si>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</si>
  <si>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</si>
  <si>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</si>
  <si>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</si>
  <si>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</si>
  <si>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</si>
  <si>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</si>
  <si>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</si>
  <si>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</si>
  <si>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</si>
  <si>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</si>
  <si>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</si>
  <si>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</si>
  <si>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</si>
  <si>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</si>
  <si>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</si>
  <si>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</si>
  <si>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</si>
  <si>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</si>
  <si>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</si>
  <si>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</si>
  <si>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</si>
  <si>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</si>
  <si>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</si>
  <si>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</si>
  <si>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</si>
  <si>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</si>
  <si>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</si>
  <si>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</si>
  <si>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</si>
  <si>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</si>
  <si>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</si>
  <si>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</si>
  <si>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</si>
  <si>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</si>
  <si>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</si>
  <si>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</si>
  <si>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</si>
  <si>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</si>
  <si>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</si>
  <si>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</si>
  <si>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</si>
  <si>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</si>
  <si>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</si>
  <si>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</si>
  <si>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</si>
  <si>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</si>
  <si>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</si>
  <si>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</si>
  <si>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</si>
  <si>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</si>
  <si>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</si>
  <si>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</si>
  <si>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</si>
  <si>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</si>
  <si>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</si>
  <si>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</si>
  <si>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</si>
  <si>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</si>
  <si>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</si>
  <si>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</si>
  <si>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</si>
  <si>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</si>
  <si>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</si>
  <si>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</si>
  <si>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</si>
  <si>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</si>
  <si>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</si>
  <si>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</si>
  <si>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</si>
  <si>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</si>
  <si>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</si>
  <si>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</si>
  <si>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</si>
  <si>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</si>
  <si>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</si>
  <si>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</si>
  <si>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</si>
  <si>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</si>
  <si>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</si>
  <si>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</si>
  <si>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</si>
  <si>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</si>
  <si>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</si>
  <si>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</si>
  <si>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</si>
  <si>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</si>
  <si>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</si>
  <si>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</si>
  <si>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</si>
  <si>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</si>
  <si>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</si>
  <si>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</si>
  <si>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</si>
  <si>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</si>
  <si>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</si>
  <si>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</si>
  <si>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</si>
  <si>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</si>
  <si>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</si>
  <si>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</si>
  <si>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</si>
  <si>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</si>
  <si>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</si>
  <si>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</si>
  <si>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</si>
  <si>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</si>
  <si>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</si>
  <si>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</si>
  <si>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</si>
  <si>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</si>
  <si>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</si>
  <si>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</si>
  <si>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</si>
  <si>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</si>
  <si>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</si>
  <si>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</si>
  <si>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</si>
  <si>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</si>
  <si>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</si>
  <si>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</si>
  <si>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</si>
  <si>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</si>
  <si>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</si>
  <si>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</si>
  <si>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</si>
  <si>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</si>
  <si>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</si>
  <si>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</si>
  <si>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</si>
  <si>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</si>
  <si>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</si>
  <si>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</si>
  <si>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</si>
  <si>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</si>
  <si>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</si>
  <si>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</si>
  <si>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</si>
  <si>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</si>
  <si>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</si>
  <si>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</si>
  <si>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</si>
  <si>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</si>
  <si>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</si>
  <si>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</si>
  <si>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</si>
  <si>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</si>
  <si>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</si>
  <si>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</si>
  <si>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</si>
  <si>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</si>
  <si>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</si>
  <si>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</si>
  <si>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</si>
  <si>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</si>
  <si>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</si>
  <si>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</si>
  <si>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</si>
  <si>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</si>
  <si>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</si>
  <si>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</si>
  <si>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</si>
  <si>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</si>
  <si>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</si>
  <si>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</si>
  <si>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</si>
  <si>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</si>
  <si>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</si>
  <si>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</si>
  <si>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</si>
  <si>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</si>
  <si>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</si>
  <si>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</si>
  <si>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</si>
  <si>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</si>
  <si>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</si>
  <si>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</si>
  <si>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</si>
  <si>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</si>
  <si>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</si>
  <si>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</si>
  <si>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</si>
  <si>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</si>
  <si>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</si>
  <si>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</si>
  <si>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</si>
  <si>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</si>
  <si>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</si>
  <si>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</si>
  <si>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</si>
  <si>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</si>
  <si>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</si>
  <si>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</si>
  <si>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</si>
  <si>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</si>
  <si>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</si>
  <si>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</si>
  <si>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</si>
  <si>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</si>
  <si>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</si>
  <si>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</si>
  <si>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</si>
  <si>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</si>
  <si>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</si>
  <si>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</si>
  <si>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</si>
  <si>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</si>
  <si>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</si>
  <si>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</si>
  <si>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</si>
  <si>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</si>
  <si>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</si>
  <si>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</si>
  <si>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</si>
  <si>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</si>
  <si>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</si>
  <si>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</si>
  <si>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</si>
  <si>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</si>
  <si>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</si>
  <si>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</si>
  <si>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</si>
  <si>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</si>
  <si>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</si>
  <si>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</si>
  <si>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</si>
  <si>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</si>
  <si>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</si>
  <si>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</si>
  <si>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</si>
  <si>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</si>
  <si>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</si>
  <si>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</si>
  <si>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</si>
  <si>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</si>
  <si>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</si>
  <si>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</si>
  <si>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</si>
  <si>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</si>
  <si>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</si>
  <si>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</si>
  <si>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</si>
  <si>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</si>
  <si>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</si>
  <si>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</si>
  <si>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</si>
  <si>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</si>
  <si>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</si>
  <si>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</si>
  <si>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</si>
  <si>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</si>
  <si>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</si>
  <si>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</si>
  <si>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</si>
  <si>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</si>
  <si>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</si>
  <si>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</si>
  <si>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</si>
  <si>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</si>
  <si>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</si>
  <si>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</si>
  <si>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</si>
  <si>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</si>
  <si>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</si>
  <si>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</si>
  <si>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</si>
  <si>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</si>
  <si>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</si>
  <si>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</si>
  <si>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</si>
  <si>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</si>
  <si>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</si>
  <si>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</si>
  <si>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</si>
  <si>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</si>
  <si>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</si>
  <si>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</si>
  <si>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</si>
  <si>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</si>
  <si>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</si>
  <si>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</si>
  <si>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</si>
  <si>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</si>
  <si>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</si>
  <si>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</si>
  <si>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</si>
  <si>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</si>
  <si>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</si>
  <si>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</si>
  <si>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</si>
  <si>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</si>
  <si>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</si>
  <si>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</si>
  <si>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</si>
  <si>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</si>
  <si>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</si>
  <si>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</si>
  <si>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</si>
  <si>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</si>
  <si>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</si>
  <si>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</si>
  <si>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</si>
  <si>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</si>
  <si>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</si>
  <si>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</si>
  <si>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</si>
  <si>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</si>
  <si>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</si>
  <si>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</si>
  <si>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</si>
  <si>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</si>
  <si>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</si>
  <si>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</si>
  <si>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</si>
  <si>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</si>
  <si>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</si>
  <si>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</si>
  <si>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</si>
  <si>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</si>
  <si>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</si>
  <si>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</si>
  <si>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</si>
  <si>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</si>
  <si>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</si>
  <si>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</si>
  <si>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</si>
  <si>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</si>
  <si>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</si>
  <si>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</si>
  <si>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</si>
  <si>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</si>
  <si>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</si>
  <si>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</si>
  <si>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</si>
  <si>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</si>
  <si>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</si>
  <si>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</si>
  <si>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</si>
  <si>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</si>
  <si>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</si>
  <si>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</si>
  <si>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</si>
  <si>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</si>
  <si>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</si>
  <si>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</si>
  <si>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</si>
  <si>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</si>
  <si>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</si>
  <si>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</si>
  <si>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</si>
  <si>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</si>
  <si>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</si>
  <si>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</si>
  <si>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</si>
  <si>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</si>
  <si>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</si>
  <si>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</si>
  <si>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</si>
  <si>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</si>
  <si>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</si>
  <si>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</si>
  <si>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</si>
  <si>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</si>
  <si>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</si>
  <si>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</si>
  <si>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</si>
  <si>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</si>
  <si>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</si>
  <si>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</si>
  <si>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</si>
  <si>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</si>
  <si>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</si>
  <si>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</si>
  <si>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</si>
  <si>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</si>
  <si>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</si>
  <si>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</si>
  <si>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</si>
  <si>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</si>
  <si>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</si>
  <si>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</si>
  <si>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</si>
  <si>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</si>
  <si>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</si>
  <si>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</si>
  <si>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</si>
  <si>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</si>
  <si>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</si>
  <si>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</si>
  <si>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</si>
  <si>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</si>
  <si>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</si>
  <si>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</si>
  <si>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</si>
  <si>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</si>
  <si>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</si>
  <si>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</si>
  <si>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</si>
  <si>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</si>
  <si>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</si>
  <si>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</si>
  <si>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</si>
  <si>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</si>
  <si>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</si>
  <si>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</si>
  <si>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</si>
  <si>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</si>
  <si>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</si>
  <si>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</si>
  <si>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</si>
  <si>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</si>
  <si>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</si>
  <si>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</si>
  <si>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</si>
  <si>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</si>
  <si>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</si>
  <si>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</si>
  <si>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</si>
  <si>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</si>
  <si>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</si>
  <si>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</si>
  <si>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</si>
  <si>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</si>
  <si>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</si>
  <si>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</si>
  <si>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</si>
  <si>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</si>
  <si>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</si>
  <si>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</si>
  <si>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</si>
  <si>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</si>
  <si>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</si>
  <si>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</si>
  <si>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</si>
  <si>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</si>
  <si>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</si>
  <si>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</si>
  <si>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</si>
  <si>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</si>
  <si>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</si>
  <si>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</si>
  <si>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</si>
  <si>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</si>
  <si>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</si>
  <si>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</si>
  <si>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</si>
  <si>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</si>
  <si>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</si>
  <si>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</si>
  <si>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</si>
  <si>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</si>
  <si>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</si>
  <si>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</si>
  <si>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</si>
  <si>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</si>
  <si>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</si>
  <si>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</si>
  <si>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</si>
  <si>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</si>
  <si>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</si>
  <si>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</si>
  <si>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</si>
  <si>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</si>
  <si>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</si>
  <si>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</si>
  <si>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</si>
  <si>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</si>
  <si>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</si>
  <si>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</si>
  <si>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</si>
  <si>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</si>
  <si>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</si>
  <si>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</si>
  <si>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</si>
  <si>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</si>
  <si>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</si>
  <si>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</si>
  <si>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</si>
  <si>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</si>
  <si>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</si>
  <si>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</si>
  <si>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</si>
  <si>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</si>
  <si>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</si>
  <si>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</si>
  <si>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</si>
  <si>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</si>
  <si>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</si>
  <si>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</si>
  <si>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</si>
  <si>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</si>
  <si>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</si>
  <si>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</si>
  <si>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</si>
  <si>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</si>
  <si>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</si>
  <si>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</si>
  <si>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</si>
  <si>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</si>
  <si>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</si>
  <si>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</si>
  <si>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</si>
  <si>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</si>
  <si>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</si>
  <si>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</si>
  <si>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</si>
  <si>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</si>
  <si>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</si>
  <si>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</si>
  <si>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</si>
  <si>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</si>
  <si>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</si>
  <si>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</si>
  <si>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</si>
  <si>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</si>
  <si>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</si>
  <si>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</si>
  <si>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</si>
  <si>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</si>
  <si>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</si>
  <si>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</si>
  <si>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</si>
  <si>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</si>
  <si>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</si>
  <si>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</si>
  <si>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</si>
  <si>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</si>
  <si>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</si>
  <si>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</si>
  <si>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</si>
  <si>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</si>
  <si>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</si>
  <si>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</si>
  <si>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</si>
  <si>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</si>
  <si>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</si>
  <si>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</si>
  <si>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</si>
  <si>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</si>
  <si>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</si>
  <si>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</si>
  <si>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</si>
  <si>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</si>
  <si>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</si>
  <si>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</si>
  <si>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</si>
  <si>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</si>
  <si>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</si>
  <si>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</si>
  <si>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</si>
  <si>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</si>
  <si>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</si>
  <si>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</si>
  <si>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</si>
  <si>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</si>
  <si>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</si>
  <si>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</si>
  <si>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</si>
  <si>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</si>
  <si>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</si>
  <si>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</si>
  <si>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</si>
  <si>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</si>
  <si>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</si>
  <si>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</si>
  <si>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</si>
  <si>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</si>
  <si>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</si>
  <si>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</si>
  <si>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</si>
  <si>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</si>
  <si>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</si>
  <si>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</si>
  <si>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</si>
  <si>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</si>
  <si>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</si>
  <si>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</si>
  <si>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</si>
  <si>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</si>
  <si>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</si>
  <si>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</si>
  <si>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</si>
  <si>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</si>
  <si>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</si>
  <si>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</si>
  <si>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</si>
  <si>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</si>
  <si>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</si>
  <si>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</si>
  <si>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</si>
  <si>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</si>
  <si>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</si>
  <si>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</si>
  <si>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</si>
  <si>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</si>
  <si>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</si>
  <si>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</si>
  <si>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</si>
  <si>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</si>
  <si>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</si>
  <si>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</si>
  <si>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</si>
  <si>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</si>
  <si>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</si>
  <si>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</si>
  <si>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</si>
  <si>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</si>
  <si>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</si>
  <si>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</si>
  <si>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</si>
  <si>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</si>
  <si>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</si>
  <si>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</si>
  <si>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</si>
  <si>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</si>
  <si>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</si>
  <si>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</si>
  <si>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</si>
  <si>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</si>
  <si>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</si>
  <si>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</si>
  <si>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</si>
  <si>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</si>
  <si>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</si>
  <si>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</si>
  <si>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</si>
  <si>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</si>
  <si>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</si>
  <si>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</si>
  <si>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</si>
  <si>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</si>
  <si>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</si>
  <si>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</si>
  <si>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</si>
  <si>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</si>
  <si>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</si>
  <si>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</si>
  <si>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</si>
  <si>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</si>
  <si>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</si>
  <si>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</si>
  <si>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</si>
  <si>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</si>
  <si>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</si>
  <si>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</si>
  <si>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</si>
  <si>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</si>
  <si>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</si>
  <si>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</si>
  <si>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</si>
  <si>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</si>
  <si>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</si>
  <si>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</si>
  <si>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</si>
  <si>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</si>
  <si>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</si>
  <si>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</si>
  <si>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</si>
  <si>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</si>
  <si>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</si>
  <si>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</si>
  <si>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</si>
  <si>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</si>
  <si>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</si>
  <si>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</si>
  <si>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</si>
  <si>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</si>
  <si>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</si>
  <si>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</si>
  <si>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</si>
  <si>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</si>
  <si>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</si>
  <si>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</si>
  <si>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</si>
  <si>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</si>
  <si>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</si>
  <si>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</si>
  <si>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</si>
  <si>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</si>
  <si>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</si>
  <si>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</si>
  <si>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</si>
  <si>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</si>
  <si>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</si>
  <si>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</si>
  <si>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</si>
  <si>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</si>
  <si>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</si>
  <si>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</si>
  <si>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</si>
  <si>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</si>
  <si>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</si>
  <si>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</si>
  <si>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</si>
  <si>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</si>
  <si>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</si>
  <si>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</si>
  <si>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</si>
  <si>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</si>
  <si>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</si>
  <si>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</si>
  <si>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</si>
  <si>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</si>
  <si>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</si>
  <si>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</si>
  <si>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</si>
  <si>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</si>
  <si>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</si>
  <si>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</si>
  <si>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</si>
  <si>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</si>
  <si>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</si>
  <si>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</si>
  <si>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</si>
  <si>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</si>
  <si>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</si>
  <si>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</si>
  <si>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</si>
  <si>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</si>
  <si>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</si>
  <si>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</si>
  <si>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</si>
  <si>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</si>
  <si>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</si>
  <si>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</si>
  <si>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</si>
  <si>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</si>
  <si>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</si>
  <si>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</si>
  <si>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</si>
  <si>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</si>
  <si>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</si>
  <si>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</si>
  <si>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</si>
  <si>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</si>
  <si>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</si>
  <si>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</si>
  <si>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</si>
  <si>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</si>
  <si>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</si>
  <si>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</si>
  <si>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</si>
  <si>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</si>
  <si>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</si>
  <si>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</si>
  <si>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</si>
  <si>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</si>
  <si>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</si>
  <si>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</si>
  <si>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</si>
  <si>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</si>
  <si>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</si>
  <si>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</si>
  <si>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</si>
  <si>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</si>
  <si>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</si>
  <si>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</si>
  <si>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</si>
  <si>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</si>
  <si>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</si>
  <si>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</si>
  <si>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</si>
  <si>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</si>
  <si>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</si>
  <si>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</si>
  <si>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</si>
  <si>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</si>
  <si>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</si>
  <si>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</si>
  <si>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</si>
  <si>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</si>
  <si>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</si>
  <si>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</si>
  <si>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</si>
  <si>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</si>
  <si>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</si>
  <si>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</si>
  <si>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</si>
  <si>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</si>
  <si>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</si>
  <si>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</si>
  <si>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</si>
  <si>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</si>
  <si>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</si>
  <si>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</si>
  <si>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</si>
  <si>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</si>
  <si>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</si>
  <si>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</si>
  <si>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</si>
  <si>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</si>
  <si>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</si>
  <si>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</si>
  <si>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</si>
  <si>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</si>
  <si>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</si>
  <si>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</si>
  <si>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</si>
  <si>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</si>
  <si>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</si>
  <si>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</si>
  <si>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</si>
  <si>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</si>
  <si>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</si>
  <si>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</si>
  <si>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</si>
  <si>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</si>
  <si>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</si>
  <si>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</si>
  <si>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</si>
  <si>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</si>
  <si>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</si>
  <si>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</si>
  <si>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</si>
  <si>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</si>
  <si>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</si>
  <si>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</si>
  <si>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</si>
  <si>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</si>
  <si>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</si>
  <si>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</si>
  <si>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</si>
  <si>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</si>
  <si>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</si>
  <si>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</si>
  <si>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</si>
  <si>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</si>
  <si>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</si>
  <si>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</si>
  <si>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</si>
  <si>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</si>
  <si>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</si>
  <si>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</si>
  <si>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</si>
  <si>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</si>
  <si>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</si>
  <si>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</si>
  <si>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</si>
  <si>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</si>
  <si>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</si>
  <si>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</si>
  <si>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</si>
  <si>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</si>
  <si>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</si>
  <si>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</si>
  <si>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</si>
  <si>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</si>
  <si>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</si>
  <si>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</si>
  <si>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</si>
  <si>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</si>
  <si>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</si>
  <si>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</si>
  <si>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</si>
  <si>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</si>
  <si>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</si>
  <si>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</si>
  <si>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</si>
  <si>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</si>
  <si>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</si>
  <si>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</si>
  <si>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</si>
  <si>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</si>
  <si>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</si>
  <si>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</si>
  <si>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</si>
  <si>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</si>
  <si>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</si>
  <si>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</si>
  <si>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</si>
  <si>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</si>
  <si>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</si>
  <si>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</si>
  <si>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</si>
  <si>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</si>
  <si>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</si>
  <si>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</si>
  <si>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</si>
  <si>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</si>
  <si>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</si>
  <si>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</si>
  <si>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</si>
  <si>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</si>
  <si>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</si>
  <si>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</si>
  <si>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</si>
  <si>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</si>
  <si>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</si>
  <si>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</si>
  <si>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</si>
  <si>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</si>
  <si>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</si>
  <si>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</si>
  <si>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</si>
  <si>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</si>
  <si>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</si>
  <si>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</si>
  <si>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</si>
  <si>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</si>
  <si>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</si>
  <si>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</si>
  <si>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</si>
  <si>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</si>
  <si>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</si>
  <si>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</si>
  <si>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</si>
  <si>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</si>
  <si>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</si>
  <si>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</si>
  <si>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</si>
  <si>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</si>
  <si>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</si>
  <si>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</si>
  <si>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</si>
  <si>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</si>
  <si>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</si>
  <si>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</si>
  <si>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</si>
  <si>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</si>
  <si>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</si>
  <si>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</si>
  <si>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</si>
  <si>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</si>
  <si>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</si>
  <si>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</si>
  <si>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</si>
  <si>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</si>
  <si>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</si>
  <si>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</si>
  <si>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</si>
  <si>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</si>
  <si>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</si>
  <si>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</si>
  <si>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</si>
  <si>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</si>
  <si>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</si>
  <si>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</si>
  <si>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</si>
  <si>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</si>
  <si>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</si>
  <si>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</si>
  <si>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</si>
  <si>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</si>
  <si>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</si>
  <si>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</si>
  <si>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</si>
  <si>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</si>
  <si>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</si>
  <si>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</si>
  <si>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</si>
  <si>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</si>
  <si>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</si>
  <si>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</si>
  <si>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</si>
  <si>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</si>
  <si>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</si>
  <si>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</si>
  <si>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</si>
  <si>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</si>
  <si>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</si>
  <si>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</si>
  <si>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</si>
  <si>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</si>
  <si>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</si>
  <si>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</si>
  <si>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</si>
  <si>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</si>
  <si>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</si>
  <si>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</si>
  <si>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</si>
  <si>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</si>
  <si>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</si>
  <si>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</si>
  <si>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</si>
  <si>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</si>
  <si>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</si>
  <si>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</si>
  <si>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</si>
  <si>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</si>
  <si>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</si>
  <si>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</si>
  <si>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</si>
  <si>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</si>
  <si>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</si>
  <si>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</si>
  <si>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</si>
  <si>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</si>
  <si>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</si>
  <si>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</si>
  <si>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</si>
  <si>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</si>
  <si>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</si>
  <si>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</si>
  <si>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</si>
  <si>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</si>
  <si>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</si>
  <si>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</si>
  <si>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</si>
  <si>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</si>
  <si>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</si>
  <si>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</si>
  <si>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</si>
  <si>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</si>
  <si>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</si>
  <si>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</si>
  <si>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</si>
  <si>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</si>
  <si>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</si>
  <si>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</si>
  <si>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</si>
  <si>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</si>
  <si>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</si>
  <si>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</si>
  <si>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</si>
  <si>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</si>
  <si>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</si>
  <si>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</si>
  <si>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</si>
  <si>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</si>
  <si>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</si>
  <si>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</si>
  <si>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</si>
  <si>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</si>
  <si>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</si>
  <si>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</si>
  <si>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</si>
  <si>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</si>
  <si>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</si>
  <si>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</si>
  <si>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</si>
  <si>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</si>
  <si>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</si>
  <si>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</si>
  <si>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</si>
  <si>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</si>
  <si>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</si>
  <si>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</si>
  <si>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</si>
  <si>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</si>
  <si>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</si>
  <si>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</si>
  <si>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</si>
  <si>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</si>
  <si>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</si>
  <si>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</si>
  <si>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</si>
  <si>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</si>
  <si>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</si>
  <si>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</si>
  <si>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</si>
  <si>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</si>
  <si>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</si>
  <si>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</si>
  <si>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</si>
  <si>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</si>
  <si>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</si>
  <si>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</si>
  <si>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</si>
  <si>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</si>
  <si>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</si>
  <si>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</si>
  <si>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</si>
  <si>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</si>
  <si>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</si>
  <si>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</si>
  <si>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</si>
  <si>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</si>
  <si>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</si>
  <si>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</si>
  <si>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</si>
  <si>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</si>
  <si>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</si>
  <si>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</si>
  <si>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</si>
  <si>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</si>
  <si>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</si>
  <si>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</si>
  <si>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</si>
  <si>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</si>
  <si>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</si>
  <si>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</si>
  <si>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</si>
  <si>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</si>
  <si>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</si>
  <si>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</si>
  <si>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</si>
  <si>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</si>
  <si>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</si>
  <si>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</si>
  <si>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</si>
  <si>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</si>
  <si>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</si>
  <si>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</si>
  <si>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</si>
  <si>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</si>
  <si>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</si>
  <si>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</si>
  <si>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</si>
  <si>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</si>
  <si>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</si>
  <si>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</si>
  <si>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</si>
  <si>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</si>
  <si>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</si>
  <si>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</si>
  <si>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</si>
  <si>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</si>
  <si>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</si>
  <si>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</si>
  <si>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</si>
  <si>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</si>
  <si>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</si>
  <si>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</si>
  <si>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</si>
  <si>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</si>
  <si>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</si>
  <si>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</si>
  <si>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</si>
  <si>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</si>
  <si>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</si>
  <si>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</si>
  <si>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</si>
  <si>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</si>
  <si>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</si>
  <si>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</si>
  <si>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</si>
  <si>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</si>
  <si>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</si>
  <si>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</si>
  <si>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</si>
  <si>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</si>
  <si>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</si>
  <si>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</si>
  <si>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</si>
  <si>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</si>
  <si>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</si>
  <si>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</si>
  <si>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</si>
  <si>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</si>
  <si>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</si>
  <si>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</si>
  <si>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</si>
  <si>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</si>
  <si>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</si>
  <si>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</si>
  <si>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</si>
  <si>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</si>
  <si>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</si>
  <si>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</si>
  <si>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</si>
  <si>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</si>
  <si>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</si>
  <si>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</si>
  <si>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</si>
  <si>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</si>
  <si>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</si>
  <si>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</si>
  <si>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</si>
  <si>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</si>
  <si>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</si>
  <si>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</si>
  <si>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</si>
  <si>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</si>
  <si>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</si>
  <si>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</si>
  <si>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</si>
  <si>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</si>
  <si>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</si>
  <si>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</si>
  <si>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</si>
  <si>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</si>
  <si>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</si>
  <si>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</si>
  <si>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</si>
  <si>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</si>
  <si>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</si>
  <si>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</si>
  <si>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</si>
  <si>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</si>
  <si>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</si>
  <si>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</si>
  <si>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</si>
  <si>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</si>
  <si>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</si>
  <si>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</si>
  <si>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</si>
  <si>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</si>
  <si>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</si>
  <si>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</si>
  <si>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</si>
  <si>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</si>
  <si>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</si>
  <si>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</si>
  <si>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</si>
  <si>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</si>
  <si>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</si>
  <si>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</si>
  <si>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</si>
  <si>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</si>
  <si>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</si>
  <si>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</si>
  <si>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</si>
  <si>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</si>
  <si>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</si>
  <si>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</si>
  <si>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</si>
  <si>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</si>
  <si>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</si>
  <si>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</si>
  <si>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</si>
  <si>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</si>
  <si>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</si>
  <si>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</si>
  <si>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</si>
  <si>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</si>
  <si>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</si>
  <si>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</si>
  <si>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</si>
  <si>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</si>
  <si>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</si>
  <si>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</si>
  <si>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</si>
  <si>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</si>
  <si>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</si>
  <si>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</si>
  <si>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</si>
  <si>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</si>
  <si>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</si>
  <si>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</si>
  <si>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</si>
  <si>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</si>
  <si>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</si>
  <si>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</si>
  <si>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</si>
  <si>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</si>
  <si>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</si>
  <si>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</si>
  <si>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</si>
  <si>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</si>
  <si>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</si>
  <si>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</si>
  <si>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</si>
  <si>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</si>
  <si>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</si>
  <si>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</si>
  <si>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</si>
  <si>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</si>
  <si>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</si>
  <si>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</si>
  <si>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</si>
  <si>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</si>
  <si>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</si>
  <si>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</si>
  <si>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</si>
  <si>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</si>
  <si>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</si>
  <si>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</si>
  <si>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</si>
  <si>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</si>
  <si>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</si>
  <si>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</si>
  <si>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</si>
  <si>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</si>
  <si>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</si>
  <si>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</si>
  <si>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</si>
  <si>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</si>
  <si>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</si>
  <si>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</si>
  <si>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</si>
  <si>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</si>
  <si>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</si>
  <si>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</si>
  <si>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</si>
  <si>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</si>
  <si>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</si>
  <si>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</si>
  <si>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</si>
  <si>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</si>
  <si>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</si>
  <si>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</si>
  <si>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</si>
  <si>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</si>
  <si>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</si>
  <si>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</si>
  <si>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</si>
  <si>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</si>
  <si>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</si>
  <si>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</si>
  <si>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</si>
  <si>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</si>
  <si>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</si>
  <si>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</si>
  <si>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</si>
  <si>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</si>
  <si>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</si>
  <si>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</si>
  <si>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</si>
  <si>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</si>
  <si>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</si>
  <si>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</si>
  <si>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</si>
  <si>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</si>
  <si>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</si>
  <si>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</si>
  <si>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</si>
  <si>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</si>
  <si>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</si>
  <si>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</si>
  <si>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</si>
  <si>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</si>
  <si>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</si>
  <si>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</si>
  <si>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</si>
  <si>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</si>
  <si>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</si>
  <si>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</si>
  <si>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</si>
  <si>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</si>
  <si>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</si>
  <si>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</si>
  <si>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</si>
  <si>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</si>
  <si>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</si>
  <si>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</si>
  <si>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</si>
  <si>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</si>
  <si>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</si>
  <si>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</si>
  <si>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</si>
  <si>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</si>
  <si>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</si>
  <si>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</si>
  <si>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</si>
  <si>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</si>
  <si>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</si>
  <si>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</si>
  <si>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</si>
  <si>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</si>
  <si>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</si>
  <si>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</si>
  <si>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</si>
  <si>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</si>
  <si>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</si>
  <si>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</si>
  <si>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</si>
  <si>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</si>
  <si>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</si>
  <si>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</si>
  <si>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</si>
  <si>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</si>
  <si>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</si>
  <si>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</si>
  <si>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</si>
  <si>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</si>
  <si>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</si>
  <si>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</si>
  <si>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</si>
  <si>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</si>
  <si>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</si>
  <si>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</si>
  <si>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</si>
  <si>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</si>
  <si>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</si>
  <si>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</si>
  <si>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</si>
  <si>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</si>
  <si>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</si>
  <si>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</si>
  <si>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</si>
  <si>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</si>
  <si>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</si>
  <si>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</si>
  <si>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</si>
  <si>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</si>
  <si>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</si>
  <si>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</si>
  <si>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</si>
  <si>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</si>
  <si>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</si>
  <si>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</si>
  <si>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</si>
  <si>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</si>
  <si>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</si>
  <si>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</si>
  <si>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</si>
  <si>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</si>
  <si>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</si>
  <si>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</si>
  <si>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</si>
  <si>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</si>
  <si>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</si>
  <si>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</si>
  <si>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</si>
  <si>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</si>
  <si>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</si>
  <si>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</si>
  <si>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</si>
  <si>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</si>
  <si>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</si>
  <si>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</si>
  <si>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</si>
  <si>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</si>
  <si>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</si>
  <si>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</si>
  <si>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</si>
  <si>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</si>
  <si>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</si>
  <si>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</si>
  <si>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</si>
  <si>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</si>
  <si>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</si>
  <si>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</si>
  <si>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</si>
  <si>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</si>
  <si>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</si>
  <si>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</si>
  <si>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</si>
  <si>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</si>
  <si>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</si>
  <si>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</si>
  <si>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</si>
  <si>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</si>
  <si>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</si>
  <si>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</si>
  <si>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</si>
  <si>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</si>
  <si>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</si>
  <si>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</si>
  <si>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</si>
  <si>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</si>
  <si>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</si>
  <si>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</si>
  <si>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</si>
  <si>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</si>
  <si>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</si>
  <si>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</si>
  <si>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</si>
  <si>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</si>
  <si>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</si>
  <si>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</si>
  <si>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</si>
  <si>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</si>
  <si>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</si>
  <si>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</si>
  <si>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</si>
  <si>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</si>
  <si>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</si>
  <si>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</si>
  <si>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</si>
  <si>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</si>
  <si>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</si>
  <si>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</si>
  <si>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</si>
  <si>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</si>
  <si>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</si>
  <si>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</si>
  <si>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</si>
  <si>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</si>
  <si>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</si>
  <si>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</si>
  <si>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</si>
  <si>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</si>
  <si>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</si>
  <si>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</si>
  <si>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</si>
  <si>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</si>
  <si>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</si>
  <si>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</si>
  <si>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</si>
  <si>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</si>
  <si>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</si>
  <si>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</si>
  <si>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</si>
  <si>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</si>
  <si>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</si>
  <si>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</si>
  <si>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</si>
  <si>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</si>
  <si>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</si>
  <si>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</si>
  <si>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</si>
  <si>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</si>
  <si>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</si>
  <si>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</si>
  <si>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</si>
  <si>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</si>
  <si>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</si>
  <si>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</si>
  <si>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</si>
  <si>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</si>
  <si>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</si>
  <si>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</si>
  <si>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</si>
  <si>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</si>
  <si>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</si>
  <si>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</si>
  <si>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</si>
  <si>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</si>
  <si>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</si>
  <si>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</si>
  <si>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</si>
  <si>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</si>
  <si>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</si>
  <si>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</si>
  <si>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</si>
  <si>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</si>
  <si>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</si>
  <si>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</si>
  <si>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</si>
  <si>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</si>
  <si>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</si>
  <si>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</si>
  <si>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</si>
  <si>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</si>
  <si>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</si>
  <si>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</si>
  <si>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</si>
  <si>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</si>
  <si>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</si>
  <si>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</si>
  <si>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</si>
  <si>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</si>
  <si>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</si>
  <si>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</si>
  <si>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</si>
  <si>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</si>
  <si>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</si>
  <si>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</si>
  <si>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</si>
  <si>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</si>
  <si>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</si>
  <si>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</si>
  <si>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</si>
  <si>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</si>
  <si>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</si>
  <si>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</si>
  <si>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</si>
  <si>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</si>
  <si>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</si>
  <si>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</si>
  <si>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</si>
  <si>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</si>
  <si>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</si>
  <si>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</si>
  <si>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</si>
  <si>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</si>
  <si>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</si>
  <si>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</si>
  <si>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</si>
  <si>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</si>
  <si>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</si>
  <si>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</si>
  <si>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</si>
  <si>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</si>
  <si>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</si>
  <si>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</si>
  <si>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</si>
  <si>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</si>
  <si>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</si>
  <si>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</si>
  <si>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</si>
  <si>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</si>
  <si>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</si>
  <si>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</si>
  <si>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</si>
  <si>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</si>
  <si>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</si>
  <si>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</si>
  <si>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</si>
  <si>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</si>
  <si>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</si>
  <si>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</si>
  <si>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</si>
  <si>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</si>
  <si>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</si>
  <si>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</si>
  <si>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</si>
  <si>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</si>
  <si>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</si>
  <si>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</si>
  <si>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</si>
  <si>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</si>
  <si>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</si>
  <si>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</si>
  <si>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</si>
  <si>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</si>
  <si>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</si>
  <si>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</si>
  <si>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</si>
  <si>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</si>
  <si>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</si>
  <si>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</si>
  <si>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</si>
  <si>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</si>
  <si>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</si>
  <si>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</si>
  <si>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</si>
  <si>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</si>
  <si>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</si>
  <si>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</si>
  <si>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</si>
  <si>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</si>
  <si>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</si>
  <si>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</si>
  <si>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</si>
  <si>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</si>
  <si>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</si>
  <si>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</si>
  <si>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</si>
  <si>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</si>
  <si>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</si>
  <si>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</si>
  <si>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</si>
  <si>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</si>
  <si>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</si>
  <si>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</si>
  <si>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</si>
  <si>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</si>
  <si>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</si>
  <si>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</si>
  <si>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</si>
  <si>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</si>
  <si>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</si>
  <si>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</si>
  <si>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</si>
  <si>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</si>
  <si>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</si>
  <si>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</si>
  <si>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</si>
  <si>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</si>
  <si>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</si>
  <si>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</si>
  <si>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</si>
  <si>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</si>
  <si>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</si>
  <si>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</si>
  <si>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</si>
  <si>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</si>
  <si>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</si>
  <si>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</si>
  <si>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</si>
  <si>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</si>
  <si>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</si>
  <si>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</si>
  <si>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</si>
  <si>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</si>
  <si>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</si>
  <si>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</si>
  <si>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</si>
  <si>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</si>
  <si>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</si>
  <si>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</si>
  <si>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</si>
  <si>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</si>
  <si>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</si>
  <si>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</si>
  <si>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</si>
  <si>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</si>
  <si>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</si>
  <si>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</si>
  <si>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</si>
  <si>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</si>
  <si>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</si>
  <si>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</si>
  <si>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</si>
  <si>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</si>
  <si>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</si>
  <si>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</si>
  <si>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</si>
  <si>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</si>
  <si>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</si>
  <si>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</si>
  <si>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</si>
  <si>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</si>
  <si>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</si>
  <si>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</si>
  <si>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</si>
  <si>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</si>
  <si>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</si>
  <si>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</si>
  <si>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</si>
  <si>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</si>
  <si>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</si>
  <si>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</si>
  <si>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</si>
  <si>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</si>
  <si>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</si>
  <si>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</si>
  <si>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</si>
  <si>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</si>
  <si>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</si>
  <si>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</si>
  <si>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</si>
  <si>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</si>
  <si>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</si>
  <si>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</si>
  <si>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</si>
  <si>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</si>
  <si>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</si>
  <si>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</si>
  <si>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</si>
  <si>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</si>
  <si>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</si>
  <si>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</si>
  <si>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</si>
  <si>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</si>
  <si>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</si>
  <si>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</si>
  <si>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</si>
  <si>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</si>
  <si>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</si>
  <si>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</si>
  <si>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</si>
  <si>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</si>
  <si>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</si>
  <si>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</si>
  <si>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</si>
  <si>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</si>
  <si>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</si>
  <si>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</si>
  <si>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</si>
  <si>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</si>
  <si>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</si>
  <si>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</si>
  <si>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</si>
  <si>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</si>
  <si>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</si>
  <si>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</si>
  <si>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</si>
  <si>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</si>
  <si>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</si>
  <si>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</si>
  <si>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</si>
  <si>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</si>
  <si>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</si>
  <si>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</si>
  <si>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</si>
  <si>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</si>
  <si>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</si>
  <si>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</si>
  <si>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</si>
  <si>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</si>
  <si>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</si>
  <si>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</si>
  <si>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</si>
  <si>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</si>
  <si>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</si>
  <si>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</si>
  <si>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</si>
  <si>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</si>
  <si>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</si>
  <si>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</si>
  <si>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</si>
  <si>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</si>
  <si>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</si>
  <si>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</si>
  <si>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</si>
  <si>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</si>
  <si>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</si>
  <si>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</si>
  <si>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</si>
  <si>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</si>
  <si>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</si>
  <si>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</si>
  <si>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</si>
  <si>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</si>
  <si>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</si>
  <si>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</si>
  <si>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</si>
  <si>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</si>
  <si>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</si>
  <si>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</si>
  <si>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</si>
  <si>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</si>
  <si>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</si>
  <si>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</si>
  <si>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</si>
  <si>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</si>
  <si>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</si>
  <si>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</si>
  <si>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</si>
  <si>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</si>
  <si>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</si>
  <si>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</si>
  <si>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</si>
  <si>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</si>
  <si>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</si>
  <si>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</si>
  <si>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</si>
  <si>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</si>
  <si>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</si>
  <si>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</si>
  <si>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</si>
  <si>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</si>
  <si>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</si>
  <si>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</si>
  <si>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</si>
  <si>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</si>
  <si>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</si>
  <si>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</si>
  <si>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</si>
  <si>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</si>
  <si>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</si>
  <si>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</si>
  <si>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</si>
  <si>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</si>
  <si>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</si>
  <si>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</si>
  <si>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</si>
  <si>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</si>
  <si>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</si>
  <si>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</si>
  <si>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</si>
  <si>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</si>
  <si>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</si>
  <si>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</si>
  <si>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</si>
  <si>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</si>
  <si>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</si>
  <si>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</si>
  <si>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</si>
  <si>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</si>
  <si>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</si>
  <si>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</si>
  <si>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</si>
  <si>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</si>
  <si>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</si>
  <si>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</si>
  <si>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</si>
  <si>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</si>
  <si>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</si>
  <si>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</si>
  <si>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</si>
  <si>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</si>
  <si>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</si>
  <si>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</si>
  <si>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</si>
  <si>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</si>
  <si>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</si>
  <si>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</si>
  <si>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</si>
  <si>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</si>
  <si>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</si>
  <si>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</si>
  <si>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</si>
  <si>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</si>
  <si>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</si>
  <si>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</si>
  <si>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</si>
  <si>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</si>
  <si>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</si>
  <si>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</si>
  <si>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</si>
  <si>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</si>
  <si>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</si>
  <si>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</si>
  <si>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</si>
  <si>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</si>
  <si>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</si>
  <si>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</si>
  <si>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</si>
  <si>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</si>
  <si>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</si>
  <si>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</si>
  <si>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</si>
  <si>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</si>
  <si>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</si>
  <si>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</si>
  <si>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</si>
  <si>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</si>
  <si>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</si>
  <si>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</si>
  <si>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</si>
  <si>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</si>
  <si>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</si>
  <si>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</si>
  <si>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</si>
  <si>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</si>
  <si>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</si>
  <si>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</si>
  <si>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</si>
  <si>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</si>
  <si>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</si>
  <si>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</si>
  <si>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</si>
  <si>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</si>
  <si>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</si>
  <si>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</si>
  <si>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</si>
  <si>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</si>
  <si>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</si>
  <si>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</si>
  <si>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</si>
  <si>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</si>
  <si>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</si>
  <si>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</si>
  <si>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</si>
  <si>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</si>
  <si>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</si>
  <si>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</si>
  <si>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</si>
  <si>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</si>
  <si>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</si>
  <si>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</si>
  <si>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</si>
  <si>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</si>
  <si>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</si>
  <si>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</si>
  <si>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</si>
  <si>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</si>
  <si>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</si>
  <si>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</si>
  <si>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</si>
  <si>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</si>
  <si>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</si>
  <si>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</si>
  <si>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</si>
  <si>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</si>
  <si>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</si>
  <si>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</si>
  <si>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</si>
  <si>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</si>
  <si>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</si>
  <si>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</si>
  <si>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</si>
  <si>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</si>
  <si>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</si>
  <si>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</si>
  <si>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</si>
  <si>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</si>
  <si>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</si>
  <si>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</si>
  <si>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</si>
  <si>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</si>
  <si>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</si>
  <si>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</si>
  <si>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</si>
  <si>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</si>
  <si>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</si>
  <si>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</si>
  <si>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</si>
  <si>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</si>
  <si>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</si>
  <si>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</si>
  <si>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</si>
  <si>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</si>
  <si>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</si>
  <si>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</si>
  <si>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</si>
  <si>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</si>
  <si>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</si>
  <si>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</si>
  <si>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</si>
  <si>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</si>
  <si>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</si>
  <si>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</si>
  <si>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</si>
  <si>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</si>
  <si>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</si>
  <si>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</si>
  <si>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</si>
  <si>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</si>
  <si>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</si>
  <si>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</si>
  <si>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</si>
  <si>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</si>
  <si>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</si>
  <si>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</si>
  <si>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</si>
  <si>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</si>
  <si>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</si>
  <si>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</si>
  <si>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</si>
  <si>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</si>
  <si>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</si>
  <si>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</si>
  <si>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</si>
  <si>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</si>
  <si>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</si>
  <si>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</si>
  <si>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</si>
  <si>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</si>
  <si>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</si>
  <si>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</si>
  <si>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</si>
  <si>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</si>
  <si>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</si>
  <si>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</si>
  <si>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</si>
  <si>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</si>
  <si>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</si>
  <si>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</si>
  <si>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</si>
  <si>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</si>
  <si>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</si>
  <si>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</si>
  <si>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</si>
  <si>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</si>
  <si>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</si>
  <si>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</si>
  <si>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</si>
  <si>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</si>
  <si>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</si>
  <si>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</si>
  <si>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</si>
  <si>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</si>
  <si>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</si>
  <si>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</si>
  <si>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</si>
  <si>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</si>
  <si>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</si>
  <si>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</si>
  <si>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</si>
  <si>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</si>
  <si>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</si>
  <si>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</si>
  <si>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</si>
  <si>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</si>
  <si>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</si>
  <si>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</si>
  <si>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</si>
  <si>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</si>
  <si>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</si>
  <si>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</si>
  <si>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</si>
  <si>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</si>
  <si>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</si>
  <si>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</si>
  <si>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</si>
  <si>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</si>
  <si>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</si>
  <si>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</si>
  <si>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</si>
  <si>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</si>
  <si>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</si>
  <si>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</si>
  <si>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</si>
  <si>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</si>
  <si>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</si>
  <si>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</si>
  <si>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</si>
  <si>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</si>
  <si>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</si>
  <si>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</si>
  <si>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</si>
  <si>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</si>
  <si>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</si>
  <si>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</si>
  <si>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</si>
  <si>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</si>
  <si>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</si>
  <si>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</si>
  <si>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</si>
  <si>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</si>
  <si>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</si>
  <si>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</si>
  <si>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</si>
  <si>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</si>
  <si>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</si>
  <si>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</si>
  <si>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</si>
  <si>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</si>
  <si>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</si>
  <si>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</si>
  <si>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</si>
  <si>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</si>
  <si>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</si>
  <si>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</si>
  <si>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</si>
  <si>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</si>
  <si>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</si>
  <si>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</si>
  <si>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</si>
  <si>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</si>
  <si>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</si>
  <si>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</si>
  <si>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</si>
  <si>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</si>
  <si>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</si>
  <si>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</si>
  <si>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</si>
  <si>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</si>
  <si>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</si>
  <si>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</si>
  <si>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</si>
  <si>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</si>
  <si>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</si>
  <si>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</si>
  <si>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</si>
  <si>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</si>
  <si>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</si>
  <si>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</si>
  <si>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</si>
  <si>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</si>
  <si>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</si>
  <si>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</si>
  <si>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</si>
  <si>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</si>
  <si>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</si>
  <si>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</si>
  <si>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</si>
  <si>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</si>
  <si>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</si>
  <si>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</si>
  <si>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</si>
  <si>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</si>
  <si>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</si>
  <si>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</si>
  <si>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</si>
  <si>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</si>
  <si>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</si>
  <si>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</si>
  <si>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</si>
  <si>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</si>
  <si>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</si>
  <si>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</si>
  <si>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</si>
  <si>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</si>
  <si>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</si>
  <si>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</si>
  <si>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</si>
  <si>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</si>
  <si>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</si>
  <si>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</si>
  <si>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</si>
  <si>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</si>
  <si>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</si>
  <si>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</si>
  <si>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</si>
  <si>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</si>
  <si>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</si>
  <si>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</si>
  <si>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</si>
  <si>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</si>
  <si>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</si>
  <si>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</si>
  <si>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</si>
  <si>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</si>
  <si>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</si>
  <si>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</si>
  <si>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</si>
  <si>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</si>
  <si>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</si>
  <si>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</si>
  <si>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</si>
  <si>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</si>
  <si>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</si>
  <si>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</si>
  <si>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</si>
  <si>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</si>
  <si>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</si>
  <si>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</si>
  <si>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</si>
  <si>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</si>
  <si>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</si>
  <si>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</si>
  <si>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</si>
  <si>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</si>
  <si>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</si>
  <si>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</si>
  <si>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</si>
  <si>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</si>
  <si>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</si>
  <si>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</si>
  <si>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</si>
  <si>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</si>
  <si>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</si>
  <si>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</si>
  <si>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</si>
  <si>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</si>
  <si>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</si>
  <si>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</si>
  <si>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</si>
  <si>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</si>
  <si>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</si>
  <si>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</si>
  <si>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</si>
  <si>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</si>
  <si>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</si>
  <si>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</si>
  <si>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</si>
  <si>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</si>
  <si>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</si>
  <si>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</si>
  <si>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</si>
  <si>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</si>
  <si>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</si>
  <si>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</si>
  <si>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</si>
  <si>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</si>
  <si>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</si>
  <si>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</si>
  <si>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</si>
  <si>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</si>
  <si>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</si>
  <si>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</si>
  <si>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</si>
  <si>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</si>
  <si>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</si>
  <si>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</si>
  <si>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</si>
  <si>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</si>
  <si>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</si>
  <si>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</si>
  <si>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</si>
  <si>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</si>
  <si>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</si>
  <si>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</si>
  <si>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</si>
  <si>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</si>
  <si>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</si>
  <si>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</si>
  <si>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</si>
  <si>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</si>
  <si>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</si>
  <si>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</si>
  <si>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</si>
  <si>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</si>
  <si>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</si>
  <si>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</si>
  <si>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</si>
  <si>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</si>
  <si>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</si>
  <si>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</si>
  <si>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</si>
  <si>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</si>
  <si>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</si>
  <si>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</si>
  <si>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</si>
  <si>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</si>
  <si>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</si>
  <si>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</si>
  <si>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</si>
  <si>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</si>
  <si>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</si>
  <si>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</si>
  <si>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</si>
  <si>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</si>
  <si>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</si>
  <si>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</si>
  <si>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</si>
  <si>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</si>
  <si>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</si>
  <si>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</si>
  <si>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</si>
  <si>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</si>
  <si>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</si>
  <si>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</si>
  <si>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</si>
  <si>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</si>
  <si>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</si>
  <si>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</si>
  <si>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</si>
  <si>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</si>
  <si>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</si>
  <si>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</si>
  <si>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</si>
  <si>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</si>
  <si>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</si>
  <si>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</si>
  <si>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</si>
  <si>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</si>
  <si>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</si>
  <si>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</si>
  <si>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</si>
  <si>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</si>
  <si>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</si>
  <si>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</si>
  <si>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</si>
  <si>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</si>
  <si>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</si>
  <si>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</si>
  <si>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</si>
  <si>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</si>
  <si>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</si>
  <si>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</si>
  <si>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</si>
  <si>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</si>
  <si>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</si>
  <si>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</si>
  <si>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</si>
  <si>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</si>
  <si>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</si>
  <si>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</si>
  <si>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</si>
  <si>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</si>
  <si>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</si>
  <si>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</si>
  <si>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</si>
  <si>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</si>
  <si>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</si>
  <si>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</si>
  <si>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</si>
  <si>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</si>
  <si>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</si>
  <si>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</si>
  <si>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</si>
  <si>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</si>
  <si>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</si>
  <si>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</si>
  <si>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</si>
  <si>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</si>
  <si>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</si>
  <si>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</si>
  <si>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</si>
  <si>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</si>
  <si>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</si>
  <si>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</si>
  <si>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</si>
  <si>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</si>
  <si>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</si>
  <si>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</si>
  <si>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</si>
  <si>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</si>
  <si>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</si>
  <si>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</si>
  <si>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</si>
  <si>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</si>
  <si>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</si>
  <si>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</si>
  <si>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</si>
  <si>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</si>
  <si>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</si>
  <si>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</si>
  <si>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</si>
  <si>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</si>
  <si>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</si>
  <si>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</si>
  <si>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</si>
  <si>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</si>
  <si>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</si>
  <si>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</si>
  <si>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</si>
  <si>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</si>
  <si>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</si>
  <si>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</si>
  <si>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</si>
  <si>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</si>
  <si>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</si>
  <si>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</si>
  <si>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</si>
  <si>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</si>
  <si>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</si>
  <si>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</si>
  <si>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</si>
  <si>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</si>
  <si>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</si>
  <si>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</si>
  <si>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</si>
  <si>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</si>
  <si>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</si>
  <si>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</si>
  <si>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</si>
  <si>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</si>
  <si>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</si>
  <si>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</si>
  <si>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</si>
  <si>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</si>
  <si>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</si>
  <si>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</si>
  <si>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</si>
  <si>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</si>
  <si>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</si>
  <si>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</si>
  <si>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</si>
  <si>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</si>
  <si>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</si>
  <si>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</si>
  <si>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</si>
  <si>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</si>
  <si>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</si>
  <si>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</si>
  <si>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</si>
  <si>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</si>
  <si>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</si>
  <si>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</si>
  <si>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</si>
  <si>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</si>
  <si>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</si>
  <si>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</si>
  <si>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</si>
  <si>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</si>
  <si>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</si>
  <si>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</si>
  <si>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</si>
  <si>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</si>
  <si>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</si>
  <si>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</si>
  <si>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</si>
  <si>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</si>
  <si>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</si>
  <si>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</si>
  <si>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</si>
  <si>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</si>
  <si>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</si>
  <si>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</si>
  <si>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</si>
  <si>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</si>
  <si>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</si>
  <si>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</si>
  <si>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</si>
  <si>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</si>
  <si>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</si>
  <si>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</si>
  <si>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</si>
  <si>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</si>
  <si>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</si>
  <si>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</si>
  <si>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</si>
  <si>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</si>
  <si>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</si>
  <si>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</si>
  <si>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</si>
  <si>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</si>
  <si>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</si>
  <si>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</si>
  <si>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</si>
  <si>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</si>
  <si>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</si>
  <si>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</si>
  <si>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</si>
  <si>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</si>
  <si>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</si>
  <si>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</si>
  <si>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</si>
  <si>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</si>
  <si>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</si>
  <si>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</si>
  <si>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</si>
  <si>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</si>
  <si>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</si>
  <si>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</si>
  <si>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</si>
  <si>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</si>
  <si>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</si>
  <si>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</si>
  <si>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</si>
  <si>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</si>
  <si>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</si>
  <si>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</si>
  <si>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</si>
  <si>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</si>
  <si>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</si>
  <si>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</si>
  <si>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</si>
  <si>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</si>
  <si>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</si>
  <si>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</si>
  <si>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</si>
  <si>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</si>
  <si>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</si>
  <si>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</si>
  <si>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</si>
  <si>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</si>
  <si>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</si>
  <si>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</si>
  <si>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</si>
  <si>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</si>
  <si>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</si>
  <si>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</si>
  <si>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</si>
  <si>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</si>
  <si>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</si>
  <si>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</si>
  <si>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</si>
  <si>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</si>
  <si>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</si>
  <si>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</si>
  <si>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</si>
  <si>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</si>
  <si>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</si>
  <si>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</si>
  <si>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</si>
  <si>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</si>
  <si>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</si>
  <si>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</si>
  <si>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</si>
  <si>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</si>
  <si>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</si>
  <si>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</si>
  <si>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</si>
  <si>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</si>
  <si>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</si>
  <si>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</si>
  <si>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</si>
  <si>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</si>
  <si>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</si>
  <si>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</si>
  <si>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</si>
  <si>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</si>
  <si>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</si>
  <si>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</si>
  <si>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</si>
  <si>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</si>
  <si>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</si>
  <si>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</si>
  <si>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</si>
  <si>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</si>
  <si>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</si>
  <si>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</si>
  <si>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</si>
  <si>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</si>
  <si>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</si>
  <si>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</si>
  <si>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</si>
  <si>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</si>
  <si>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</si>
  <si>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</si>
  <si>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</si>
  <si>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</si>
  <si>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</si>
  <si>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</si>
  <si>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</si>
  <si>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</si>
  <si>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</si>
  <si>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</si>
  <si>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</si>
  <si>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</si>
  <si>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</si>
  <si>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</si>
  <si>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</si>
  <si>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</si>
  <si>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</si>
  <si>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</si>
  <si>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</si>
  <si>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</si>
  <si>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</si>
  <si>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</si>
  <si>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</si>
  <si>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</si>
  <si>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</si>
  <si>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</si>
  <si>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</si>
  <si>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</si>
  <si>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</si>
  <si>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</si>
  <si>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</si>
  <si>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</si>
  <si>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</si>
  <si>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</si>
  <si>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</si>
  <si>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</si>
  <si>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</si>
  <si>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</si>
  <si>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</si>
  <si>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</si>
  <si>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</si>
  <si>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</si>
  <si>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</si>
  <si>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</si>
  <si>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</si>
  <si>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</si>
  <si>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</si>
  <si>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</si>
  <si>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</si>
  <si>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</si>
  <si>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</si>
  <si>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</si>
  <si>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</si>
  <si>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</si>
  <si>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</si>
  <si>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</si>
  <si>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</si>
  <si>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</si>
  <si>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</si>
  <si>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</si>
  <si>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</si>
  <si>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</si>
  <si>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</si>
  <si>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</si>
  <si>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</si>
  <si>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</si>
  <si>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</si>
  <si>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</si>
  <si>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</si>
  <si>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</si>
  <si>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</si>
  <si>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</si>
  <si>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</si>
  <si>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</si>
  <si>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</si>
  <si>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</si>
  <si>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</si>
  <si>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</si>
  <si>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</si>
  <si>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</si>
  <si>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</si>
  <si>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</si>
  <si>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</si>
  <si>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</si>
  <si>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</si>
  <si>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</si>
  <si>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</si>
  <si>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</si>
  <si>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</si>
  <si>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</si>
  <si>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</si>
  <si>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</si>
  <si>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</si>
  <si>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</si>
  <si>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</si>
  <si>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</si>
  <si>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</si>
  <si>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</si>
  <si>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</si>
  <si>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</si>
  <si>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</si>
  <si>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</si>
  <si>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</si>
  <si>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</si>
  <si>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</si>
  <si>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</si>
  <si>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</si>
  <si>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</si>
  <si>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</si>
  <si>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</si>
  <si>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</si>
  <si>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</si>
  <si>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</si>
  <si>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</si>
  <si>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</si>
  <si>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</si>
  <si>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</si>
  <si>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</si>
  <si>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</si>
  <si>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</si>
  <si>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</si>
  <si>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</si>
  <si>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</si>
  <si>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</si>
  <si>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</si>
  <si>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</si>
  <si>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</si>
  <si>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</si>
  <si>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</si>
  <si>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</si>
  <si>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</si>
  <si>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</si>
  <si>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</si>
  <si>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</si>
  <si>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</si>
  <si>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</si>
  <si>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</si>
  <si>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</si>
  <si>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</si>
  <si>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</si>
  <si>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</si>
  <si>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</si>
  <si>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</si>
  <si>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</si>
  <si>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</si>
  <si>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</si>
  <si>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</si>
  <si>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</si>
  <si>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</si>
  <si>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</si>
  <si>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</si>
  <si>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</si>
  <si>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</si>
  <si>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</si>
  <si>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</si>
  <si>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</si>
  <si>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</si>
  <si>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</si>
  <si>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</si>
  <si>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</si>
  <si>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</si>
  <si>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</si>
  <si>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</si>
  <si>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</si>
  <si>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</si>
  <si>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</si>
  <si>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</si>
  <si>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</si>
  <si>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</si>
  <si>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</si>
  <si>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</si>
  <si>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</si>
  <si>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</si>
  <si>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</si>
  <si>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</si>
  <si>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</si>
  <si>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</si>
  <si>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</si>
  <si>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</si>
  <si>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</si>
  <si>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</si>
  <si>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</si>
  <si>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</si>
  <si>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</si>
  <si>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</si>
  <si>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</si>
  <si>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</si>
  <si>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</si>
  <si>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</si>
  <si>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</si>
  <si>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</si>
  <si>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</si>
  <si>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</si>
  <si>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</si>
  <si>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</si>
  <si>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</si>
  <si>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</si>
  <si>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</si>
  <si>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</si>
  <si>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</si>
  <si>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</si>
  <si>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</si>
  <si>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</si>
  <si>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</si>
  <si>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</si>
  <si>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</si>
  <si>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</si>
  <si>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</si>
  <si>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</si>
  <si>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</si>
  <si>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</si>
  <si>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</si>
  <si>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</si>
  <si>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</si>
  <si>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</si>
  <si>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</si>
  <si>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</si>
  <si>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</si>
  <si>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</si>
  <si>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</si>
  <si>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</si>
  <si>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</si>
  <si>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</si>
  <si>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</si>
  <si>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</si>
  <si>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</si>
  <si>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</si>
  <si>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</si>
  <si>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</si>
  <si>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</si>
  <si>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</si>
  <si>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</si>
  <si>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</si>
  <si>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</si>
  <si>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</si>
  <si>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</si>
  <si>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</si>
  <si>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</si>
  <si>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</si>
  <si>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</si>
  <si>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</si>
  <si>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</si>
  <si>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</si>
  <si>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</si>
  <si>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</si>
  <si>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</si>
  <si>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</si>
  <si>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</si>
  <si>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</si>
  <si>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</si>
  <si>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</si>
  <si>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</si>
  <si>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</si>
  <si>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</si>
  <si>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</si>
  <si>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</si>
  <si>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</si>
  <si>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</si>
  <si>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</si>
  <si>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</si>
  <si>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</si>
  <si>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</si>
  <si>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</si>
  <si>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</si>
  <si>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</si>
  <si>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</si>
  <si>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</si>
  <si>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</si>
  <si>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</si>
  <si>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</si>
  <si>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</si>
  <si>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</si>
  <si>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</si>
  <si>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</si>
  <si>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</si>
  <si>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</si>
  <si>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</si>
  <si>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</si>
  <si>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</si>
  <si>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</si>
  <si>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</si>
  <si>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</si>
  <si>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</si>
  <si>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</si>
  <si>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</si>
  <si>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</si>
  <si>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</si>
  <si>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</si>
  <si>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</si>
  <si>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</si>
  <si>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</si>
  <si>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</si>
  <si>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</si>
  <si>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</si>
  <si>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</si>
  <si>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</si>
  <si>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</si>
  <si>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</si>
  <si>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</si>
  <si>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</si>
  <si>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</si>
  <si>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</si>
  <si>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</si>
  <si>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</si>
  <si>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</si>
  <si>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</si>
  <si>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</si>
  <si>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</si>
  <si>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</si>
  <si>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</si>
  <si>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</si>
  <si>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</si>
  <si>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</si>
  <si>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</si>
  <si>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</si>
  <si>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</si>
  <si>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</si>
  <si>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</si>
  <si>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</si>
  <si>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</si>
  <si>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</si>
  <si>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</si>
  <si>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</si>
  <si>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</si>
  <si>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</si>
  <si>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</si>
  <si>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</si>
  <si>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</si>
  <si>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</si>
  <si>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</si>
  <si>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</si>
  <si>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</si>
  <si>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</si>
  <si>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</si>
  <si>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</si>
  <si>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</si>
  <si>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</si>
  <si>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</si>
  <si>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</si>
  <si>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</si>
  <si>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</si>
  <si>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</si>
  <si>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</si>
  <si>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</si>
  <si>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</si>
  <si>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</si>
  <si>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</si>
  <si>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</si>
  <si>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</si>
  <si>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</si>
  <si>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</si>
  <si>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</si>
  <si>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</si>
  <si>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</si>
  <si>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</si>
  <si>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</si>
  <si>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</si>
  <si>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</si>
  <si>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</si>
  <si>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</si>
  <si>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</si>
  <si>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</si>
  <si>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</si>
  <si>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</si>
  <si>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</si>
  <si>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</si>
  <si>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</si>
  <si>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</si>
  <si>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</si>
  <si>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</si>
  <si>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</si>
  <si>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</si>
  <si>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</si>
  <si>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</si>
  <si>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</si>
  <si>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</si>
  <si>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</si>
  <si>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</si>
  <si>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</si>
  <si>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</si>
  <si>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</si>
  <si>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</si>
  <si>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</si>
  <si>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</si>
  <si>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</si>
  <si>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</si>
  <si>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</si>
  <si>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</si>
  <si>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</si>
  <si>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</si>
  <si>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</si>
  <si>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</si>
  <si>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</si>
  <si>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</si>
  <si>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</si>
  <si>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</si>
  <si>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</si>
  <si>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</si>
  <si>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</si>
  <si>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</si>
  <si>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</si>
  <si>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</si>
  <si>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</si>
  <si>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</si>
  <si>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</si>
  <si>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</si>
  <si>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</si>
  <si>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</si>
  <si>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</si>
  <si>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</si>
  <si>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</si>
  <si>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</si>
  <si>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</si>
  <si>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</si>
  <si>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</si>
  <si>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</si>
  <si>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</si>
  <si>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</si>
  <si>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</si>
  <si>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</si>
  <si>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</si>
  <si>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</si>
  <si>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</si>
  <si>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</si>
  <si>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</si>
  <si>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</si>
  <si>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</si>
  <si>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</si>
  <si>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</si>
  <si>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</si>
  <si>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</si>
  <si>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</si>
  <si>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</si>
  <si>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</si>
  <si>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</si>
  <si>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</si>
  <si>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</si>
  <si>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</si>
  <si>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</si>
  <si>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</si>
  <si>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</si>
  <si>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</si>
  <si>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</si>
  <si>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</si>
  <si>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</si>
  <si>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</si>
  <si>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</si>
  <si>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</si>
  <si>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</si>
  <si>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</si>
  <si>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</si>
  <si>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</si>
  <si>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</si>
  <si>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</si>
  <si>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</si>
  <si>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</si>
  <si>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</si>
  <si>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</si>
  <si>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</si>
  <si>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</si>
  <si>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</si>
  <si>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</si>
  <si>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</si>
  <si>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</si>
  <si>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</si>
  <si>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</si>
  <si>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</si>
  <si>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</si>
  <si>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</si>
  <si>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</si>
  <si>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</si>
  <si>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</si>
  <si>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</si>
  <si>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</si>
  <si>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</si>
  <si>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</si>
  <si>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</si>
  <si>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</si>
  <si>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</si>
  <si>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</si>
  <si>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</si>
  <si>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</si>
  <si>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</si>
  <si>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</si>
  <si>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</si>
  <si>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</si>
  <si>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</si>
  <si>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</si>
  <si>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</si>
  <si>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</si>
  <si>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</si>
  <si>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</si>
  <si>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</si>
  <si>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</si>
  <si>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</si>
  <si>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</si>
  <si>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</si>
  <si>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</si>
  <si>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</si>
  <si>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</si>
  <si>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</si>
  <si>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</si>
  <si>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</si>
  <si>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</si>
  <si>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</si>
  <si>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</si>
  <si>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</si>
  <si>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</si>
  <si>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</si>
  <si>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</si>
  <si>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</si>
  <si>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</si>
  <si>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</si>
  <si>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</si>
  <si>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</si>
  <si>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</si>
  <si>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</si>
  <si>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</si>
  <si>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</si>
  <si>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</si>
  <si>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</si>
  <si>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</si>
  <si>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</si>
  <si>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</si>
  <si>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</si>
  <si>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</si>
  <si>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</si>
  <si>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</si>
  <si>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</si>
  <si>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</si>
  <si>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</si>
  <si>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</si>
  <si>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</si>
  <si>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</si>
  <si>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</si>
  <si>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</si>
  <si>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</si>
  <si>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</si>
  <si>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</si>
  <si>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</si>
  <si>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</si>
  <si>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</si>
  <si>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</si>
  <si>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</si>
  <si>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</si>
  <si>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</si>
  <si>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</si>
  <si>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</si>
  <si>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</si>
  <si>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</si>
  <si>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</si>
  <si>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</si>
  <si>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</si>
  <si>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</si>
  <si>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</si>
  <si>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</si>
  <si>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</si>
  <si>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</si>
  <si>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</si>
  <si>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</si>
  <si>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</si>
  <si>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</si>
  <si>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</si>
  <si>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</si>
  <si>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</si>
  <si>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</si>
  <si>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</si>
  <si>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</si>
  <si>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</si>
  <si>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</si>
  <si>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</si>
  <si>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</si>
  <si>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</si>
  <si>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</si>
  <si>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</si>
  <si>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</si>
  <si>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</si>
  <si>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</si>
  <si>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</si>
  <si>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</si>
  <si>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</si>
  <si>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</si>
  <si>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</si>
  <si>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</si>
  <si>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</si>
  <si>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</si>
  <si>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</si>
  <si>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</si>
  <si>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</si>
  <si>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</si>
  <si>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</si>
  <si>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</si>
  <si>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</si>
  <si>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</si>
  <si>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</si>
  <si>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</si>
  <si>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</si>
  <si>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</si>
  <si>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</si>
  <si>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</si>
  <si>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</si>
  <si>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</si>
  <si>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</si>
  <si>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</si>
  <si>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</si>
  <si>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</si>
  <si>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</si>
  <si>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</si>
  <si>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</si>
  <si>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</si>
  <si>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</si>
  <si>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</si>
  <si>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</si>
  <si>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</si>
  <si>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</si>
  <si>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</si>
  <si>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</si>
  <si>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</si>
  <si>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</si>
  <si>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</si>
  <si>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</si>
  <si>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</si>
  <si>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</si>
  <si>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</si>
  <si>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</si>
  <si>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</si>
  <si>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</si>
  <si>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</si>
  <si>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</si>
  <si>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</si>
  <si>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</si>
  <si>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</si>
  <si>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</si>
  <si>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</si>
  <si>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</si>
  <si>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</si>
  <si>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</si>
  <si>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</si>
  <si>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</si>
  <si>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</si>
  <si>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</si>
  <si>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</si>
  <si>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</si>
  <si>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</si>
  <si>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</si>
  <si>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</si>
  <si>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</si>
  <si>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</si>
  <si>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</si>
  <si>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</si>
  <si>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</si>
  <si>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</si>
  <si>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</si>
  <si>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</si>
  <si>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</si>
  <si>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</si>
  <si>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</si>
  <si>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</si>
  <si>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</si>
  <si>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</si>
  <si>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</si>
  <si>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</si>
  <si>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</si>
  <si>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</si>
  <si>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</si>
  <si>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</si>
  <si>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</si>
  <si>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</si>
  <si>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</si>
  <si>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</si>
  <si>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</si>
  <si>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</si>
  <si>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</si>
  <si>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</si>
  <si>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</si>
  <si>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</si>
  <si>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</si>
  <si>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</si>
  <si>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</si>
  <si>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</si>
  <si>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</si>
  <si>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</si>
  <si>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</si>
  <si>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</si>
  <si>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</si>
  <si>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</si>
  <si>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</si>
  <si>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</si>
  <si>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</si>
  <si>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</si>
  <si>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</si>
  <si>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</si>
  <si>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</si>
  <si>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</si>
  <si>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</si>
  <si>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</si>
  <si>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</si>
  <si>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</si>
  <si>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</si>
  <si>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</si>
  <si>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</si>
  <si>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</si>
  <si>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</si>
  <si>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</si>
  <si>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</si>
  <si>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</si>
  <si>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</si>
  <si>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</si>
  <si>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</si>
  <si>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</si>
  <si>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</si>
  <si>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</si>
  <si>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</si>
  <si>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</si>
  <si>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</si>
  <si>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</si>
  <si>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</si>
  <si>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</si>
  <si>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</si>
  <si>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</si>
  <si>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</si>
  <si>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</si>
  <si>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</si>
  <si>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</si>
  <si>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</si>
  <si>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</si>
  <si>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</si>
  <si>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</si>
  <si>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</si>
  <si>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</si>
  <si>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</si>
  <si>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</si>
  <si>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</si>
  <si>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</si>
  <si>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</si>
  <si>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</si>
  <si>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</si>
  <si>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</si>
  <si>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</si>
  <si>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</si>
  <si>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</si>
  <si>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</si>
  <si>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</si>
  <si>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</si>
  <si>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</si>
  <si>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</si>
  <si>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</si>
  <si>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</si>
  <si>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</si>
  <si>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</si>
  <si>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</si>
  <si>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</si>
  <si>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</si>
  <si>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</si>
  <si>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</si>
  <si>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</si>
  <si>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</si>
  <si>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</si>
  <si>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</si>
  <si>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</si>
  <si>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</si>
  <si>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</si>
  <si>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</si>
  <si>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</si>
  <si>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</si>
  <si>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</si>
  <si>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</si>
  <si>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</si>
  <si>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</si>
  <si>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</si>
  <si>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</si>
  <si>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</si>
  <si>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</si>
  <si>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</si>
  <si>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</si>
  <si>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</si>
  <si>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</si>
  <si>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</si>
  <si>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</si>
  <si>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</si>
  <si>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</si>
  <si>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</si>
  <si>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</si>
  <si>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</si>
  <si>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</si>
  <si>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</si>
  <si>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</si>
  <si>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</si>
  <si>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</si>
  <si>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</si>
  <si>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</si>
  <si>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</si>
  <si>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</si>
  <si>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</si>
  <si>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</si>
  <si>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</si>
  <si>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</si>
  <si>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</si>
  <si>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</si>
  <si>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</si>
  <si>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</si>
  <si>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</si>
  <si>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</si>
  <si>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</si>
  <si>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</si>
  <si>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</si>
  <si>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</si>
  <si>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</si>
  <si>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</si>
  <si>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</si>
  <si>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</si>
  <si>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</si>
  <si>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</si>
  <si>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</si>
  <si>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</si>
  <si>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</si>
  <si>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</si>
  <si>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</si>
  <si>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</si>
  <si>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</si>
  <si>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</si>
  <si>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</si>
  <si>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</si>
  <si>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</si>
  <si>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</si>
  <si>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</si>
  <si>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</si>
  <si>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</si>
  <si>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</si>
  <si>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</si>
  <si>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</si>
  <si>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</si>
  <si>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</si>
  <si>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</si>
  <si>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</si>
  <si>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</si>
  <si>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</si>
  <si>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</si>
  <si>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</si>
  <si>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</si>
  <si>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</si>
  <si>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</si>
  <si>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</si>
  <si>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</si>
  <si>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</si>
  <si>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</si>
  <si>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</si>
  <si>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</si>
  <si>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</si>
  <si>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</si>
  <si>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</si>
  <si>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</si>
  <si>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</si>
  <si>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</si>
  <si>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</si>
  <si>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</si>
  <si>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</si>
  <si>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</si>
  <si>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</si>
  <si>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</si>
  <si>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</si>
  <si>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</si>
  <si>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</si>
  <si>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</si>
  <si>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</si>
  <si>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</si>
  <si>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</si>
  <si>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</si>
  <si>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</si>
  <si>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</si>
  <si>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</si>
  <si>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</si>
  <si>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</si>
  <si>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</si>
  <si>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</si>
  <si>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</si>
  <si>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</si>
  <si>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</si>
  <si>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</si>
  <si>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</si>
  <si>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</si>
  <si>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</si>
  <si>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</si>
  <si>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</si>
  <si>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</si>
  <si>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</si>
  <si>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</si>
  <si>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</si>
  <si>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</si>
  <si>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</si>
  <si>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</si>
  <si>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</si>
  <si>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</si>
  <si>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</si>
  <si>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</si>
  <si>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</si>
  <si>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</si>
  <si>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</si>
  <si>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</si>
  <si>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</si>
  <si>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</si>
  <si>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</si>
  <si>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</si>
  <si>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</si>
  <si>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</si>
  <si>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</si>
  <si>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</si>
  <si>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</si>
  <si>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</si>
  <si>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</si>
  <si>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</si>
  <si>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</si>
  <si>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</si>
  <si>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</si>
  <si>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</si>
  <si>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</si>
  <si>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</si>
  <si>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</si>
  <si>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</si>
  <si>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</si>
  <si>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</si>
  <si>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</si>
  <si>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</si>
  <si>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</si>
  <si>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</si>
  <si>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</si>
  <si>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</si>
  <si>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</si>
  <si>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</si>
  <si>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</si>
  <si>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</si>
  <si>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</si>
  <si>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</si>
  <si>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</si>
  <si>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</si>
  <si>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</si>
  <si>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</si>
  <si>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</si>
  <si>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</si>
  <si>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</si>
  <si>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</si>
  <si>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</si>
  <si>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</si>
  <si>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</si>
  <si>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</si>
  <si>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</si>
  <si>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</si>
  <si>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</si>
  <si>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</si>
  <si>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</si>
  <si>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</si>
  <si>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</si>
  <si>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</si>
  <si>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</si>
  <si>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</si>
  <si>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</si>
  <si>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</si>
  <si>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</si>
  <si>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</si>
  <si>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</si>
  <si>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</si>
  <si>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</si>
  <si>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</si>
  <si>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</si>
  <si>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</si>
  <si>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</si>
  <si>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</si>
  <si>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</si>
  <si>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</si>
  <si>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</si>
  <si>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</si>
  <si>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</si>
  <si>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</si>
  <si>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</si>
  <si>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</si>
  <si>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</si>
  <si>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</si>
  <si>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</si>
  <si>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</si>
  <si>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</si>
  <si>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</si>
  <si>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</si>
  <si>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</si>
  <si>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</si>
  <si>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</si>
  <si>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</si>
  <si>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</si>
  <si>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</si>
  <si>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</si>
  <si>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</si>
  <si>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</si>
  <si>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</si>
  <si>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</si>
  <si>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</si>
  <si>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</si>
  <si>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</si>
  <si>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</si>
  <si>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</si>
  <si>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</si>
  <si>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</si>
  <si>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</si>
  <si>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</si>
  <si>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</si>
  <si>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</si>
  <si>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</si>
  <si>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</si>
  <si>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</si>
  <si>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</si>
  <si>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</si>
  <si>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</si>
  <si>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</si>
  <si>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</si>
  <si>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</si>
  <si>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</si>
  <si>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</si>
  <si>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</si>
  <si>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</si>
  <si>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</si>
  <si>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</si>
  <si>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</si>
  <si>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</si>
  <si>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</si>
  <si>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</si>
  <si>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</si>
  <si>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</si>
  <si>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</si>
  <si>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</si>
  <si>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</si>
  <si>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</si>
  <si>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</si>
  <si>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</si>
  <si>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</si>
  <si>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</si>
  <si>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</si>
  <si>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</si>
  <si>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</si>
  <si>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</si>
  <si>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</si>
  <si>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</si>
  <si>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</si>
  <si>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</si>
  <si>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</si>
  <si>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</si>
  <si>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</si>
  <si>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</si>
  <si>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</si>
  <si>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</si>
  <si>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</si>
  <si>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</si>
  <si>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</si>
  <si>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</si>
  <si>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</si>
  <si>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</si>
  <si>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</si>
  <si>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</si>
  <si>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</si>
  <si>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</si>
  <si>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</si>
  <si>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</si>
  <si>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</si>
  <si>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</si>
  <si>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</si>
  <si>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</si>
  <si>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</si>
  <si>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</si>
  <si>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</si>
  <si>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</si>
  <si>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</si>
  <si>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</si>
  <si>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</si>
  <si>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</si>
  <si>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</si>
  <si>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</si>
  <si>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</si>
  <si>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</si>
  <si>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</si>
  <si>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</si>
  <si>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</si>
  <si>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</si>
  <si>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</si>
  <si>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</si>
  <si>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</si>
  <si>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</si>
  <si>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</si>
  <si>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</si>
  <si>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</si>
  <si>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</si>
  <si>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</si>
  <si>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</si>
  <si>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</si>
  <si>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</si>
  <si>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</si>
  <si>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</si>
  <si>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</si>
  <si>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</si>
  <si>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</si>
  <si>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</si>
  <si>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</si>
  <si>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</si>
  <si>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</si>
  <si>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</si>
  <si>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</si>
  <si>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</si>
  <si>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</si>
  <si>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</si>
  <si>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</si>
  <si>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</si>
  <si>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</si>
  <si>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</si>
  <si>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</si>
  <si>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</si>
  <si>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</si>
  <si>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</si>
  <si>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</si>
  <si>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</si>
  <si>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</si>
  <si>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</si>
  <si>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</si>
  <si>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</si>
  <si>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</si>
  <si>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</si>
  <si>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</si>
  <si>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</si>
  <si>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</si>
  <si>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</si>
  <si>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</si>
  <si>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</si>
  <si>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</si>
  <si>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</si>
  <si>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</si>
  <si>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</si>
  <si>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</si>
  <si>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</si>
  <si>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</si>
  <si>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</si>
  <si>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</si>
  <si>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</si>
  <si>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</si>
  <si>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</si>
  <si>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</si>
  <si>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</si>
  <si>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</si>
  <si>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</si>
  <si>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</si>
  <si>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</si>
  <si>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</si>
  <si>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</si>
  <si>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</si>
  <si>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</si>
  <si>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</si>
  <si>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</si>
  <si>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</si>
  <si>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</si>
  <si>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</si>
  <si>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</si>
  <si>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</si>
  <si>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</si>
  <si>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</si>
  <si>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</si>
  <si>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</si>
  <si>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</si>
  <si>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</si>
  <si>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</si>
  <si>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</si>
  <si>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</si>
  <si>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</si>
  <si>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</si>
  <si>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</si>
  <si>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</si>
  <si>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</si>
  <si>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</si>
  <si>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</si>
  <si>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</si>
  <si>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</si>
  <si>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</si>
  <si>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</si>
  <si>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</si>
  <si>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</si>
  <si>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</si>
  <si>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</si>
  <si>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</si>
  <si>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</si>
  <si>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</si>
  <si>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</si>
  <si>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</si>
  <si>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</si>
  <si>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</si>
  <si>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</si>
  <si>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</si>
  <si>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</si>
  <si>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</si>
  <si>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</si>
  <si>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</si>
  <si>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</si>
  <si>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</si>
  <si>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</si>
  <si>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</si>
  <si>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</si>
  <si>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</si>
  <si>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</si>
  <si>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</si>
  <si>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</si>
  <si>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</si>
  <si>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</si>
  <si>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</si>
  <si>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</si>
  <si>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</si>
  <si>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</si>
  <si>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</si>
  <si>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</si>
  <si>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</si>
  <si>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</si>
  <si>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</si>
  <si>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</si>
  <si>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</si>
  <si>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</si>
  <si>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</si>
  <si>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</si>
  <si>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</si>
  <si>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</si>
  <si>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</si>
  <si>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</si>
  <si>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</si>
  <si>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</si>
  <si>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</si>
  <si>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</si>
  <si>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</si>
  <si>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</si>
  <si>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</si>
  <si>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</si>
  <si>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</si>
  <si>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</si>
  <si>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</si>
  <si>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</si>
  <si>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</si>
  <si>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</si>
  <si>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</si>
  <si>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</si>
  <si>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</si>
  <si>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</si>
  <si>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</si>
  <si>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</si>
  <si>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</si>
  <si>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</si>
  <si>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</si>
  <si>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</si>
  <si>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</si>
  <si>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</si>
  <si>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</si>
  <si>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</si>
  <si>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</si>
  <si>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</si>
  <si>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</si>
  <si>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</si>
  <si>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</si>
  <si>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</si>
  <si>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</si>
  <si>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</si>
  <si>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</si>
  <si>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</si>
  <si>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</si>
  <si>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</si>
  <si>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</si>
  <si>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</si>
  <si>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</si>
  <si>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</si>
  <si>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</si>
  <si>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</si>
  <si>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</si>
  <si>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</si>
  <si>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</si>
  <si>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</si>
  <si>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</si>
  <si>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</si>
  <si>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</si>
  <si>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</si>
  <si>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</si>
  <si>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</si>
  <si>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</si>
  <si>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</si>
  <si>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</si>
  <si>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</si>
  <si>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</si>
  <si>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</si>
  <si>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</si>
  <si>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</si>
  <si>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</si>
  <si>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</si>
  <si>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</si>
  <si>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</si>
  <si>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</si>
  <si>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</si>
  <si>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</si>
  <si>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</si>
  <si>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</si>
  <si>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</si>
  <si>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</si>
  <si>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</si>
  <si>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</si>
  <si>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</si>
  <si>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</si>
  <si>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</si>
  <si>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</si>
  <si>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</si>
  <si>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</si>
  <si>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</si>
  <si>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</si>
  <si>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</si>
  <si>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</si>
  <si>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</si>
  <si>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</si>
  <si>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</si>
  <si>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</si>
  <si>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</si>
  <si>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</si>
  <si>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</si>
  <si>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</si>
  <si>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</si>
  <si>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</si>
  <si>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</si>
  <si>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</si>
  <si>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</si>
  <si>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</si>
  <si>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</si>
  <si>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</si>
  <si>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</si>
  <si>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</si>
  <si>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</si>
  <si>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</si>
  <si>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</si>
  <si>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</si>
  <si>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</si>
  <si>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</si>
  <si>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</si>
  <si>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</si>
  <si>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</si>
  <si>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</si>
  <si>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</si>
  <si>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</si>
  <si>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</si>
  <si>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</si>
  <si>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</si>
  <si>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</si>
  <si>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</si>
  <si>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</si>
  <si>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</si>
  <si>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</si>
  <si>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</si>
  <si>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</si>
  <si>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</si>
  <si>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</si>
  <si>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</si>
  <si>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</si>
  <si>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</si>
  <si>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</si>
  <si>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</si>
  <si>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</si>
  <si>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</si>
  <si>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</si>
  <si>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</si>
  <si>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</si>
  <si>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</si>
  <si>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</si>
  <si>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</si>
  <si>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</si>
  <si>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</si>
  <si>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</si>
  <si>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</si>
  <si>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</si>
  <si>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</si>
  <si>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</si>
  <si>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</si>
  <si>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</si>
  <si>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</si>
  <si>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</si>
  <si>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</si>
  <si>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</si>
  <si>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</si>
  <si>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</si>
  <si>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</si>
  <si>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</si>
  <si>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</si>
  <si>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</si>
  <si>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</si>
  <si>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</si>
  <si>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</si>
  <si>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</si>
  <si>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</si>
  <si>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</si>
  <si>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</si>
  <si>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</si>
  <si>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</si>
  <si>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</si>
  <si>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</si>
  <si>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</si>
  <si>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</si>
  <si>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</si>
  <si>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</si>
  <si>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</si>
  <si>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</si>
  <si>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</si>
  <si>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</si>
  <si>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</si>
  <si>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</si>
  <si>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</si>
  <si>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</si>
  <si>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</si>
  <si>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</si>
  <si>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</si>
  <si>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</si>
  <si>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</si>
  <si>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</si>
  <si>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</si>
  <si>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</si>
  <si>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</si>
  <si>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</si>
  <si>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</si>
  <si>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</si>
  <si>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</si>
  <si>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</si>
  <si>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</si>
  <si>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</si>
  <si>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</si>
  <si>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</si>
  <si>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</si>
  <si>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</si>
  <si>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</si>
  <si>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</si>
  <si>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</si>
  <si>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</si>
  <si>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</si>
  <si>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</si>
  <si>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</si>
  <si>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</si>
  <si>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</si>
  <si>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</si>
  <si>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</si>
  <si>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</si>
  <si>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</si>
  <si>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</si>
  <si>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</si>
  <si>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</si>
  <si>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</si>
  <si>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</si>
  <si>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</si>
  <si>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</si>
  <si>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</si>
  <si>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</si>
  <si>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</si>
  <si>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</si>
  <si>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</si>
  <si>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</si>
  <si>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</si>
  <si>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</si>
  <si>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</si>
  <si>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</si>
  <si>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</si>
  <si>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</si>
  <si>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</si>
  <si>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</si>
  <si>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</si>
  <si>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</si>
  <si>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</si>
  <si>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</si>
  <si>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</si>
  <si>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</si>
  <si>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</si>
  <si>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</si>
  <si>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</si>
  <si>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</si>
  <si>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</si>
  <si>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</si>
  <si>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</si>
  <si>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</si>
  <si>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</si>
  <si>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</si>
  <si>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</si>
  <si>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</si>
  <si>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</si>
  <si>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</si>
  <si>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</si>
  <si>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</si>
  <si>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</si>
  <si>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</si>
  <si>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</si>
  <si>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</si>
  <si>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</si>
  <si>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</si>
  <si>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</si>
  <si>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</si>
  <si>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</si>
  <si>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</si>
  <si>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</si>
  <si>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</si>
  <si>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</si>
  <si>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</si>
  <si>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</si>
  <si>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</si>
  <si>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</si>
  <si>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</si>
  <si>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</si>
  <si>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</si>
  <si>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</si>
  <si>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</si>
  <si>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</si>
  <si>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</si>
  <si>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</si>
  <si>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</si>
  <si>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</si>
  <si>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</si>
  <si>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</si>
  <si>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</si>
  <si>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</si>
  <si>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</si>
  <si>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</si>
  <si>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</si>
  <si>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</si>
  <si>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</si>
  <si>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</si>
  <si>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</si>
  <si>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</si>
  <si>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</si>
  <si>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</si>
  <si>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</si>
  <si>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</si>
  <si>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</si>
  <si>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</si>
  <si>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</si>
  <si>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</si>
  <si>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</si>
  <si>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</si>
  <si>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</si>
  <si>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</si>
  <si>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</si>
  <si>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</si>
  <si>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</si>
  <si>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</si>
  <si>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</si>
  <si>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</si>
  <si>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</si>
  <si>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</si>
  <si>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</si>
  <si>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</si>
  <si>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</si>
  <si>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</si>
  <si>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</si>
  <si>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</si>
  <si>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</si>
  <si>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</si>
  <si>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</si>
  <si>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</si>
  <si>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</si>
  <si>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</si>
  <si>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</si>
  <si>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</si>
  <si>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</si>
  <si>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</si>
  <si>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</si>
  <si>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</si>
  <si>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</si>
  <si>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</si>
  <si>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</si>
  <si>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</si>
  <si>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</si>
  <si>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</si>
  <si>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</si>
  <si>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</si>
  <si>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</si>
  <si>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</si>
  <si>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</si>
  <si>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</si>
  <si>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</si>
  <si>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</si>
  <si>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</si>
  <si>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</si>
  <si>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</si>
  <si>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</si>
  <si>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</si>
  <si>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</si>
  <si>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</si>
  <si>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</si>
  <si>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</si>
  <si>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</si>
  <si>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</si>
  <si>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</si>
  <si>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</si>
  <si>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</si>
  <si>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</si>
  <si>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</si>
  <si>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</si>
  <si>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</si>
  <si>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</si>
  <si>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</si>
  <si>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</si>
  <si>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</si>
  <si>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</si>
  <si>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</si>
  <si>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</si>
  <si>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</si>
  <si>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</si>
  <si>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</si>
  <si>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</si>
  <si>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</si>
  <si>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</si>
  <si>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</si>
  <si>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</si>
  <si>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</si>
  <si>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</si>
  <si>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</si>
  <si>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</si>
  <si>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</si>
  <si>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</si>
  <si>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</si>
  <si>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</si>
  <si>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</si>
  <si>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</si>
  <si>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</si>
  <si>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</si>
  <si>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</si>
  <si>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</si>
  <si>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</si>
  <si>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</si>
  <si>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</si>
  <si>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</si>
  <si>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</si>
  <si>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</si>
  <si>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</si>
  <si>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</si>
  <si>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</si>
  <si>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</si>
  <si>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</si>
  <si>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</si>
  <si>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</si>
  <si>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</si>
  <si>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</si>
  <si>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</si>
  <si>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</si>
  <si>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</si>
  <si>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</si>
  <si>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</si>
  <si>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</si>
  <si>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</si>
  <si>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</si>
  <si>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</si>
  <si>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</si>
  <si>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</si>
  <si>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</si>
  <si>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</si>
  <si>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</si>
  <si>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</si>
  <si>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</si>
  <si>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</si>
  <si>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</si>
  <si>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</si>
  <si>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</si>
  <si>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</si>
  <si>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</si>
  <si>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</si>
  <si>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</si>
  <si>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</si>
  <si>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</si>
  <si>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</si>
  <si>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</si>
  <si>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</si>
  <si>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</si>
  <si>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</si>
  <si>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</si>
  <si>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</si>
  <si>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</si>
  <si>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</si>
  <si>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</si>
  <si>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</si>
  <si>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</si>
  <si>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</si>
  <si>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</si>
  <si>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</si>
  <si>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</si>
  <si>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</si>
  <si>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</si>
  <si>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</si>
  <si>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</si>
  <si>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</si>
  <si>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</si>
  <si>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</si>
  <si>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</si>
  <si>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</si>
  <si>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</si>
  <si>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</si>
  <si>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</si>
  <si>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</si>
  <si>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</si>
  <si>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</si>
  <si>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</si>
  <si>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</si>
  <si>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</si>
  <si>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</si>
  <si>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</si>
  <si>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</si>
  <si>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</si>
  <si>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</si>
  <si>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</si>
  <si>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</si>
  <si>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</si>
  <si>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</si>
  <si>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</si>
  <si>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</si>
  <si>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</si>
  <si>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</si>
  <si>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</si>
  <si>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</si>
  <si>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</si>
  <si>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</si>
  <si>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</si>
  <si>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</si>
  <si>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</si>
  <si>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</si>
  <si>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</si>
  <si>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</si>
  <si>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</si>
  <si>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</si>
  <si>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</si>
  <si>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</si>
  <si>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</si>
  <si>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</si>
  <si>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</si>
  <si>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</si>
  <si>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</si>
  <si>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</si>
  <si>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</si>
  <si>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</si>
  <si>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</si>
  <si>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</si>
  <si>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</si>
  <si>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</si>
  <si>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</si>
  <si>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</si>
  <si>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</si>
  <si>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</si>
  <si>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</si>
  <si>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</si>
  <si>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</si>
  <si>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</si>
  <si>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</si>
  <si>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</si>
  <si>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</si>
  <si>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</si>
  <si>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</si>
  <si>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</si>
  <si>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</si>
  <si>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</si>
  <si>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</si>
  <si>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</si>
  <si>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</si>
  <si>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</si>
  <si>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</si>
  <si>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</si>
  <si>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</si>
  <si>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</si>
  <si>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</si>
  <si>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</si>
  <si>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</si>
  <si>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</si>
  <si>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</si>
  <si>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</si>
  <si>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</si>
  <si>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</si>
  <si>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</si>
  <si>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</si>
  <si>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</si>
  <si>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</si>
  <si>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</si>
  <si>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</si>
  <si>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</si>
  <si>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</si>
  <si>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</si>
  <si>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</si>
  <si>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</si>
  <si>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</si>
  <si>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</si>
  <si>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</si>
  <si>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</si>
  <si>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</si>
  <si>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</si>
  <si>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</si>
  <si>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</si>
  <si>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</si>
  <si>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</si>
  <si>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</si>
  <si>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</si>
  <si>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</si>
  <si>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</si>
  <si>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</si>
  <si>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</si>
  <si>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</si>
  <si>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</si>
  <si>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</si>
  <si>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</si>
  <si>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</si>
  <si>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</si>
  <si>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</si>
  <si>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</si>
  <si>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</si>
  <si>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</si>
  <si>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</si>
  <si>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</si>
  <si>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</si>
  <si>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</si>
  <si>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</si>
  <si>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</si>
  <si>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</si>
  <si>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</si>
  <si>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</si>
  <si>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</si>
  <si>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</si>
  <si>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</si>
  <si>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</si>
  <si>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</si>
  <si>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</si>
  <si>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</si>
  <si>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</si>
  <si>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</si>
  <si>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</si>
  <si>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</si>
  <si>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</si>
  <si>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</si>
  <si>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</si>
  <si>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</si>
  <si>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</si>
  <si>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</si>
  <si>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</si>
  <si>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</si>
  <si>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</si>
  <si>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</si>
  <si>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</si>
  <si>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</si>
  <si>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</si>
  <si>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</si>
  <si>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</si>
  <si>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</si>
  <si>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</si>
  <si>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</si>
  <si>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</si>
  <si>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</si>
  <si>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</si>
  <si>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</si>
  <si>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</si>
  <si>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</si>
  <si>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</si>
  <si>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</si>
  <si>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</si>
  <si>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</si>
  <si>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</si>
  <si>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</si>
  <si>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</si>
  <si>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</si>
  <si>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</si>
  <si>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</si>
  <si>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</si>
  <si>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</si>
  <si>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</si>
  <si>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</si>
  <si>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</si>
  <si>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</si>
  <si>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</si>
  <si>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</si>
  <si>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</si>
  <si>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</si>
  <si>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</si>
  <si>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</si>
  <si>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</si>
  <si>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</si>
  <si>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</si>
  <si>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</si>
  <si>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</si>
  <si>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</si>
  <si>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</si>
  <si>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</si>
  <si>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</si>
  <si>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</si>
  <si>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</si>
  <si>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</si>
  <si>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</si>
  <si>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</si>
  <si>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</si>
  <si>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</si>
  <si>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</si>
  <si>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</si>
  <si>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</si>
  <si>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</si>
  <si>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</si>
  <si>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</si>
  <si>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</si>
  <si>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</si>
  <si>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</si>
  <si>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</si>
  <si>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</si>
  <si>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</si>
  <si>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</si>
  <si>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</si>
  <si>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</si>
  <si>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</si>
  <si>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</si>
  <si>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</si>
  <si>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</si>
  <si>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</si>
  <si>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</si>
  <si>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</si>
  <si>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</si>
  <si>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</si>
  <si>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</si>
  <si>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</si>
  <si>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</si>
  <si>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</si>
  <si>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</si>
  <si>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</si>
  <si>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</si>
  <si>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</si>
  <si>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</si>
  <si>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</si>
  <si>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</si>
  <si>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</si>
  <si>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</si>
  <si>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</si>
  <si>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</si>
  <si>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</si>
  <si>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</si>
  <si>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</si>
  <si>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</si>
  <si>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</si>
  <si>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</si>
  <si>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</si>
  <si>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</si>
  <si>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</si>
  <si>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</si>
  <si>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</si>
  <si>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</si>
  <si>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</si>
  <si>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</si>
  <si>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</si>
  <si>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</si>
  <si>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</si>
  <si>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</si>
  <si>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</si>
  <si>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</si>
  <si>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</si>
  <si>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</si>
  <si>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</si>
  <si>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</si>
  <si>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</si>
  <si>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</si>
  <si>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</si>
  <si>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</si>
  <si>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</si>
  <si>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</si>
  <si>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</si>
  <si>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</si>
  <si>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</si>
  <si>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</si>
  <si>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</si>
  <si>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</si>
  <si>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</si>
  <si>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</si>
  <si>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</si>
  <si>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</si>
  <si>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</si>
  <si>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</si>
  <si>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</si>
  <si>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</si>
  <si>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</si>
  <si>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</si>
  <si>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</si>
  <si>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</si>
  <si>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</si>
  <si>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</si>
  <si>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</si>
  <si>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</si>
  <si>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</si>
  <si>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</si>
  <si>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</si>
  <si>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</si>
  <si>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</si>
  <si>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</si>
  <si>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</si>
  <si>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</si>
  <si>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</si>
  <si>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</si>
  <si>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</si>
  <si>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</si>
  <si>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</si>
  <si>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</si>
  <si>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</si>
  <si>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</si>
  <si>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</si>
  <si>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</si>
  <si>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</si>
  <si>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</si>
  <si>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</si>
  <si>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</si>
  <si>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</si>
  <si>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</si>
  <si>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</si>
  <si>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</si>
  <si>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</si>
  <si>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</si>
  <si>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</si>
  <si>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</si>
  <si>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</si>
  <si>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</si>
  <si>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</si>
  <si>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</si>
  <si>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</si>
  <si>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</si>
  <si>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</si>
  <si>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</si>
  <si>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</si>
  <si>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</si>
  <si>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</si>
  <si>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</si>
  <si>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</si>
  <si>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</si>
  <si>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</si>
  <si>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</si>
  <si>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</si>
  <si>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</si>
  <si>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</si>
  <si>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</si>
  <si>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</si>
  <si>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</si>
  <si>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</si>
  <si>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</si>
  <si>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</si>
  <si>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</si>
  <si>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</si>
  <si>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</si>
  <si>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</si>
  <si>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</si>
  <si>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</si>
  <si>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</si>
  <si>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</si>
  <si>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</si>
  <si>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</si>
  <si>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</si>
  <si>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</si>
  <si>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</si>
  <si>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</si>
  <si>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</si>
  <si>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</si>
  <si>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</si>
  <si>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</si>
  <si>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</si>
  <si>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</si>
  <si>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</si>
  <si>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</si>
  <si>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</si>
  <si>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</si>
  <si>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</si>
  <si>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</si>
  <si>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</si>
  <si>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</si>
  <si>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</si>
  <si>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</si>
  <si>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</si>
  <si>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</si>
  <si>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</si>
  <si>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</si>
  <si>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</si>
  <si>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</si>
  <si>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</si>
  <si>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</si>
  <si>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</si>
  <si>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</si>
  <si>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</si>
  <si>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</si>
  <si>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</si>
  <si>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</si>
  <si>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</si>
  <si>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</si>
  <si>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</si>
  <si>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</si>
  <si>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</si>
  <si>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</si>
  <si>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</si>
  <si>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</si>
  <si>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</si>
  <si>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</si>
  <si>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</si>
  <si>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</si>
  <si>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</si>
  <si>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</si>
  <si>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</si>
  <si>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</si>
  <si>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</si>
  <si>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</si>
  <si>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</si>
  <si>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</si>
  <si>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</si>
  <si>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</si>
  <si>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</si>
  <si>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</si>
  <si>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</si>
  <si>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</si>
  <si>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</si>
  <si>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</si>
  <si>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</si>
  <si>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</si>
  <si>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</si>
  <si>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</si>
  <si>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</si>
  <si>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</si>
  <si>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</si>
  <si>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</si>
  <si>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</si>
  <si>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</si>
  <si>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</si>
  <si>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</si>
  <si>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</si>
  <si>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</si>
  <si>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</si>
  <si>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</si>
  <si>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</si>
  <si>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</si>
  <si>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</si>
  <si>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</si>
  <si>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</si>
  <si>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</si>
  <si>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</si>
  <si>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</si>
  <si>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</si>
  <si>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</si>
  <si>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</si>
  <si>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</si>
  <si>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</si>
  <si>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</si>
  <si>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</si>
  <si>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</si>
  <si>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</si>
  <si>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</si>
  <si>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</si>
  <si>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</si>
  <si>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</si>
  <si>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</si>
  <si>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</si>
  <si>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</si>
  <si>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</si>
  <si>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</si>
  <si>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</si>
  <si>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</si>
  <si>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</si>
  <si>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</si>
  <si>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</si>
  <si>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</si>
  <si>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</si>
  <si>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</si>
  <si>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</si>
  <si>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</si>
  <si>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</si>
  <si>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</si>
  <si>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</si>
  <si>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</si>
  <si>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</si>
  <si>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</si>
  <si>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</si>
  <si>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</si>
  <si>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</si>
  <si>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</si>
  <si>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</si>
  <si>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</si>
  <si>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</si>
  <si>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</si>
  <si>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</si>
  <si>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</si>
  <si>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</si>
  <si>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</si>
  <si>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</si>
  <si>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</si>
  <si>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</si>
  <si>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</si>
  <si>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</si>
  <si>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</si>
  <si>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</si>
  <si>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</si>
  <si>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</si>
  <si>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</si>
  <si>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</si>
  <si>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</si>
  <si>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</si>
  <si>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</si>
  <si>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</si>
  <si>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</si>
  <si>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</si>
  <si>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</si>
  <si>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</si>
  <si>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</si>
  <si>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</si>
  <si>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</si>
  <si>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</si>
  <si>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</si>
  <si>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</si>
  <si>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</si>
  <si>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</si>
  <si>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</si>
  <si>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</si>
  <si>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</si>
  <si>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</si>
  <si>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</si>
  <si>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</si>
  <si>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</si>
  <si>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</si>
  <si>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</si>
  <si>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</si>
  <si>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</si>
  <si>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</si>
  <si>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</si>
  <si>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</si>
  <si>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</si>
  <si>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</si>
  <si>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</si>
  <si>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</si>
  <si>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</si>
  <si>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</si>
  <si>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</si>
  <si>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</si>
  <si>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</si>
  <si>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</si>
  <si>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</si>
  <si>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</si>
  <si>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</si>
  <si>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</si>
  <si>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</si>
  <si>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</si>
  <si>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</si>
  <si>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</si>
  <si>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</si>
  <si>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</si>
  <si>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</si>
  <si>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</si>
  <si>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</si>
  <si>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</si>
  <si>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</si>
  <si>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</si>
  <si>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</si>
  <si>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</si>
  <si>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</si>
  <si>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</si>
  <si>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</si>
  <si>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</si>
  <si>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</si>
  <si>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</si>
  <si>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</si>
  <si>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</si>
  <si>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</si>
  <si>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</si>
  <si>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</si>
  <si>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</si>
  <si>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</si>
  <si>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</si>
  <si>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</si>
  <si>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</si>
  <si>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</si>
  <si>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</si>
  <si>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</si>
  <si>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</si>
  <si>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</si>
  <si>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</si>
  <si>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</si>
  <si>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</si>
  <si>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</si>
  <si>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</si>
  <si>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</si>
  <si>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</si>
  <si>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</si>
  <si>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</si>
  <si>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</si>
  <si>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</si>
  <si>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</si>
  <si>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</si>
  <si>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</si>
  <si>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</si>
  <si>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</si>
  <si>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</si>
  <si>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</si>
  <si>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</si>
  <si>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</si>
  <si>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</si>
  <si>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</si>
  <si>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</si>
  <si>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</si>
  <si>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</si>
  <si>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</si>
  <si>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</si>
  <si>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</si>
  <si>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</si>
  <si>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</si>
  <si>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</si>
  <si>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</si>
  <si>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</si>
  <si>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</si>
  <si>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</si>
  <si>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</si>
  <si>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</si>
  <si>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</si>
  <si>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</si>
  <si>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</si>
  <si>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</si>
  <si>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</si>
  <si>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</si>
  <si>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</si>
  <si>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</si>
  <si>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</si>
  <si>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</si>
  <si>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</si>
  <si>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</si>
  <si>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</si>
  <si>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</si>
  <si>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</si>
  <si>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</si>
  <si>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</si>
  <si>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</si>
  <si>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</si>
  <si>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</si>
  <si>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</si>
  <si>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</si>
  <si>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</si>
  <si>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</si>
  <si>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</si>
  <si>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</si>
  <si>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</si>
  <si>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</si>
  <si>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</si>
  <si>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</si>
  <si>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</si>
  <si>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</si>
  <si>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</si>
  <si>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</si>
  <si>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</si>
  <si>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</si>
  <si>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</si>
  <si>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</si>
  <si>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</si>
  <si>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</si>
  <si>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</si>
  <si>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</si>
  <si>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</si>
  <si>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</si>
  <si>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</si>
  <si>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</si>
  <si>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</si>
  <si>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</si>
  <si>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</si>
  <si>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</si>
  <si>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</si>
  <si>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</si>
  <si>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</si>
  <si>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</si>
  <si>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</si>
  <si>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</si>
  <si>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</si>
  <si>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</si>
  <si>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</si>
  <si>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</si>
  <si>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</si>
  <si>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</si>
  <si>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</si>
  <si>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</si>
  <si>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</si>
  <si>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</si>
  <si>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</si>
  <si>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</si>
  <si>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</si>
  <si>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</si>
  <si>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</si>
  <si>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</si>
  <si>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</si>
  <si>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</si>
  <si>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</si>
  <si>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</si>
  <si>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</si>
  <si>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</si>
  <si>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</si>
  <si>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</si>
  <si>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</si>
  <si>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</si>
  <si>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</si>
  <si>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</si>
  <si>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</si>
  <si>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</si>
  <si>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</si>
  <si>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</si>
  <si>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</si>
  <si>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</si>
  <si>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</si>
  <si>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</si>
  <si>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</si>
  <si>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</si>
  <si>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</si>
  <si>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</si>
  <si>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</si>
  <si>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</si>
  <si>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</si>
  <si>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</si>
  <si>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</si>
  <si>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</si>
  <si>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</si>
  <si>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</si>
  <si>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</si>
  <si>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</si>
  <si>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</si>
  <si>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</si>
  <si>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</si>
  <si>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</si>
  <si>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</si>
  <si>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</si>
  <si>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</si>
  <si>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</si>
  <si>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</si>
  <si>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</si>
  <si>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</si>
  <si>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</si>
  <si>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</si>
  <si>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</si>
  <si>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</si>
  <si>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</si>
  <si>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</si>
  <si>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</si>
  <si>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</si>
  <si>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</si>
  <si>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</si>
  <si>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</si>
  <si>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</si>
  <si>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</si>
  <si>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</si>
  <si>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</si>
  <si>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</si>
  <si>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</si>
  <si>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</si>
  <si>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</si>
  <si>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</si>
  <si>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</si>
  <si>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</si>
  <si>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</si>
  <si>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</si>
  <si>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</si>
  <si>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</si>
  <si>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</si>
  <si>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</si>
  <si>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</si>
  <si>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</si>
  <si>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</si>
  <si>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</si>
  <si>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</si>
  <si>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</si>
  <si>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</si>
  <si>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</si>
  <si>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</si>
  <si>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</si>
  <si>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</si>
  <si>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</si>
  <si>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</si>
  <si>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</si>
  <si>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</si>
  <si>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</si>
  <si>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</si>
  <si>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</si>
  <si>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</si>
  <si>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</si>
  <si>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</si>
  <si>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</si>
  <si>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</si>
  <si>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</si>
  <si>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</si>
  <si>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</si>
  <si>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</si>
  <si>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</si>
  <si>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</si>
  <si>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</si>
  <si>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</si>
  <si>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</si>
  <si>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</si>
  <si>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</si>
  <si>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</si>
  <si>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</si>
  <si>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</si>
  <si>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</si>
  <si>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</si>
  <si>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</si>
  <si>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</si>
  <si>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</si>
  <si>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</si>
  <si>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</si>
  <si>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</si>
  <si>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</si>
  <si>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</si>
  <si>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</si>
  <si>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</si>
  <si>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</si>
  <si>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</si>
  <si>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</si>
  <si>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</si>
  <si>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</si>
  <si>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</si>
  <si>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</si>
  <si>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</si>
  <si>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</si>
  <si>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</si>
  <si>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</si>
  <si>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</si>
  <si>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</si>
  <si>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</si>
  <si>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</si>
  <si>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</si>
  <si>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</si>
  <si>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</si>
  <si>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</si>
  <si>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</si>
  <si>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</si>
  <si>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</si>
  <si>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</si>
  <si>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</si>
  <si>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</si>
  <si>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</si>
  <si>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</si>
  <si>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</si>
  <si>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</si>
  <si>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</si>
  <si>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</si>
  <si>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</si>
  <si>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</si>
  <si>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</si>
  <si>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</si>
  <si>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</si>
  <si>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</si>
  <si>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</si>
  <si>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</si>
  <si>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</si>
  <si>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</si>
  <si>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</si>
  <si>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</si>
  <si>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</si>
  <si>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</si>
  <si>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</si>
  <si>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</si>
  <si>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</si>
  <si>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</si>
  <si>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</si>
  <si>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</si>
  <si>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</si>
  <si>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</si>
  <si>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</si>
  <si>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</si>
  <si>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</si>
  <si>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</si>
  <si>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</si>
  <si>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</si>
  <si>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</si>
  <si>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</si>
  <si>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</si>
  <si>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</si>
  <si>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</si>
  <si>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</si>
  <si>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</si>
  <si>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</si>
  <si>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</si>
  <si>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</si>
  <si>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</si>
  <si>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</si>
  <si>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</si>
  <si>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</si>
  <si>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</si>
  <si>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</si>
  <si>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</si>
  <si>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</si>
  <si>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</si>
  <si>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</si>
  <si>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</si>
  <si>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</si>
  <si>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</si>
  <si>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</si>
  <si>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</si>
  <si>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</si>
  <si>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</si>
  <si>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</si>
  <si>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</si>
  <si>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</si>
  <si>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</si>
  <si>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</si>
  <si>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</si>
  <si>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</si>
  <si>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</si>
  <si>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</si>
  <si>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</si>
  <si>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</si>
  <si>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</si>
  <si>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</si>
  <si>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</si>
  <si>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</si>
  <si>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</si>
  <si>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</si>
  <si>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</si>
  <si>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</si>
  <si>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</si>
  <si>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</si>
  <si>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</si>
  <si>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</si>
  <si>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</si>
  <si>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</si>
  <si>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</si>
  <si>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</si>
  <si>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</si>
  <si>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</si>
  <si>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</si>
  <si>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</si>
  <si>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</si>
  <si>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</si>
  <si>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</si>
  <si>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</si>
  <si>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</si>
  <si>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</si>
  <si>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</si>
  <si>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</si>
  <si>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</si>
  <si>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</si>
  <si>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</si>
  <si>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</si>
  <si>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</si>
  <si>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</si>
  <si>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</si>
  <si>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</si>
  <si>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</si>
  <si>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</si>
  <si>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</si>
  <si>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</si>
  <si>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</si>
  <si>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</si>
  <si>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</si>
  <si>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</si>
  <si>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</si>
  <si>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</si>
  <si>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</si>
  <si>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</si>
  <si>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</si>
  <si>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</si>
  <si>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</si>
  <si>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</si>
  <si>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</si>
  <si>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</si>
  <si>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</si>
  <si>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</si>
  <si>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</si>
  <si>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</si>
  <si>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</si>
  <si>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</si>
  <si>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</si>
  <si>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</si>
  <si>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</si>
  <si>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</si>
  <si>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</si>
  <si>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</si>
  <si>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</si>
  <si>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</si>
  <si>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</si>
  <si>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</si>
  <si>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</si>
  <si>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</si>
  <si>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</si>
  <si>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</si>
  <si>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</si>
  <si>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</si>
  <si>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</si>
  <si>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</si>
  <si>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</si>
  <si>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</si>
  <si>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</si>
  <si>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</si>
  <si>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</si>
  <si>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</si>
  <si>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</si>
  <si>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</si>
  <si>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</si>
  <si>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</si>
  <si>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</si>
  <si>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</si>
  <si>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</si>
  <si>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</si>
  <si>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</si>
  <si>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</si>
  <si>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</si>
  <si>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</si>
  <si>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</si>
  <si>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</si>
  <si>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</si>
  <si>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</si>
  <si>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</si>
  <si>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</si>
  <si>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</si>
  <si>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</si>
  <si>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</si>
  <si>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</si>
  <si>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</si>
  <si>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</si>
  <si>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</si>
  <si>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</si>
  <si>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</si>
  <si>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</si>
  <si>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</si>
  <si>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</si>
  <si>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</si>
  <si>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</si>
  <si>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</si>
  <si>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</si>
  <si>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</si>
  <si>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</si>
  <si>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</si>
  <si>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</si>
  <si>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</si>
  <si>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</si>
  <si>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</si>
  <si>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</si>
  <si>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</si>
  <si>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</si>
  <si>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</si>
  <si>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</si>
  <si>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</si>
  <si>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</si>
  <si>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</si>
  <si>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</si>
  <si>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</si>
  <si>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</si>
  <si>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</si>
  <si>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</si>
  <si>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</si>
  <si>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</si>
  <si>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</si>
  <si>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</si>
  <si>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</si>
  <si>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</si>
  <si>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</si>
  <si>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</si>
  <si>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</si>
  <si>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</si>
  <si>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</si>
  <si>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</si>
  <si>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</si>
  <si>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</si>
  <si>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</si>
  <si>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</si>
  <si>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</si>
  <si>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</si>
  <si>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</si>
  <si>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</si>
  <si>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</si>
  <si>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</si>
  <si>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</si>
  <si>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</si>
  <si>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</si>
  <si>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</si>
  <si>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</si>
  <si>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</si>
  <si>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</si>
  <si>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</si>
  <si>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</si>
  <si>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</si>
  <si>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</si>
  <si>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</si>
  <si>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</si>
  <si>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</si>
  <si>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</si>
  <si>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</si>
  <si>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</si>
  <si>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</si>
  <si>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</si>
  <si>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</si>
  <si>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</si>
  <si>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</si>
  <si>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</si>
  <si>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</si>
  <si>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</si>
  <si>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</si>
  <si>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</si>
  <si>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</si>
  <si>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</si>
  <si>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</si>
  <si>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</si>
  <si>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</si>
  <si>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</si>
  <si>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</si>
  <si>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</si>
  <si>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</si>
  <si>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</si>
  <si>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</si>
  <si>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</si>
  <si>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</si>
  <si>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</si>
  <si>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</si>
  <si>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</si>
  <si>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</si>
  <si>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</si>
  <si>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</si>
  <si>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</si>
  <si>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</si>
  <si>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</si>
  <si>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</si>
  <si>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</si>
  <si>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</si>
  <si>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</si>
  <si>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</si>
  <si>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</si>
  <si>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</si>
  <si>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</si>
  <si>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</si>
  <si>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</si>
  <si>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</si>
  <si>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</si>
  <si>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</si>
  <si>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</si>
  <si>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</si>
  <si>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</si>
  <si>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</si>
  <si>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</si>
  <si>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</si>
  <si>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</si>
  <si>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</si>
  <si>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</si>
  <si>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</si>
  <si>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</si>
  <si>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</si>
  <si>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</si>
  <si>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</si>
  <si>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</si>
  <si>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</si>
  <si>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</si>
  <si>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</si>
  <si>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</si>
  <si>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</si>
  <si>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</si>
  <si>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</si>
  <si>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</si>
  <si>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</si>
  <si>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</si>
  <si>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</si>
  <si>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</si>
  <si>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</si>
  <si>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</si>
  <si>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</si>
  <si>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</si>
  <si>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</si>
  <si>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</si>
  <si>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</si>
  <si>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</si>
  <si>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</si>
  <si>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</si>
  <si>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</si>
  <si>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</si>
  <si>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</si>
  <si>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</si>
  <si>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</si>
  <si>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</si>
  <si>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</si>
  <si>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</si>
  <si>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</si>
  <si>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</si>
  <si>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</si>
  <si>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</si>
  <si>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</si>
  <si>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</si>
  <si>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</si>
  <si>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</si>
  <si>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</si>
  <si>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</si>
  <si>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</si>
  <si>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</si>
  <si>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</si>
  <si>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</si>
  <si>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</si>
  <si>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</si>
  <si>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</si>
  <si>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</si>
  <si>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</si>
  <si>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</si>
  <si>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</si>
  <si>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</si>
  <si>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</si>
  <si>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</si>
  <si>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</si>
  <si>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</si>
  <si>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</si>
  <si>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</si>
  <si>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</si>
  <si>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</si>
  <si>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</si>
  <si>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</si>
  <si>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</si>
  <si>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</si>
  <si>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</si>
  <si>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</si>
  <si>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</si>
  <si>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</si>
  <si>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</si>
  <si>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</si>
  <si>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</si>
  <si>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</si>
  <si>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</si>
  <si>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</si>
  <si>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</si>
  <si>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</si>
  <si>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</si>
  <si>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</si>
  <si>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</si>
  <si>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</si>
  <si>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</si>
  <si>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</si>
  <si>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</si>
  <si>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</si>
  <si>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</si>
  <si>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</si>
  <si>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</si>
  <si>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</si>
  <si>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</si>
  <si>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</si>
  <si>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</si>
  <si>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</si>
  <si>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</si>
  <si>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</si>
  <si>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</si>
  <si>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</si>
  <si>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</si>
  <si>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</si>
  <si>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</si>
  <si>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</si>
  <si>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</si>
  <si>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</si>
  <si>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</si>
  <si>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</si>
  <si>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</si>
  <si>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</si>
  <si>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</si>
  <si>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</si>
  <si>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</si>
  <si>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</si>
  <si>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</si>
  <si>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</si>
  <si>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</si>
  <si>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</si>
  <si>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</si>
  <si>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</si>
  <si>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</si>
  <si>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</si>
  <si>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</si>
  <si>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</si>
  <si>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</si>
  <si>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</si>
  <si>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</si>
  <si>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</si>
  <si>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</si>
  <si>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</si>
  <si>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</si>
  <si>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</si>
  <si>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</si>
  <si>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</si>
  <si>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</si>
  <si>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</si>
  <si>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</si>
  <si>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</si>
  <si>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</si>
  <si>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</si>
  <si>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</si>
  <si>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</si>
  <si>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</si>
  <si>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</si>
  <si>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</si>
  <si>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</si>
  <si>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</si>
  <si>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</si>
  <si>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</si>
  <si>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</si>
  <si>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</si>
  <si>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</si>
  <si>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</si>
  <si>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</si>
  <si>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</si>
  <si>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</si>
  <si>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</si>
  <si>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</si>
  <si>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</si>
  <si>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</si>
  <si>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</si>
  <si>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</si>
  <si>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</si>
  <si>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</si>
  <si>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</si>
  <si>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</si>
  <si>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</si>
  <si>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</si>
  <si>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</si>
  <si>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</si>
  <si>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</si>
  <si>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</si>
  <si>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</si>
  <si>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</si>
  <si>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</si>
  <si>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</si>
  <si>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</si>
  <si>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</si>
  <si>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</si>
  <si>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</si>
  <si>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</si>
  <si>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</si>
  <si>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</si>
  <si>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</si>
  <si>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</si>
  <si>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</si>
  <si>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</si>
  <si>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</si>
  <si>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</si>
  <si>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</si>
  <si>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</si>
  <si>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</si>
  <si>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</si>
  <si>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</si>
  <si>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</si>
  <si>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</si>
  <si>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</si>
  <si>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</si>
  <si>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</si>
  <si>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</si>
  <si>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</si>
  <si>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</si>
  <si>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</si>
  <si>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</si>
  <si>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</si>
  <si>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</si>
  <si>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</si>
  <si>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</si>
  <si>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</si>
  <si>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</si>
  <si>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</si>
  <si>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</si>
  <si>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</si>
  <si>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</si>
  <si>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</si>
  <si>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</si>
  <si>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</si>
  <si>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</si>
  <si>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</si>
  <si>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</si>
  <si>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</si>
  <si>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</si>
  <si>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</si>
  <si>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</si>
  <si>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</si>
  <si>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</si>
  <si>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</si>
  <si>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</si>
  <si>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</si>
  <si>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</si>
  <si>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</si>
  <si>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</si>
  <si>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</si>
  <si>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</si>
  <si>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</si>
  <si>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</si>
  <si>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</si>
  <si>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</si>
  <si>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</si>
  <si>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</si>
  <si>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</si>
  <si>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</si>
  <si>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</si>
  <si>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</si>
  <si>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</si>
  <si>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</si>
  <si>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</si>
  <si>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</si>
  <si>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</si>
  <si>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</si>
  <si>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</si>
  <si>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</si>
  <si>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</si>
  <si>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</si>
  <si>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</si>
  <si>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</si>
  <si>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</si>
  <si>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</si>
  <si>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</si>
  <si>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</si>
  <si>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</si>
  <si>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</si>
  <si>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</si>
  <si>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</si>
  <si>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</si>
  <si>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</si>
  <si>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</si>
  <si>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</si>
  <si>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</si>
  <si>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</si>
  <si>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</si>
  <si>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</si>
  <si>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</si>
  <si>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</si>
  <si>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</si>
  <si>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</si>
  <si>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</si>
  <si>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</si>
  <si>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</si>
  <si>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</si>
  <si>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</si>
  <si>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</si>
  <si>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</si>
  <si>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</si>
  <si>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</si>
  <si>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</si>
  <si>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</si>
  <si>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</si>
  <si>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</si>
  <si>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</si>
  <si>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</si>
  <si>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</si>
  <si>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</si>
  <si>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</si>
  <si>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</si>
  <si>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</si>
  <si>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</si>
  <si>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</si>
  <si>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</si>
  <si>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</si>
  <si>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</si>
  <si>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</si>
  <si>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</si>
  <si>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</si>
  <si>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</si>
  <si>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</si>
  <si>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</si>
  <si>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</si>
  <si>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</si>
  <si>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</si>
  <si>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</si>
  <si>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</si>
  <si>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</si>
  <si>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</si>
  <si>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</si>
  <si>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</si>
  <si>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</si>
  <si>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</si>
  <si>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</si>
  <si>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</si>
  <si>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</si>
  <si>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</si>
  <si>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</si>
  <si>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</si>
  <si>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</si>
  <si>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</si>
  <si>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</si>
  <si>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</si>
  <si>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</si>
  <si>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</si>
  <si>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</si>
  <si>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</si>
  <si>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</si>
  <si>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</si>
  <si>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</si>
  <si>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</si>
  <si>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</si>
  <si>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</si>
  <si>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</si>
  <si>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</si>
  <si>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</si>
  <si>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</si>
  <si>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</si>
  <si>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</si>
  <si>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</si>
  <si>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</si>
  <si>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</si>
  <si>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</si>
  <si>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</si>
  <si>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</si>
  <si>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</si>
  <si>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</si>
  <si>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</si>
  <si>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</si>
  <si>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</si>
  <si>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</si>
  <si>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</si>
  <si>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</si>
  <si>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</si>
  <si>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</si>
  <si>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</si>
  <si>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</si>
  <si>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</si>
  <si>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</si>
  <si>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</si>
  <si>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</si>
  <si>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</si>
  <si>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</si>
  <si>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</si>
  <si>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</si>
  <si>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</si>
  <si>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</si>
  <si>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</si>
  <si>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</si>
  <si>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</si>
  <si>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</si>
  <si>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</si>
  <si>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</si>
  <si>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</si>
  <si>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</si>
  <si>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</si>
  <si>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</si>
  <si>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</si>
  <si>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</si>
  <si>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</si>
  <si>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</si>
  <si>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</si>
  <si>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</si>
  <si>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</si>
  <si>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</si>
  <si>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</si>
  <si>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</si>
  <si>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</si>
  <si>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</si>
  <si>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</si>
  <si>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</si>
  <si>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</si>
  <si>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</si>
  <si>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</si>
  <si>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</si>
  <si>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</si>
  <si>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</si>
  <si>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</si>
  <si>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</si>
  <si>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</si>
  <si>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</si>
  <si>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</si>
  <si>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</si>
  <si>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</si>
  <si>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</si>
  <si>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</si>
  <si>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</si>
  <si>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</si>
  <si>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</si>
  <si>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</si>
  <si>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</si>
  <si>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</si>
  <si>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</si>
  <si>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</si>
  <si>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</si>
  <si>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</si>
  <si>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</si>
  <si>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</si>
  <si>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</si>
  <si>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</si>
  <si>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</si>
  <si>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</si>
  <si>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</si>
  <si>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</si>
  <si>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</si>
  <si>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</si>
  <si>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</si>
  <si>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</si>
  <si>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</si>
  <si>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</si>
  <si>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</si>
  <si>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</si>
  <si>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</si>
  <si>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</si>
  <si>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</si>
  <si>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</si>
  <si>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</si>
  <si>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</si>
  <si>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</si>
  <si>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</si>
  <si>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</si>
  <si>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</si>
  <si>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</si>
  <si>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</si>
  <si>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</si>
  <si>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</si>
  <si>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</si>
  <si>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</si>
  <si>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</si>
  <si>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</si>
  <si>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</si>
  <si>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</si>
  <si>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</si>
  <si>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</si>
  <si>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</si>
  <si>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</si>
  <si>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</si>
  <si>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</si>
  <si>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</si>
  <si>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</si>
  <si>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</si>
  <si>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</si>
  <si>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</si>
  <si>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</si>
  <si>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</si>
  <si>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</si>
  <si>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</si>
  <si>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</si>
  <si>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</si>
  <si>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</si>
  <si>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</si>
  <si>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</si>
  <si>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</si>
  <si>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</si>
  <si>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</si>
  <si>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</si>
  <si>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</si>
  <si>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</si>
  <si>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</si>
  <si>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</si>
  <si>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</si>
  <si>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</si>
  <si>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</si>
  <si>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</si>
  <si>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</si>
  <si>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</si>
  <si>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</si>
  <si>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</si>
  <si>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</si>
  <si>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</si>
  <si>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</si>
  <si>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</si>
  <si>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</si>
  <si>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</si>
  <si>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</si>
  <si>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</si>
  <si>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</si>
  <si>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</si>
  <si>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</si>
  <si>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</si>
  <si>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</si>
  <si>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</si>
  <si>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</si>
  <si>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</si>
  <si>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</si>
  <si>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</si>
  <si>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</si>
  <si>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</si>
  <si>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</si>
  <si>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</si>
  <si>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</si>
  <si>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</si>
  <si>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</si>
  <si>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</si>
  <si>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</si>
  <si>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</si>
  <si>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</si>
  <si>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</si>
  <si>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</si>
  <si>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</si>
  <si>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</si>
  <si>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</si>
  <si>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</si>
  <si>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</si>
  <si>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</si>
  <si>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</si>
  <si>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</si>
  <si>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</si>
  <si>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</si>
  <si>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</si>
  <si>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</si>
  <si>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</si>
  <si>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</si>
  <si>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</si>
  <si>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</si>
  <si>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</si>
  <si>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</si>
  <si>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</si>
  <si>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</si>
  <si>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</si>
  <si>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</si>
  <si>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</si>
  <si>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</si>
  <si>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</si>
  <si>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</si>
  <si>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</si>
  <si>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</si>
  <si>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</si>
  <si>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</si>
  <si>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</si>
  <si>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</si>
  <si>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</si>
  <si>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</si>
  <si>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</si>
  <si>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</si>
  <si>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</si>
  <si>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</si>
  <si>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</si>
  <si>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</si>
  <si>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</si>
  <si>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</si>
  <si>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</si>
  <si>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</si>
  <si>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</si>
  <si>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</si>
  <si>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</si>
  <si>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</si>
  <si>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</si>
  <si>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</si>
  <si>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</si>
  <si>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</si>
  <si>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</si>
  <si>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</si>
  <si>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</si>
  <si>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</si>
  <si>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</si>
  <si>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</si>
  <si>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</si>
  <si>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</si>
  <si>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</si>
  <si>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</si>
  <si>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</si>
  <si>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</si>
  <si>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</si>
  <si>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</si>
  <si>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</si>
  <si>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</si>
  <si>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</si>
  <si>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</si>
  <si>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</si>
  <si>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</si>
  <si>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</si>
  <si>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</si>
  <si>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</si>
  <si>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</si>
  <si>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</si>
  <si>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</si>
  <si>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</si>
  <si>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</si>
  <si>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</si>
  <si>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</si>
  <si>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</si>
  <si>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</si>
  <si>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</si>
  <si>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</si>
  <si>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</si>
  <si>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</si>
  <si>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</si>
  <si>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</si>
  <si>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</si>
  <si>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</si>
  <si>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</si>
  <si>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</si>
  <si>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</si>
  <si>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</si>
  <si>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</si>
  <si>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</si>
  <si>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</si>
  <si>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</si>
  <si>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</si>
  <si>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</si>
  <si>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</si>
  <si>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</si>
  <si>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</si>
  <si>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</si>
  <si>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</si>
  <si>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</si>
  <si>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</si>
  <si>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</si>
  <si>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</si>
  <si>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</si>
  <si>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</si>
  <si>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</si>
  <si>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</si>
  <si>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</si>
  <si>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</si>
  <si>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</si>
  <si>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</si>
  <si>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</si>
  <si>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</si>
  <si>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</si>
  <si>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</si>
  <si>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</si>
  <si>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</si>
  <si>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</si>
  <si>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</si>
  <si>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</si>
  <si>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</si>
  <si>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</si>
  <si>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</si>
  <si>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</si>
  <si>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</si>
  <si>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</si>
  <si>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</si>
  <si>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</si>
  <si>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</si>
  <si>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</si>
  <si>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</si>
  <si>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</si>
  <si>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</si>
  <si>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</si>
  <si>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</si>
  <si>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</si>
  <si>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</si>
  <si>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</si>
  <si>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</si>
  <si>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</si>
  <si>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</si>
  <si>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</si>
  <si>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</si>
  <si>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</si>
  <si>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</si>
  <si>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</si>
  <si>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</si>
  <si>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</si>
  <si>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</si>
  <si>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</si>
  <si>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</si>
  <si>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</si>
  <si>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</si>
  <si>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</si>
  <si>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</si>
  <si>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</si>
  <si>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</si>
  <si>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</si>
  <si>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</si>
  <si>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</si>
  <si>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</si>
  <si>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</si>
  <si>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</si>
  <si>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</si>
  <si>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</si>
  <si>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</si>
  <si>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</si>
  <si>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</si>
  <si>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</si>
  <si>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</si>
  <si>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</si>
  <si>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</si>
  <si>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</si>
  <si>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</si>
  <si>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</si>
  <si>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</si>
  <si>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</si>
  <si>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</si>
  <si>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</si>
  <si>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</si>
  <si>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</si>
  <si>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</si>
  <si>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</si>
  <si>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</si>
  <si>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</si>
  <si>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</si>
  <si>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</si>
  <si>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</si>
  <si>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</si>
  <si>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</si>
  <si>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</si>
  <si>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</si>
  <si>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</si>
  <si>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</si>
  <si>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</si>
  <si>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</si>
  <si>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</si>
  <si>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</si>
  <si>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</si>
  <si>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</si>
  <si>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</si>
  <si>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</si>
  <si>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</si>
  <si>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</si>
  <si>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</si>
  <si>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</si>
  <si>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</si>
  <si>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</si>
  <si>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</si>
  <si>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</si>
  <si>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</si>
  <si>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</si>
  <si>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</si>
  <si>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</si>
  <si>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</si>
  <si>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</si>
  <si>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</si>
  <si>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</si>
  <si>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</si>
  <si>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</si>
  <si>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</si>
  <si>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</si>
  <si>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</si>
  <si>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</si>
  <si>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</si>
  <si>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</si>
  <si>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</si>
  <si>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</si>
  <si>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</si>
  <si>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</si>
  <si>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</si>
  <si>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</si>
  <si>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</si>
  <si>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</si>
  <si>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</si>
  <si>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</si>
  <si>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</si>
  <si>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</si>
  <si>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</si>
  <si>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</si>
  <si>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</si>
  <si>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</si>
  <si>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</si>
  <si>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</si>
  <si>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</si>
  <si>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</si>
  <si>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</si>
  <si>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</si>
  <si>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</si>
  <si>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</si>
  <si>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</si>
  <si>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</si>
  <si>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</si>
  <si>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</si>
  <si>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</si>
  <si>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</si>
  <si>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</si>
  <si>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</si>
  <si>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</si>
  <si>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</si>
  <si>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</si>
  <si>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</si>
  <si>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</si>
  <si>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</si>
  <si>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</si>
  <si>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</si>
  <si>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</si>
  <si>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</si>
  <si>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</si>
  <si>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</si>
  <si>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</si>
  <si>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</si>
  <si>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</si>
  <si>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</si>
  <si>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</si>
  <si>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</si>
  <si>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</si>
  <si>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</si>
  <si>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</si>
  <si>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</si>
  <si>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</si>
  <si>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</si>
  <si>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</si>
  <si>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</si>
  <si>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</si>
  <si>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</si>
  <si>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</si>
  <si>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</si>
  <si>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</si>
  <si>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</si>
  <si>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</si>
  <si>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</si>
  <si>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</si>
  <si>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</si>
  <si>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</si>
  <si>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</si>
  <si>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</si>
  <si>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</si>
  <si>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</si>
  <si>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</si>
  <si>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</si>
  <si>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</si>
  <si>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</si>
  <si>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</si>
  <si>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</si>
  <si>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</si>
  <si>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</si>
  <si>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</si>
  <si>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</si>
  <si>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</si>
  <si>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</si>
  <si>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</si>
  <si>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</si>
  <si>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</si>
  <si>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</si>
  <si>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</si>
  <si>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</si>
  <si>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</si>
  <si>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</si>
  <si>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</si>
  <si>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</si>
  <si>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</si>
  <si>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</si>
  <si>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</si>
  <si>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</si>
  <si>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</si>
  <si>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</si>
  <si>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</si>
  <si>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</si>
  <si>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</si>
  <si>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</si>
  <si>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</si>
  <si>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</si>
  <si>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</si>
  <si>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</si>
  <si>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</si>
  <si>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</si>
  <si>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</si>
  <si>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</si>
  <si>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</si>
  <si>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</si>
  <si>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</si>
  <si>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</si>
  <si>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</si>
  <si>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</si>
  <si>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</si>
  <si>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</si>
  <si>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</si>
  <si>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</si>
  <si>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</si>
  <si>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</si>
  <si>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</si>
  <si>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</si>
  <si>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</si>
  <si>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</si>
  <si>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</si>
  <si>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</si>
  <si>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</si>
  <si>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</si>
  <si>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</si>
  <si>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</si>
  <si>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</si>
  <si>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</si>
  <si>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</si>
  <si>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</si>
  <si>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</si>
  <si>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</si>
  <si>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</si>
  <si>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</si>
  <si>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</si>
  <si>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</si>
  <si>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</si>
  <si>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</si>
  <si>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</si>
  <si>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</si>
  <si>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</si>
  <si>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</si>
  <si>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</si>
  <si>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</si>
  <si>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</si>
  <si>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</si>
  <si>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</si>
  <si>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</si>
  <si>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</si>
  <si>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</si>
  <si>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</si>
  <si>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</si>
  <si>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</si>
  <si>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</si>
  <si>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</si>
  <si>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</si>
  <si>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</si>
  <si>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</si>
  <si>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</si>
  <si>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</si>
  <si>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</si>
  <si>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</si>
  <si>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</si>
  <si>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</si>
  <si>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</si>
  <si>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</si>
  <si>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</si>
  <si>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</si>
  <si>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</si>
  <si>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</si>
  <si>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</si>
  <si>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</si>
  <si>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</si>
  <si>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</si>
  <si>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</si>
  <si>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</si>
  <si>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</si>
  <si>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</si>
  <si>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</si>
  <si>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</si>
  <si>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</si>
  <si>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</si>
  <si>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</si>
  <si>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</si>
  <si>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</si>
  <si>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</si>
  <si>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</si>
  <si>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</si>
  <si>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</si>
  <si>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</si>
  <si>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</si>
  <si>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</si>
  <si>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</si>
  <si>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</si>
  <si>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</si>
  <si>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</si>
  <si>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</si>
  <si>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</si>
  <si>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</si>
  <si>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</si>
  <si>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</si>
  <si>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</si>
  <si>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</si>
  <si>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</si>
  <si>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</si>
  <si>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</si>
  <si>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</si>
  <si>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</si>
  <si>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</si>
  <si>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</si>
  <si>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</si>
  <si>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</si>
  <si>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</si>
  <si>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</si>
  <si>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</si>
  <si>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</si>
  <si>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</si>
  <si>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</si>
  <si>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</si>
  <si>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</si>
  <si>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</si>
  <si>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</si>
  <si>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</si>
  <si>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</si>
  <si>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</si>
  <si>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</si>
  <si>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</si>
  <si>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</si>
  <si>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</si>
  <si>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</si>
  <si>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</si>
  <si>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</si>
  <si>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</si>
  <si>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</si>
  <si>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</si>
  <si>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</si>
  <si>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</si>
  <si>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</si>
  <si>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</si>
  <si>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</si>
  <si>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</si>
  <si>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</si>
  <si>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</si>
  <si>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</si>
  <si>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</si>
  <si>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</si>
  <si>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</si>
  <si>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</si>
  <si>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</si>
  <si>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</si>
  <si>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</si>
  <si>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</si>
  <si>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</si>
  <si>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</si>
  <si>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</si>
  <si>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</si>
  <si>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</si>
  <si>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</si>
  <si>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</si>
  <si>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</si>
  <si>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</si>
  <si>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</si>
  <si>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</si>
  <si>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</si>
  <si>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</si>
  <si>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</si>
  <si>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</si>
  <si>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</si>
  <si>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</si>
  <si>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</si>
  <si>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</si>
  <si>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</si>
  <si>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</si>
  <si>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</si>
  <si>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</si>
  <si>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</si>
  <si>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</si>
  <si>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</si>
  <si>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</si>
  <si>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</si>
  <si>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</si>
  <si>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</si>
  <si>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</si>
  <si>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</si>
  <si>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</si>
  <si>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</si>
  <si>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</si>
  <si>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</si>
  <si>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</si>
  <si>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</si>
  <si>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</si>
  <si>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</si>
  <si>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</si>
  <si>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</si>
  <si>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</si>
  <si>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</si>
  <si>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</si>
  <si>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</si>
  <si>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</si>
  <si>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</si>
  <si>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</si>
  <si>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</si>
  <si>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</si>
  <si>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</si>
  <si>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</si>
  <si>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</si>
  <si>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</si>
  <si>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</si>
  <si>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</si>
  <si>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</si>
  <si>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</si>
  <si>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</si>
  <si>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</si>
  <si>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</si>
  <si>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</si>
  <si>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</si>
  <si>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</si>
  <si>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</si>
  <si>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</si>
  <si>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</si>
  <si>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</si>
  <si>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</si>
  <si>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</si>
  <si>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</si>
  <si>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</si>
  <si>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</si>
  <si>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</si>
  <si>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</si>
  <si>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</si>
  <si>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</si>
  <si>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</si>
  <si>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</si>
  <si>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</si>
  <si>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</si>
  <si>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</si>
  <si>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</si>
  <si>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</si>
  <si>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</si>
  <si>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</si>
  <si>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</si>
  <si>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</si>
  <si>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</si>
  <si>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</si>
  <si>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</si>
  <si>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</si>
  <si>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</si>
  <si>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</si>
  <si>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</si>
  <si>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</si>
  <si>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</si>
  <si>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</si>
  <si>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</si>
  <si>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</si>
  <si>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</si>
  <si>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</si>
  <si>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</si>
  <si>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</si>
  <si>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</si>
  <si>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</si>
  <si>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</si>
  <si>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</si>
  <si>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</si>
  <si>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</si>
  <si>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</si>
  <si>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</si>
  <si>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</si>
  <si>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</si>
  <si>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</si>
  <si>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</si>
  <si>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</si>
  <si>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</si>
  <si>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</si>
  <si>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</si>
  <si>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</si>
  <si>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</si>
  <si>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</si>
  <si>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</si>
  <si>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</si>
  <si>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</si>
  <si>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</si>
  <si>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</si>
  <si>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</si>
  <si>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</si>
  <si>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</si>
  <si>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</si>
  <si>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</si>
  <si>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</si>
  <si>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</si>
  <si>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</si>
  <si>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</si>
  <si>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</si>
  <si>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</si>
  <si>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</si>
  <si>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</si>
  <si>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</si>
  <si>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</si>
  <si>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</si>
  <si>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</si>
  <si>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</si>
  <si>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</si>
  <si>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</si>
  <si>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</si>
  <si>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</si>
  <si>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</si>
  <si>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</si>
  <si>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</si>
  <si>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</si>
  <si>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</si>
  <si>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</si>
  <si>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</si>
  <si>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</si>
  <si>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</si>
  <si>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</si>
  <si>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</si>
  <si>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</si>
  <si>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</si>
  <si>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</si>
  <si>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</si>
  <si>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</si>
  <si>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</si>
  <si>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</si>
  <si>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</si>
  <si>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</si>
  <si>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</si>
  <si>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</si>
  <si>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</si>
  <si>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</si>
  <si>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</si>
  <si>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</si>
  <si>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</si>
  <si>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</si>
  <si>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</si>
  <si>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</si>
  <si>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</si>
  <si>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</si>
  <si>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</si>
  <si>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</si>
  <si>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</si>
  <si>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</si>
  <si>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</si>
  <si>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</si>
  <si>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</si>
  <si>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</si>
  <si>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</si>
  <si>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</si>
  <si>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</si>
  <si>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</si>
  <si>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</si>
  <si>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</si>
  <si>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</si>
  <si>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</si>
  <si>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</si>
  <si>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</si>
  <si>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</si>
  <si>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</si>
  <si>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</si>
  <si>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</si>
  <si>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</si>
  <si>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</si>
  <si>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</si>
  <si>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</si>
  <si>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</si>
  <si>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</si>
  <si>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</si>
  <si>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</si>
  <si>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</si>
  <si>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</si>
  <si>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</si>
  <si>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</si>
  <si>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</si>
  <si>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</si>
  <si>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</si>
  <si>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</si>
  <si>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</si>
  <si>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</si>
  <si>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</si>
  <si>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</si>
  <si>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</si>
  <si>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</si>
  <si>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</si>
  <si>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</si>
  <si>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</si>
  <si>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</si>
  <si>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</si>
  <si>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</si>
  <si>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</si>
  <si>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</si>
  <si>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</si>
  <si>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</si>
  <si>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</si>
  <si>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</si>
  <si>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</si>
  <si>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</si>
  <si>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</si>
  <si>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</si>
  <si>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</si>
  <si>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</si>
  <si>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</si>
  <si>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</si>
  <si>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</si>
  <si>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</si>
  <si>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</si>
  <si>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</si>
  <si>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</si>
  <si>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</si>
  <si>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</si>
  <si>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</si>
  <si>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</si>
  <si>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</si>
  <si>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</si>
  <si>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</si>
  <si>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</si>
  <si>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</si>
  <si>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</si>
  <si>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</si>
  <si>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</si>
  <si>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</si>
  <si>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</si>
  <si>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</si>
  <si>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</si>
  <si>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</si>
  <si>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</si>
  <si>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</si>
  <si>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</si>
  <si>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</si>
  <si>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</si>
  <si>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</si>
  <si>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</si>
  <si>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</si>
  <si>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</si>
  <si>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</si>
  <si>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</si>
  <si>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</si>
  <si>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</si>
  <si>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</si>
  <si>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</si>
  <si>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</si>
  <si>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</si>
  <si>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</si>
  <si>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</si>
  <si>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</si>
  <si>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</si>
  <si>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</si>
  <si>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</si>
  <si>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</si>
  <si>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</si>
  <si>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</si>
  <si>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</si>
  <si>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</si>
  <si>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</si>
  <si>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</si>
  <si>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</si>
  <si>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</si>
  <si>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</si>
  <si>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</si>
  <si>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</si>
  <si>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</si>
  <si>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</si>
  <si>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</si>
  <si>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</si>
  <si>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</si>
  <si>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</si>
  <si>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</si>
  <si>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</si>
  <si>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</si>
  <si>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</si>
  <si>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</si>
  <si>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</si>
  <si>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</si>
  <si>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</si>
  <si>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</si>
  <si>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</si>
  <si>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</si>
  <si>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</si>
  <si>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</si>
  <si>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</si>
  <si>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</si>
  <si>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</si>
  <si>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</si>
  <si>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</si>
  <si>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</si>
  <si>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</si>
  <si>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</si>
  <si>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</si>
  <si>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</si>
  <si>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</si>
  <si>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</si>
  <si>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</si>
  <si>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</si>
  <si>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</si>
  <si>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</si>
  <si>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</si>
  <si>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</si>
  <si>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</si>
  <si>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</si>
  <si>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</si>
  <si>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</si>
  <si>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</si>
  <si>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</si>
  <si>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</si>
  <si>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</si>
  <si>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</si>
  <si>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</si>
  <si>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</si>
  <si>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</si>
  <si>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</si>
  <si>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</si>
  <si>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</si>
  <si>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</si>
  <si>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</si>
  <si>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</si>
  <si>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</si>
  <si>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</si>
  <si>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</si>
  <si>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</si>
  <si>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</si>
  <si>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</si>
  <si>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</si>
  <si>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</si>
  <si>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</si>
  <si>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</si>
  <si>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</si>
  <si>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</si>
  <si>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</si>
  <si>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</si>
  <si>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</si>
  <si>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</si>
  <si>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</si>
  <si>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</si>
  <si>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</si>
  <si>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</si>
  <si>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</si>
  <si>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</si>
  <si>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</si>
  <si>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</si>
  <si>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</si>
  <si>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</si>
  <si>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</si>
  <si>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</si>
  <si>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</si>
  <si>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</si>
  <si>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</si>
  <si>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</si>
  <si>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</si>
  <si>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</si>
  <si>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</si>
  <si>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</si>
  <si>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</si>
  <si>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</si>
  <si>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</si>
  <si>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</si>
  <si>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</si>
  <si>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</si>
  <si>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</si>
  <si>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</si>
  <si>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</si>
  <si>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</si>
  <si>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</si>
  <si>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</si>
  <si>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</si>
  <si>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</si>
  <si>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</si>
  <si>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</si>
  <si>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</si>
  <si>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</si>
  <si>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</si>
  <si>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</si>
  <si>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</si>
  <si>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</si>
  <si>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</si>
  <si>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</si>
  <si>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</si>
  <si>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</si>
  <si>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</si>
  <si>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</si>
  <si>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</si>
  <si>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</si>
  <si>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</si>
  <si>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</si>
  <si>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</si>
  <si>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</si>
  <si>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</si>
  <si>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</si>
  <si>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</si>
  <si>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</si>
  <si>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</si>
  <si>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</si>
  <si>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</si>
  <si>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</si>
  <si>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</si>
  <si>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</si>
  <si>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</si>
  <si>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</si>
  <si>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</si>
  <si>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</si>
  <si>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</si>
  <si>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</si>
  <si>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</si>
  <si>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</si>
  <si>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</si>
  <si>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</si>
  <si>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</si>
  <si>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</si>
  <si>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</si>
  <si>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</si>
  <si>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</si>
  <si>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</si>
  <si>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</si>
  <si>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</si>
  <si>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</si>
  <si>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</si>
  <si>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</si>
  <si>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</si>
  <si>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</si>
  <si>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</si>
  <si>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</si>
  <si>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</si>
  <si>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</si>
  <si>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</si>
  <si>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</si>
  <si>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</si>
  <si>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</si>
  <si>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</si>
  <si>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</si>
  <si>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</si>
  <si>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</si>
  <si>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</si>
  <si>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</si>
  <si>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</si>
  <si>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</si>
  <si>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</si>
  <si>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</si>
  <si>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</si>
  <si>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</si>
  <si>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</si>
  <si>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</si>
  <si>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</si>
  <si>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</si>
  <si>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</si>
  <si>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</si>
  <si>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</si>
  <si>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</si>
  <si>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</si>
  <si>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</si>
  <si>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</si>
  <si>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</si>
  <si>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</si>
  <si>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</si>
  <si>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</si>
  <si>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</si>
  <si>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</si>
  <si>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</si>
  <si>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</si>
  <si>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</si>
  <si>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</si>
  <si>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</si>
  <si>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</si>
  <si>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</si>
  <si>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</si>
  <si>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</si>
  <si>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</si>
  <si>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</si>
  <si>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</si>
  <si>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</si>
  <si>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</si>
  <si>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</si>
  <si>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</si>
  <si>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</si>
  <si>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</si>
  <si>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</si>
  <si>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</si>
  <si>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</si>
  <si>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</si>
  <si>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</si>
  <si>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</si>
  <si>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</si>
  <si>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</si>
  <si>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</si>
  <si>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</si>
  <si>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</si>
  <si>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</si>
  <si>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</si>
  <si>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</si>
  <si>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</si>
  <si>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</si>
  <si>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</si>
  <si>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</si>
  <si>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</si>
  <si>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</si>
  <si>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</si>
  <si>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</si>
  <si>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</si>
  <si>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</si>
  <si>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</si>
  <si>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</si>
  <si>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</si>
  <si>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</si>
  <si>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</si>
  <si>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</si>
  <si>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</si>
  <si>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</si>
  <si>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</si>
  <si>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</si>
  <si>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</si>
  <si>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</si>
  <si>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</si>
  <si>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</si>
  <si>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</si>
  <si>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</si>
  <si>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</si>
  <si>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</si>
  <si>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</si>
  <si>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</si>
  <si>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</si>
  <si>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</si>
  <si>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</si>
  <si>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</si>
  <si>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</si>
  <si>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</si>
  <si>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</si>
  <si>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</si>
  <si>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</si>
  <si>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</si>
  <si>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</si>
  <si>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</si>
  <si>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</si>
  <si>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</si>
  <si>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</si>
  <si>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</si>
  <si>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</si>
  <si>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</si>
  <si>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</si>
  <si>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</si>
  <si>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</si>
  <si>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</si>
  <si>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</si>
  <si>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</si>
  <si>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</si>
  <si>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</si>
  <si>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</si>
  <si>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</si>
  <si>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</si>
  <si>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</si>
  <si>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</si>
  <si>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</si>
  <si>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</si>
  <si>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</si>
  <si>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</si>
  <si>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</si>
  <si>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</si>
  <si>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</si>
  <si>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</si>
  <si>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</si>
  <si>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</si>
  <si>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</si>
  <si>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</si>
  <si>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</si>
  <si>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</si>
  <si>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</si>
  <si>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</si>
  <si>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</si>
  <si>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</si>
  <si>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</si>
  <si>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</si>
  <si>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</si>
  <si>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</si>
  <si>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</si>
  <si>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</si>
  <si>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</si>
  <si>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</si>
  <si>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</si>
  <si>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</si>
  <si>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</si>
  <si>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</si>
  <si>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</si>
  <si>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</si>
  <si>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</si>
  <si>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</si>
  <si>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</si>
  <si>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</si>
  <si>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</si>
  <si>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</si>
  <si>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</si>
  <si>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</si>
  <si>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</si>
  <si>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</si>
  <si>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</si>
  <si>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</si>
  <si>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</si>
  <si>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</si>
  <si>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</si>
  <si>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</si>
  <si>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</si>
  <si>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</si>
  <si>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</si>
  <si>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</si>
  <si>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</si>
  <si>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</si>
  <si>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</si>
  <si>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</si>
  <si>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</si>
  <si>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</si>
  <si>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</si>
  <si>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</si>
  <si>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</si>
  <si>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</si>
  <si>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</si>
  <si>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</si>
  <si>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</si>
  <si>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</si>
  <si>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</si>
  <si>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</si>
  <si>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</si>
  <si>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</si>
  <si>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</si>
  <si>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</si>
  <si>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</si>
  <si>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</si>
  <si>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</si>
  <si>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</si>
  <si>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</si>
  <si>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</si>
  <si>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</si>
  <si>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</si>
  <si>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</si>
  <si>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</si>
  <si>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</si>
  <si>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</si>
  <si>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</si>
  <si>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</si>
  <si>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</si>
  <si>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</si>
  <si>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</si>
  <si>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</si>
  <si>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</si>
  <si>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</si>
  <si>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</si>
  <si>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</si>
  <si>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</si>
  <si>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</si>
  <si>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</si>
  <si>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</si>
  <si>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</si>
  <si>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</si>
  <si>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</si>
  <si>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</si>
  <si>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</si>
  <si>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</si>
  <si>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</si>
  <si>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</si>
  <si>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</si>
  <si>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</si>
  <si>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</si>
  <si>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</si>
  <si>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</si>
  <si>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</si>
  <si>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</si>
  <si>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</si>
  <si>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</si>
  <si>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</si>
  <si>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</si>
  <si>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</si>
  <si>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</si>
  <si>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</si>
  <si>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</si>
  <si>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</si>
  <si>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</si>
  <si>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</si>
  <si>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</si>
  <si>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</si>
  <si>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</si>
  <si>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</si>
  <si>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</si>
  <si>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</si>
  <si>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</si>
  <si>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</si>
  <si>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</si>
  <si>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</si>
  <si>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</si>
  <si>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</si>
  <si>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</si>
  <si>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</si>
  <si>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</si>
  <si>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</si>
  <si>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</si>
  <si>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</si>
  <si>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</si>
  <si>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</si>
  <si>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</si>
  <si>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</si>
  <si>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</si>
  <si>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</si>
  <si>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</si>
  <si>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</si>
  <si>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</si>
  <si>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</si>
  <si>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</si>
  <si>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</si>
  <si>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</si>
  <si>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</si>
  <si>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</si>
  <si>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</si>
  <si>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</si>
  <si>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</si>
  <si>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</si>
  <si>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</si>
  <si>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</si>
  <si>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</si>
  <si>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</si>
  <si>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</si>
  <si>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</si>
  <si>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</si>
  <si>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</si>
  <si>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</si>
  <si>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</si>
  <si>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</si>
  <si>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</si>
  <si>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</si>
  <si>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</si>
  <si>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</si>
  <si>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</si>
  <si>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</si>
  <si>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</si>
  <si>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</si>
  <si>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</si>
  <si>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</si>
  <si>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</si>
  <si>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</si>
  <si>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</si>
  <si>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</si>
  <si>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</si>
  <si>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</si>
  <si>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</si>
  <si>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</si>
  <si>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</si>
  <si>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</si>
  <si>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</si>
  <si>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</si>
  <si>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</si>
  <si>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</si>
  <si>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</si>
  <si>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</si>
  <si>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</si>
  <si>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</si>
  <si>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</si>
  <si>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</si>
  <si>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</si>
  <si>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</si>
  <si>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</si>
  <si>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</si>
  <si>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</si>
  <si>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</si>
  <si>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</si>
  <si>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</si>
  <si>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</si>
  <si>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</si>
  <si>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</si>
  <si>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</si>
  <si>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</si>
  <si>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</si>
  <si>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</si>
  <si>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</si>
  <si>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</si>
  <si>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</si>
  <si>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</si>
  <si>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</si>
  <si>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</si>
  <si>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</si>
  <si>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</si>
  <si>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</si>
  <si>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</si>
  <si>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</si>
  <si>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</si>
  <si>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</si>
  <si>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</si>
  <si>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</si>
  <si>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</si>
  <si>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</si>
  <si>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</si>
  <si>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</si>
  <si>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</si>
  <si>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</si>
  <si>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</si>
  <si>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</si>
  <si>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</si>
  <si>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</si>
  <si>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</si>
  <si>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</si>
  <si>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</si>
  <si>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</si>
  <si>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</si>
  <si>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</si>
  <si>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</si>
  <si>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</si>
  <si>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</si>
  <si>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</si>
  <si>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</si>
  <si>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</si>
  <si>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</si>
  <si>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</si>
  <si>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</si>
  <si>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</si>
  <si>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</si>
  <si>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</si>
  <si>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</si>
  <si>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</si>
  <si>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</si>
  <si>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</si>
  <si>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</si>
  <si>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</si>
  <si>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</si>
  <si>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</si>
  <si>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</si>
  <si>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</si>
  <si>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</si>
  <si>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</si>
  <si>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</si>
  <si>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</si>
  <si>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</si>
  <si>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</si>
  <si>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</si>
  <si>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</si>
  <si>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</si>
  <si>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</si>
  <si>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</si>
  <si>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</si>
  <si>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</si>
  <si>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</si>
  <si>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</si>
  <si>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</si>
  <si>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</si>
  <si>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</si>
  <si>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</si>
  <si>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</si>
  <si>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</si>
  <si>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</si>
  <si>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</si>
  <si>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</si>
  <si>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</si>
  <si>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</si>
  <si>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</si>
  <si>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</si>
  <si>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</si>
  <si>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</si>
  <si>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</si>
  <si>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</si>
  <si>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</si>
  <si>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</si>
  <si>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</si>
  <si>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</si>
  <si>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</si>
  <si>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</si>
  <si>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</si>
  <si>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</si>
  <si>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</si>
  <si>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</si>
  <si>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</si>
  <si>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</si>
  <si>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</si>
  <si>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</si>
  <si>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</si>
  <si>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</si>
  <si>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</si>
  <si>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</si>
  <si>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</si>
  <si>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</si>
  <si>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</si>
  <si>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</si>
  <si>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</si>
  <si>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</si>
  <si>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</si>
  <si>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</si>
  <si>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</si>
  <si>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</si>
  <si>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</si>
  <si>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</si>
  <si>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</si>
  <si>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</si>
  <si>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</si>
  <si>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</si>
  <si>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</si>
  <si>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</si>
  <si>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</si>
  <si>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</si>
  <si>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</si>
  <si>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</si>
  <si>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</si>
  <si>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</si>
  <si>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</si>
  <si>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</si>
  <si>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</si>
  <si>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</si>
  <si>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</si>
  <si>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</si>
  <si>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</si>
  <si>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</si>
  <si>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</si>
  <si>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</si>
  <si>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</si>
  <si>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</si>
  <si>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</si>
  <si>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</si>
  <si>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</si>
  <si>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</si>
  <si>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</si>
  <si>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</si>
  <si>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</si>
  <si>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</si>
  <si>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</si>
  <si>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</si>
  <si>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</si>
  <si>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</si>
  <si>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</si>
  <si>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</si>
  <si>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</si>
  <si>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</si>
  <si>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</si>
  <si>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</si>
  <si>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</si>
  <si>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</si>
  <si>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</si>
  <si>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</si>
  <si>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</si>
  <si>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</si>
  <si>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</si>
  <si>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</si>
  <si>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</si>
  <si>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</si>
  <si>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</si>
  <si>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</si>
  <si>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</si>
  <si>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</si>
  <si>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</si>
  <si>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</si>
  <si>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</si>
  <si>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</si>
  <si>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</si>
  <si>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</si>
  <si>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</si>
  <si>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</si>
  <si>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</si>
  <si>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</si>
  <si>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</si>
  <si>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</si>
  <si>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</si>
  <si>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</si>
  <si>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</si>
  <si>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</si>
  <si>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</si>
  <si>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</si>
  <si>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</si>
  <si>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</si>
  <si>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</si>
  <si>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</si>
  <si>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</si>
  <si>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</si>
  <si>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</si>
  <si>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</si>
  <si>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</si>
  <si>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</si>
  <si>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</si>
  <si>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</si>
  <si>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</si>
  <si>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</si>
  <si>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</si>
  <si>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</si>
  <si>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</si>
  <si>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</si>
  <si>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</si>
  <si>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</si>
  <si>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</si>
  <si>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</si>
  <si>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</si>
  <si>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</si>
  <si>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</si>
  <si>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</si>
  <si>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</si>
  <si>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</si>
  <si>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</si>
  <si>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</si>
  <si>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</si>
  <si>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</si>
  <si>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</si>
  <si>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</si>
  <si>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</si>
  <si>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</si>
  <si>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</si>
  <si>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</si>
  <si>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</si>
  <si>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</si>
  <si>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</si>
  <si>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</si>
  <si>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</si>
  <si>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</si>
  <si>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</si>
  <si>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</si>
  <si>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</si>
  <si>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</si>
  <si>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</si>
  <si>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</si>
  <si>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</si>
  <si>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</si>
  <si>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</si>
  <si>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</si>
  <si>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</si>
  <si>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</si>
  <si>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</si>
  <si>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</si>
  <si>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</si>
  <si>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</si>
  <si>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</si>
  <si>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</si>
  <si>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</si>
  <si>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</si>
  <si>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</si>
  <si>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</si>
  <si>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</si>
  <si>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</si>
  <si>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</si>
  <si>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</si>
  <si>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</si>
  <si>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</si>
  <si>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</si>
  <si>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</si>
  <si>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</si>
  <si>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</si>
  <si>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</si>
  <si>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</si>
  <si>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</si>
  <si>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</si>
  <si>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</si>
  <si>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</si>
  <si>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</si>
  <si>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</si>
  <si>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</si>
  <si>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</si>
  <si>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</si>
  <si>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</si>
  <si>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</si>
  <si>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</si>
  <si>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</si>
  <si>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</si>
  <si>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</si>
  <si>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</si>
  <si>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</si>
  <si>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</si>
  <si>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</si>
  <si>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</si>
  <si>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</si>
  <si>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</si>
  <si>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</si>
  <si>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</si>
  <si>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</si>
  <si>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</si>
  <si>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</si>
  <si>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</si>
  <si>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</si>
  <si>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</si>
  <si>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</si>
  <si>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</si>
  <si>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</si>
  <si>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</si>
  <si>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</si>
  <si>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</si>
  <si>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</si>
  <si>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</si>
  <si>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</si>
  <si>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</si>
  <si>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</si>
  <si>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</si>
  <si>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</si>
  <si>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</si>
  <si>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</si>
  <si>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</si>
  <si>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</si>
  <si>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</si>
  <si>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</si>
  <si>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</si>
  <si>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</si>
  <si>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</si>
  <si>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</si>
  <si>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</si>
  <si>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</si>
  <si>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</si>
  <si>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</si>
  <si>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</si>
  <si>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</si>
  <si>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</si>
  <si>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</si>
  <si>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</si>
  <si>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</si>
  <si>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</si>
  <si>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</si>
  <si>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</si>
  <si>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</si>
  <si>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</si>
  <si>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</si>
  <si>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</si>
  <si>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</si>
  <si>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</si>
  <si>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</si>
  <si>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</si>
  <si>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</si>
  <si>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</si>
  <si>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</si>
  <si>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</si>
  <si>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</si>
  <si>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</si>
  <si>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</si>
  <si>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</si>
  <si>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</si>
  <si>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</si>
  <si>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</si>
  <si>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</si>
  <si>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</si>
  <si>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</si>
  <si>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</si>
  <si>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</si>
  <si>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</si>
  <si>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</si>
  <si>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</si>
  <si>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</si>
  <si>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</si>
  <si>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</si>
  <si>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</si>
  <si>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</si>
  <si>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</si>
  <si>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</si>
  <si>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</si>
  <si>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</si>
  <si>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</si>
  <si>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</si>
  <si>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</si>
  <si>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</si>
  <si>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</si>
  <si>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</si>
  <si>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</si>
  <si>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</si>
  <si>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</si>
  <si>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</si>
  <si>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</si>
  <si>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</si>
  <si>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</si>
  <si>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</si>
  <si>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</si>
  <si>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</si>
  <si>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</si>
  <si>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</si>
  <si>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</si>
  <si>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</si>
  <si>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</si>
  <si>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</si>
  <si>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</si>
  <si>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</si>
  <si>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</si>
  <si>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</si>
  <si>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</si>
  <si>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</si>
  <si>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</si>
  <si>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</si>
  <si>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</si>
  <si>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</si>
  <si>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</si>
  <si>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</si>
  <si>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</si>
  <si>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</si>
  <si>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</si>
  <si>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</si>
  <si>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</si>
  <si>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</si>
  <si>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</si>
  <si>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</si>
  <si>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</si>
  <si>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</si>
  <si>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</si>
  <si>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</si>
  <si>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</si>
  <si>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</si>
  <si>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</si>
  <si>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</si>
  <si>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</si>
  <si>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</si>
  <si>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</si>
  <si>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</si>
  <si>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</si>
  <si>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</si>
  <si>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</si>
  <si>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</si>
  <si>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</si>
  <si>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</si>
  <si>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</si>
  <si>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</si>
  <si>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</si>
  <si>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</si>
  <si>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</si>
  <si>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</si>
  <si>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</si>
  <si>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</si>
  <si>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</si>
  <si>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</si>
  <si>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</si>
  <si>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</si>
  <si>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</si>
  <si>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</si>
  <si>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</si>
  <si>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</si>
  <si>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</si>
  <si>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</si>
  <si>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</si>
  <si>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</si>
  <si>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</si>
  <si>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</si>
  <si>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</si>
  <si>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</si>
  <si>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</si>
  <si>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</si>
  <si>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</si>
  <si>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2283</t>
  </si>
  <si>
    <t>2315</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</si>
  <si>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</si>
  <si>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</si>
  <si>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</si>
  <si>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</si>
  <si>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</si>
  <si>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</si>
  <si>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</si>
  <si>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</si>
  <si>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</si>
  <si>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</si>
  <si>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</si>
  <si>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</si>
  <si>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</si>
  <si>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</si>
  <si>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</si>
  <si>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</si>
  <si>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</si>
  <si>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</si>
  <si>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</si>
  <si>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</si>
  <si>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</si>
  <si>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</si>
  <si>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</si>
  <si>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</si>
  <si>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</si>
  <si>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</si>
  <si>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</si>
  <si>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</si>
  <si>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</si>
  <si>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</si>
  <si>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</si>
  <si>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</si>
  <si>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</si>
  <si>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</si>
  <si>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</si>
  <si>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</si>
  <si>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</si>
  <si>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</si>
  <si>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</si>
  <si>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</si>
  <si>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Given to noman engr of rsite expenses (Online by adeel)</t>
  </si>
  <si>
    <t>purchased cable tie by lateef duct</t>
  </si>
  <si>
    <t>VISA office</t>
  </si>
  <si>
    <t>purchased 10 tapes</t>
  </si>
  <si>
    <t>Paid for water tanker filled on 22 june 24</t>
  </si>
  <si>
    <t>Cash paid in adance (rec from new jubilee)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</si>
</sst>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8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5" fontId="56" fillId="0" borderId="22" xfId="0" applyNumberFormat="1" applyFont="1" applyFill="1" applyBorder="1" applyAlignment="1">
      <alignment horizontal="right" vertical="center" wrapText="1"/>
    </xf>
    <xf numFmtId="0" fontId="16" fillId="0" borderId="1" xfId="0" applyFont="1" applyFill="1" applyBorder="1"/>
    <xf numFmtId="0" fontId="16" fillId="0" borderId="1" xfId="0" applyFont="1" applyFill="1" applyBorder="1" applyAlignment="1">
      <alignment vertical="center"/>
    </xf>
    <xf numFmtId="0" fontId="12" fillId="0" borderId="1" xfId="0" applyFont="1" applyFill="1" applyBorder="1"/>
    <xf numFmtId="0" fontId="0" fillId="0" borderId="1" xfId="0" quotePrefix="1" applyFill="1" applyBorder="1" applyAlignment="1">
      <alignment horizontal="right" vertical="center" wrapText="1"/>
    </xf>
  </cellXfs>
  <cellStyles count="4">
    <cellStyle name="Comma" xfId="1" builtinId="3"/>
    <cellStyle name="Hyperlink" xfId="2" builtinId="8"/>
    <cellStyle name="Normal" xfId="0" builtinId="0"/>
    <cellStyle name="Percent" xfId="3" builtinId="5"/>
  </cellStyles>
  <dxfs count="1805">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3.55856435185" createdVersion="5" refreshedVersion="8" minRefreshableVersion="3" recordCount="20130" xr:uid="{00000000-000A-0000-FFFF-FFFF2E000000}">
  <cacheSource type="worksheet">
    <worksheetSource ref="A1:H20937" sheet="Posting"/>
  </cacheSource>
  <cacheFields count="8">
    <cacheField name="Date" numFmtId="0">
      <sharedItems containsDate="1" containsBlank="1" containsMixedTypes="1" minDate="2013-12-15T00:00:00" maxDate="2024-07-20T00:00:00" count="238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Azher Duct"/>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40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MCB chq 1973738917 SST Paid for the month of May 24 tot amt = 683,778"/>
        <s v="MCB chq 1973738919"/>
        <s v="MCB chq 1973738920"/>
        <s v="MCB chq 1973738922 chq amount = 107,000"/>
        <s v="MCB chq 1973738922 Sheet purchased j out let DML (deposit by abuzer)"/>
        <s v="Received O/M April 24 Bill"/>
        <s v="Received O/M May 23 Bill"/>
        <s v="received June 2024 bill"/>
        <s v="1% invoice charges for MCB chq # 1973738885 given to Universal traders care off Adeel Steel for SST inpt adjustment in NASTP Monthly payment"/>
        <s v="Received o/m bill for the month of June 24"/>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3.659088310182" createdVersion="5" refreshedVersion="8" minRefreshableVersion="3" recordCount="4213" xr:uid="{00000000-000A-0000-FFFF-FFFF2F000000}">
  <cacheSource type="worksheet">
    <worksheetSource ref="A1:H5597" sheet="Supplier"/>
  </cacheSource>
  <cacheFields count="8">
    <cacheField name="Date" numFmtId="0">
      <sharedItems containsNonDate="0" containsDate="1" containsString="0" containsBlank="1" minDate="2015-11-24T00:00:00" maxDate="2024-07-20T00:00:00" count="140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2T00:00:00"/>
        <d v="2024-06-26T00:00:00"/>
        <d v="2024-06-27T00:00:00"/>
        <d v="2024-06-29T00:00:00"/>
        <d v="2024-07-02T00:00:00"/>
        <d v="2024-07-04T00:00:00"/>
        <d v="2024-07-05T00:00:00"/>
        <d v="2024-07-06T00:00:00"/>
        <d v="2024-07-08T00:00:00"/>
        <d v="2024-07-09T00:00:00"/>
        <d v="2024-07-10T00:00:00"/>
        <d v="2024-07-12T00:00:00"/>
        <d v="2024-07-13T00:00:00"/>
        <d v="2024-07-15T00:00:00"/>
        <d v="2024-07-1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DHL office"/>
        <s v="CITI Bank"/>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3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7"/>
    <x v="116"/>
    <x v="278"/>
    <x v="10238"/>
    <n v="20000"/>
    <m/>
    <n v="-20000"/>
    <x v="116"/>
  </r>
  <r>
    <x v="2268"/>
    <x v="112"/>
    <x v="474"/>
    <x v="898"/>
    <n v="3200"/>
    <m/>
    <n v="-3200"/>
    <x v="116"/>
  </r>
  <r>
    <x v="2268"/>
    <x v="112"/>
    <x v="278"/>
    <x v="10239"/>
    <n v="7050"/>
    <m/>
    <n v="-7050"/>
    <x v="116"/>
  </r>
  <r>
    <x v="2268"/>
    <x v="4"/>
    <x v="4"/>
    <x v="8114"/>
    <n v="3000"/>
    <m/>
    <n v="-3000"/>
    <x v="116"/>
  </r>
  <r>
    <x v="2268"/>
    <x v="4"/>
    <x v="278"/>
    <x v="10240"/>
    <n v="4280"/>
    <m/>
    <n v="-4280"/>
    <x v="116"/>
  </r>
  <r>
    <x v="2268"/>
    <x v="112"/>
    <x v="851"/>
    <x v="10241"/>
    <n v="30000"/>
    <m/>
    <n v="-30000"/>
    <x v="116"/>
  </r>
  <r>
    <x v="2268"/>
    <x v="100"/>
    <x v="851"/>
    <x v="10241"/>
    <n v="30000"/>
    <m/>
    <n v="-30000"/>
    <x v="116"/>
  </r>
  <r>
    <x v="2268"/>
    <x v="94"/>
    <x v="634"/>
    <x v="10242"/>
    <n v="44000"/>
    <m/>
    <n v="-44000"/>
    <x v="116"/>
  </r>
  <r>
    <x v="2268"/>
    <x v="100"/>
    <x v="285"/>
    <x v="7872"/>
    <n v="500"/>
    <m/>
    <n v="-500"/>
    <x v="116"/>
  </r>
  <r>
    <x v="2268"/>
    <x v="4"/>
    <x v="4"/>
    <x v="8114"/>
    <n v="4000"/>
    <m/>
    <n v="-4000"/>
    <x v="116"/>
  </r>
  <r>
    <x v="2268"/>
    <x v="100"/>
    <x v="548"/>
    <x v="10243"/>
    <n v="500000"/>
    <m/>
    <n v="-500000"/>
    <x v="116"/>
  </r>
  <r>
    <x v="2269"/>
    <x v="115"/>
    <x v="465"/>
    <x v="898"/>
    <n v="10000"/>
    <m/>
    <n v="-10000"/>
    <x v="116"/>
  </r>
  <r>
    <x v="2269"/>
    <x v="115"/>
    <x v="278"/>
    <x v="10244"/>
    <n v="118000"/>
    <m/>
    <n v="-118000"/>
    <x v="116"/>
  </r>
  <r>
    <x v="2269"/>
    <x v="116"/>
    <x v="474"/>
    <x v="898"/>
    <n v="1800"/>
    <m/>
    <n v="-1800"/>
    <x v="116"/>
  </r>
  <r>
    <x v="2269"/>
    <x v="114"/>
    <x v="278"/>
    <x v="10245"/>
    <n v="1750"/>
    <m/>
    <n v="-1750"/>
    <x v="116"/>
  </r>
  <r>
    <x v="2269"/>
    <x v="94"/>
    <x v="278"/>
    <x v="10246"/>
    <n v="6500"/>
    <m/>
    <n v="-6500"/>
    <x v="116"/>
  </r>
  <r>
    <x v="2269"/>
    <x v="4"/>
    <x v="4"/>
    <x v="8114"/>
    <n v="4000"/>
    <m/>
    <n v="-4000"/>
    <x v="116"/>
  </r>
  <r>
    <x v="2269"/>
    <x v="79"/>
    <x v="816"/>
    <x v="10247"/>
    <n v="245000"/>
    <m/>
    <n v="-245000"/>
    <x v="116"/>
  </r>
  <r>
    <x v="2269"/>
    <x v="91"/>
    <x v="822"/>
    <x v="10248"/>
    <n v="400000"/>
    <m/>
    <n v="-400000"/>
    <x v="116"/>
  </r>
  <r>
    <x v="2270"/>
    <x v="91"/>
    <x v="644"/>
    <x v="10249"/>
    <n v="54293"/>
    <m/>
    <n v="-54293"/>
    <x v="116"/>
  </r>
  <r>
    <x v="2270"/>
    <x v="94"/>
    <x v="644"/>
    <x v="10249"/>
    <n v="214017"/>
    <m/>
    <n v="-214017"/>
    <x v="116"/>
  </r>
  <r>
    <x v="2270"/>
    <x v="97"/>
    <x v="644"/>
    <x v="10249"/>
    <n v="231690"/>
    <m/>
    <n v="-231690"/>
    <x v="116"/>
  </r>
  <r>
    <x v="2270"/>
    <x v="104"/>
    <x v="844"/>
    <x v="10250"/>
    <n v="87880"/>
    <m/>
    <n v="-87880"/>
    <x v="116"/>
  </r>
  <r>
    <x v="2270"/>
    <x v="112"/>
    <x v="844"/>
    <x v="10250"/>
    <n v="87880"/>
    <m/>
    <n v="-87880"/>
    <x v="116"/>
  </r>
  <r>
    <x v="2270"/>
    <x v="94"/>
    <x v="634"/>
    <x v="10251"/>
    <n v="11000"/>
    <m/>
    <n v="-11000"/>
    <x v="116"/>
  </r>
  <r>
    <x v="2270"/>
    <x v="100"/>
    <x v="634"/>
    <x v="10251"/>
    <n v="11500"/>
    <m/>
    <n v="-11500"/>
    <x v="116"/>
  </r>
  <r>
    <x v="2270"/>
    <x v="94"/>
    <x v="687"/>
    <x v="10252"/>
    <n v="4600"/>
    <m/>
    <n v="-4600"/>
    <x v="116"/>
  </r>
  <r>
    <x v="2270"/>
    <x v="112"/>
    <x v="687"/>
    <x v="10252"/>
    <n v="78900"/>
    <m/>
    <n v="-78900"/>
    <x v="116"/>
  </r>
  <r>
    <x v="2270"/>
    <x v="77"/>
    <x v="592"/>
    <x v="10253"/>
    <n v="43900"/>
    <m/>
    <n v="-43900"/>
    <x v="116"/>
  </r>
  <r>
    <x v="2270"/>
    <x v="65"/>
    <x v="592"/>
    <x v="10253"/>
    <n v="33559"/>
    <m/>
    <n v="-33559"/>
    <x v="116"/>
  </r>
  <r>
    <x v="2270"/>
    <x v="84"/>
    <x v="592"/>
    <x v="10253"/>
    <n v="93755"/>
    <m/>
    <n v="-93755"/>
    <x v="116"/>
  </r>
  <r>
    <x v="2270"/>
    <x v="79"/>
    <x v="592"/>
    <x v="10253"/>
    <n v="22780"/>
    <m/>
    <n v="-22780"/>
    <x v="116"/>
  </r>
  <r>
    <x v="2270"/>
    <x v="94"/>
    <x v="592"/>
    <x v="10253"/>
    <n v="306006"/>
    <m/>
    <n v="-306006"/>
    <x v="116"/>
  </r>
  <r>
    <x v="2270"/>
    <x v="23"/>
    <x v="518"/>
    <x v="10254"/>
    <n v="100000"/>
    <m/>
    <n v="-100000"/>
    <x v="116"/>
  </r>
  <r>
    <x v="2270"/>
    <x v="116"/>
    <x v="278"/>
    <x v="10255"/>
    <n v="15500"/>
    <m/>
    <n v="-15500"/>
    <x v="116"/>
  </r>
  <r>
    <x v="2270"/>
    <x v="4"/>
    <x v="4"/>
    <x v="8114"/>
    <n v="4000"/>
    <m/>
    <n v="-4000"/>
    <x v="116"/>
  </r>
  <r>
    <x v="2270"/>
    <x v="116"/>
    <x v="278"/>
    <x v="2251"/>
    <n v="1936"/>
    <m/>
    <n v="-1936"/>
    <x v="116"/>
  </r>
  <r>
    <x v="2270"/>
    <x v="23"/>
    <x v="278"/>
    <x v="10256"/>
    <n v="10000"/>
    <m/>
    <n v="-10000"/>
    <x v="116"/>
  </r>
  <r>
    <x v="2270"/>
    <x v="23"/>
    <x v="474"/>
    <x v="233"/>
    <n v="1000"/>
    <m/>
    <n v="-1000"/>
    <x v="116"/>
  </r>
  <r>
    <x v="2270"/>
    <x v="116"/>
    <x v="474"/>
    <x v="233"/>
    <n v="500"/>
    <m/>
    <n v="-500"/>
    <x v="116"/>
  </r>
  <r>
    <x v="2270"/>
    <x v="116"/>
    <x v="285"/>
    <x v="10257"/>
    <n v="1000"/>
    <m/>
    <n v="-1000"/>
    <x v="116"/>
  </r>
  <r>
    <x v="2271"/>
    <x v="100"/>
    <x v="474"/>
    <x v="898"/>
    <n v="1000"/>
    <m/>
    <n v="-1000"/>
    <x v="116"/>
  </r>
  <r>
    <x v="2271"/>
    <x v="91"/>
    <x v="852"/>
    <x v="10258"/>
    <n v="25000"/>
    <m/>
    <n v="-25000"/>
    <x v="116"/>
  </r>
  <r>
    <x v="2271"/>
    <x v="91"/>
    <x v="2"/>
    <x v="10259"/>
    <n v="5000"/>
    <m/>
    <n v="-5000"/>
    <x v="116"/>
  </r>
  <r>
    <x v="2271"/>
    <x v="73"/>
    <x v="474"/>
    <x v="10260"/>
    <n v="5500"/>
    <m/>
    <n v="-5500"/>
    <x v="116"/>
  </r>
  <r>
    <x v="2271"/>
    <x v="98"/>
    <x v="442"/>
    <x v="10261"/>
    <n v="107000"/>
    <m/>
    <n v="-107000"/>
    <x v="116"/>
  </r>
  <r>
    <x v="2271"/>
    <x v="116"/>
    <x v="278"/>
    <x v="10262"/>
    <n v="20190"/>
    <m/>
    <n v="-20190"/>
    <x v="116"/>
  </r>
  <r>
    <x v="2271"/>
    <x v="98"/>
    <x v="278"/>
    <x v="10262"/>
    <n v="39570"/>
    <m/>
    <n v="-39570"/>
    <x v="116"/>
  </r>
  <r>
    <x v="2271"/>
    <x v="98"/>
    <x v="278"/>
    <x v="10262"/>
    <n v="41265"/>
    <m/>
    <n v="-41265"/>
    <x v="116"/>
  </r>
  <r>
    <x v="2271"/>
    <x v="98"/>
    <x v="278"/>
    <x v="10262"/>
    <n v="78619"/>
    <m/>
    <n v="-78619"/>
    <x v="116"/>
  </r>
  <r>
    <x v="2271"/>
    <x v="98"/>
    <x v="278"/>
    <x v="10262"/>
    <n v="46130"/>
    <m/>
    <n v="-46130"/>
    <x v="116"/>
  </r>
  <r>
    <x v="2271"/>
    <x v="98"/>
    <x v="442"/>
    <x v="4266"/>
    <n v="54000"/>
    <m/>
    <n v="-54000"/>
    <x v="116"/>
  </r>
  <r>
    <x v="2271"/>
    <x v="65"/>
    <x v="145"/>
    <x v="10263"/>
    <n v="100000"/>
    <m/>
    <n v="-100000"/>
    <x v="116"/>
  </r>
  <r>
    <x v="2271"/>
    <x v="100"/>
    <x v="145"/>
    <x v="10263"/>
    <n v="200000"/>
    <m/>
    <n v="-200000"/>
    <x v="116"/>
  </r>
  <r>
    <x v="2271"/>
    <x v="91"/>
    <x v="278"/>
    <x v="10264"/>
    <n v="1200"/>
    <m/>
    <n v="-1200"/>
    <x v="116"/>
  </r>
  <r>
    <x v="2271"/>
    <x v="4"/>
    <x v="4"/>
    <x v="8114"/>
    <n v="5000"/>
    <m/>
    <n v="-5000"/>
    <x v="116"/>
  </r>
  <r>
    <x v="2271"/>
    <x v="114"/>
    <x v="474"/>
    <x v="233"/>
    <n v="5500"/>
    <m/>
    <n v="-5500"/>
    <x v="116"/>
  </r>
  <r>
    <x v="2271"/>
    <x v="23"/>
    <x v="2"/>
    <x v="10265"/>
    <n v="50000"/>
    <m/>
    <n v="-50000"/>
    <x v="116"/>
  </r>
  <r>
    <x v="2271"/>
    <x v="23"/>
    <x v="583"/>
    <x v="10266"/>
    <n v="40000"/>
    <m/>
    <n v="-40000"/>
    <x v="116"/>
  </r>
  <r>
    <x v="2271"/>
    <x v="114"/>
    <x v="278"/>
    <x v="10267"/>
    <n v="10000"/>
    <m/>
    <n v="-10000"/>
    <x v="116"/>
  </r>
  <r>
    <x v="2253"/>
    <x v="91"/>
    <x v="822"/>
    <x v="10268"/>
    <n v="400000"/>
    <m/>
    <n v="-400000"/>
    <x v="116"/>
  </r>
  <r>
    <x v="2253"/>
    <x v="91"/>
    <x v="822"/>
    <x v="10269"/>
    <n v="400000"/>
    <m/>
    <n v="-400000"/>
    <x v="116"/>
  </r>
  <r>
    <x v="2254"/>
    <x v="112"/>
    <x v="853"/>
    <x v="10270"/>
    <n v="1458946"/>
    <m/>
    <n v="-1458946"/>
    <x v="116"/>
  </r>
  <r>
    <x v="2255"/>
    <x v="98"/>
    <x v="278"/>
    <x v="10271"/>
    <n v="105000"/>
    <m/>
    <n v="-105000"/>
    <x v="116"/>
  </r>
  <r>
    <x v="2255"/>
    <x v="100"/>
    <x v="417"/>
    <x v="10272"/>
    <n v="1056979"/>
    <m/>
    <n v="-1056979"/>
    <x v="116"/>
  </r>
  <r>
    <x v="2256"/>
    <x v="115"/>
    <x v="89"/>
    <x v="10273"/>
    <n v="1056979"/>
    <m/>
    <n v="-1056979"/>
    <x v="116"/>
  </r>
  <r>
    <x v="2256"/>
    <x v="100"/>
    <x v="619"/>
    <x v="10274"/>
    <n v="1056979"/>
    <m/>
    <n v="-1056979"/>
    <x v="116"/>
  </r>
  <r>
    <x v="2256"/>
    <x v="100"/>
    <x v="619"/>
    <x v="10274"/>
    <n v="1056979"/>
    <m/>
    <n v="-1056979"/>
    <x v="116"/>
  </r>
  <r>
    <x v="2256"/>
    <x v="100"/>
    <x v="619"/>
    <x v="10275"/>
    <n v="700000"/>
    <m/>
    <n v="-700000"/>
    <x v="116"/>
  </r>
  <r>
    <x v="2256"/>
    <x v="100"/>
    <x v="619"/>
    <x v="10275"/>
    <n v="770000"/>
    <m/>
    <n v="-770000"/>
    <x v="116"/>
  </r>
  <r>
    <x v="2256"/>
    <x v="100"/>
    <x v="619"/>
    <x v="10275"/>
    <n v="525000"/>
    <m/>
    <n v="-525000"/>
    <x v="116"/>
  </r>
  <r>
    <x v="2263"/>
    <x v="112"/>
    <x v="389"/>
    <x v="10276"/>
    <n v="178564"/>
    <m/>
    <n v="-178564"/>
    <x v="116"/>
  </r>
  <r>
    <x v="2268"/>
    <x v="112"/>
    <x v="340"/>
    <x v="10277"/>
    <n v="177832"/>
    <m/>
    <n v="-177832"/>
    <x v="116"/>
  </r>
  <r>
    <x v="2268"/>
    <x v="112"/>
    <x v="389"/>
    <x v="10278"/>
    <n v="385878"/>
    <m/>
    <n v="-385878"/>
    <x v="116"/>
  </r>
  <r>
    <x v="2270"/>
    <x v="112"/>
    <x v="389"/>
    <x v="10279"/>
    <n v="1910384"/>
    <m/>
    <n v="-1910384"/>
    <x v="116"/>
  </r>
  <r>
    <x v="2249"/>
    <x v="91"/>
    <x v="97"/>
    <x v="10280"/>
    <m/>
    <n v="3456382"/>
    <n v="3456382"/>
    <x v="116"/>
  </r>
  <r>
    <x v="2253"/>
    <x v="73"/>
    <x v="97"/>
    <x v="10275"/>
    <m/>
    <n v="700000"/>
    <n v="700000"/>
    <x v="116"/>
  </r>
  <r>
    <x v="2253"/>
    <x v="73"/>
    <x v="97"/>
    <x v="10275"/>
    <m/>
    <n v="770000"/>
    <n v="770000"/>
    <x v="116"/>
  </r>
  <r>
    <x v="2253"/>
    <x v="73"/>
    <x v="97"/>
    <x v="10275"/>
    <m/>
    <n v="525000"/>
    <n v="525000"/>
    <x v="116"/>
  </r>
  <r>
    <x v="2253"/>
    <x v="105"/>
    <x v="97"/>
    <x v="10272"/>
    <m/>
    <n v="1056979"/>
    <n v="1056979"/>
    <x v="116"/>
  </r>
  <r>
    <x v="2253"/>
    <x v="105"/>
    <x v="97"/>
    <x v="10281"/>
    <m/>
    <n v="1056979"/>
    <n v="1056979"/>
    <x v="116"/>
  </r>
  <r>
    <x v="2253"/>
    <x v="105"/>
    <x v="97"/>
    <x v="10274"/>
    <m/>
    <n v="1056979"/>
    <n v="1056979"/>
    <x v="116"/>
  </r>
  <r>
    <x v="2253"/>
    <x v="105"/>
    <x v="97"/>
    <x v="10274"/>
    <m/>
    <n v="1056979"/>
    <n v="1056979"/>
    <x v="116"/>
  </r>
  <r>
    <x v="2254"/>
    <x v="79"/>
    <x v="97"/>
    <x v="10282"/>
    <m/>
    <n v="1458946"/>
    <n v="1458946"/>
    <x v="116"/>
  </r>
  <r>
    <x v="2254"/>
    <x v="98"/>
    <x v="97"/>
    <x v="10283"/>
    <m/>
    <n v="10666429"/>
    <n v="10666429"/>
    <x v="116"/>
  </r>
  <r>
    <x v="2256"/>
    <x v="79"/>
    <x v="97"/>
    <x v="10284"/>
    <m/>
    <n v="986074"/>
    <n v="986074"/>
    <x v="116"/>
  </r>
  <r>
    <x v="2256"/>
    <x v="65"/>
    <x v="97"/>
    <x v="10284"/>
    <m/>
    <n v="13926"/>
    <n v="13926"/>
    <x v="116"/>
  </r>
  <r>
    <x v="2264"/>
    <x v="23"/>
    <x v="97"/>
    <x v="10285"/>
    <m/>
    <n v="359992"/>
    <n v="359992"/>
    <x v="116"/>
  </r>
  <r>
    <x v="2266"/>
    <x v="5"/>
    <x v="97"/>
    <x v="9967"/>
    <m/>
    <n v="250000"/>
    <n v="250000"/>
    <x v="116"/>
  </r>
  <r>
    <x v="2267"/>
    <x v="65"/>
    <x v="97"/>
    <x v="10286"/>
    <m/>
    <n v="2000000"/>
    <n v="2000000"/>
    <x v="116"/>
  </r>
  <r>
    <x v="2268"/>
    <x v="112"/>
    <x v="97"/>
    <x v="10287"/>
    <m/>
    <n v="6619389"/>
    <n v="6619389"/>
    <x v="116"/>
  </r>
  <r>
    <x v="2268"/>
    <x v="112"/>
    <x v="97"/>
    <x v="9184"/>
    <n v="66000"/>
    <m/>
    <n v="-66000"/>
    <x v="116"/>
  </r>
  <r>
    <x v="2269"/>
    <x v="84"/>
    <x v="97"/>
    <x v="10288"/>
    <m/>
    <n v="1402277"/>
    <n v="1402277"/>
    <x v="116"/>
  </r>
  <r>
    <x v="2269"/>
    <x v="91"/>
    <x v="97"/>
    <x v="10289"/>
    <m/>
    <n v="1904728.8212000001"/>
    <n v="1904728.8212000001"/>
    <x v="116"/>
  </r>
  <r>
    <x v="2269"/>
    <x v="117"/>
    <x v="97"/>
    <x v="10290"/>
    <m/>
    <n v="1421846"/>
    <n v="1421846"/>
    <x v="116"/>
  </r>
  <r>
    <x v="2269"/>
    <x v="117"/>
    <x v="97"/>
    <x v="9184"/>
    <n v="14000"/>
    <m/>
    <n v="-14000"/>
    <x v="116"/>
  </r>
  <r>
    <x v="2269"/>
    <x v="1"/>
    <x v="97"/>
    <x v="10291"/>
    <m/>
    <n v="246087"/>
    <n v="246087"/>
    <x v="116"/>
  </r>
  <r>
    <x v="2269"/>
    <x v="94"/>
    <x v="97"/>
    <x v="10292"/>
    <m/>
    <n v="10400000"/>
    <n v="10400000"/>
    <x v="116"/>
  </r>
  <r>
    <x v="2272"/>
    <x v="4"/>
    <x v="43"/>
    <x v="10293"/>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4"/>
    <n v="20000"/>
    <m/>
    <n v="-20000"/>
    <x v="98"/>
  </r>
  <r>
    <x v="2272"/>
    <x v="4"/>
    <x v="43"/>
    <x v="10295"/>
    <n v="153500"/>
    <m/>
    <n v="-153500"/>
    <x v="98"/>
  </r>
  <r>
    <x v="2273"/>
    <x v="1"/>
    <x v="43"/>
    <x v="6874"/>
    <n v="181737.5"/>
    <m/>
    <n v="-181737.5"/>
    <x v="98"/>
  </r>
  <r>
    <x v="2273"/>
    <x v="100"/>
    <x v="43"/>
    <x v="10296"/>
    <n v="204043"/>
    <m/>
    <n v="-204043"/>
    <x v="98"/>
  </r>
  <r>
    <x v="2274"/>
    <x v="91"/>
    <x v="43"/>
    <x v="9522"/>
    <n v="877970.83333333314"/>
    <m/>
    <n v="-877970.83333333314"/>
    <x v="98"/>
  </r>
  <r>
    <x v="2274"/>
    <x v="118"/>
    <x v="43"/>
    <x v="10297"/>
    <n v="126000"/>
    <m/>
    <n v="-126000"/>
    <x v="98"/>
  </r>
  <r>
    <x v="2274"/>
    <x v="98"/>
    <x v="43"/>
    <x v="5437"/>
    <n v="53333"/>
    <m/>
    <n v="-53333"/>
    <x v="98"/>
  </r>
  <r>
    <x v="2274"/>
    <x v="73"/>
    <x v="43"/>
    <x v="7775"/>
    <n v="61500"/>
    <m/>
    <n v="-61500"/>
    <x v="98"/>
  </r>
  <r>
    <x v="2274"/>
    <x v="98"/>
    <x v="43"/>
    <x v="10298"/>
    <n v="84790"/>
    <m/>
    <n v="-84790"/>
    <x v="98"/>
  </r>
  <r>
    <x v="2275"/>
    <x v="23"/>
    <x v="43"/>
    <x v="9227"/>
    <n v="148664.58333333334"/>
    <m/>
    <n v="-148664.58333333334"/>
    <x v="98"/>
  </r>
  <r>
    <x v="2275"/>
    <x v="4"/>
    <x v="43"/>
    <x v="10299"/>
    <n v="143066.66666666666"/>
    <m/>
    <n v="-143066.66666666666"/>
    <x v="98"/>
  </r>
  <r>
    <x v="2276"/>
    <x v="22"/>
    <x v="43"/>
    <x v="8535"/>
    <n v="165810"/>
    <m/>
    <n v="-165810"/>
    <x v="98"/>
  </r>
  <r>
    <x v="2276"/>
    <x v="98"/>
    <x v="43"/>
    <x v="10300"/>
    <n v="219375"/>
    <m/>
    <n v="-219375"/>
    <x v="98"/>
  </r>
  <r>
    <x v="2276"/>
    <x v="73"/>
    <x v="43"/>
    <x v="10301"/>
    <n v="20225"/>
    <m/>
    <n v="-20225"/>
    <x v="98"/>
  </r>
  <r>
    <x v="2276"/>
    <x v="73"/>
    <x v="43"/>
    <x v="10302"/>
    <n v="17200"/>
    <m/>
    <n v="-17200"/>
    <x v="98"/>
  </r>
  <r>
    <x v="2276"/>
    <x v="23"/>
    <x v="43"/>
    <x v="4902"/>
    <n v="28000"/>
    <m/>
    <n v="-28000"/>
    <x v="98"/>
  </r>
  <r>
    <x v="2277"/>
    <x v="79"/>
    <x v="43"/>
    <x v="8966"/>
    <n v="52300"/>
    <m/>
    <n v="-52300"/>
    <x v="98"/>
  </r>
  <r>
    <x v="2278"/>
    <x v="16"/>
    <x v="43"/>
    <x v="10303"/>
    <n v="55000"/>
    <m/>
    <n v="-55000"/>
    <x v="98"/>
  </r>
  <r>
    <x v="2279"/>
    <x v="91"/>
    <x v="43"/>
    <x v="10304"/>
    <n v="15000"/>
    <m/>
    <n v="-15000"/>
    <x v="98"/>
  </r>
  <r>
    <x v="2272"/>
    <x v="4"/>
    <x v="4"/>
    <x v="8114"/>
    <n v="5000"/>
    <m/>
    <n v="-5000"/>
    <x v="98"/>
  </r>
  <r>
    <x v="2272"/>
    <x v="3"/>
    <x v="278"/>
    <x v="10305"/>
    <n v="7600"/>
    <m/>
    <n v="-7600"/>
    <x v="98"/>
  </r>
  <r>
    <x v="2272"/>
    <x v="118"/>
    <x v="278"/>
    <x v="10306"/>
    <n v="1900"/>
    <m/>
    <n v="-1900"/>
    <x v="98"/>
  </r>
  <r>
    <x v="2272"/>
    <x v="115"/>
    <x v="778"/>
    <x v="10307"/>
    <n v="443500"/>
    <m/>
    <n v="-443500"/>
    <x v="98"/>
  </r>
  <r>
    <x v="2272"/>
    <x v="119"/>
    <x v="854"/>
    <x v="10308"/>
    <n v="400000"/>
    <m/>
    <n v="-400000"/>
    <x v="98"/>
  </r>
  <r>
    <x v="2272"/>
    <x v="105"/>
    <x v="767"/>
    <x v="10309"/>
    <n v="450000"/>
    <m/>
    <n v="-450000"/>
    <x v="98"/>
  </r>
  <r>
    <x v="2272"/>
    <x v="113"/>
    <x v="278"/>
    <x v="10310"/>
    <n v="100000"/>
    <m/>
    <n v="-100000"/>
    <x v="98"/>
  </r>
  <r>
    <x v="2272"/>
    <x v="100"/>
    <x v="278"/>
    <x v="9642"/>
    <n v="960"/>
    <m/>
    <n v="-960"/>
    <x v="98"/>
  </r>
  <r>
    <x v="2272"/>
    <x v="112"/>
    <x v="278"/>
    <x v="10311"/>
    <n v="800"/>
    <m/>
    <n v="-800"/>
    <x v="98"/>
  </r>
  <r>
    <x v="2272"/>
    <x v="116"/>
    <x v="278"/>
    <x v="10238"/>
    <n v="50000"/>
    <m/>
    <n v="-50000"/>
    <x v="98"/>
  </r>
  <r>
    <x v="2273"/>
    <x v="91"/>
    <x v="474"/>
    <x v="10312"/>
    <n v="300"/>
    <m/>
    <n v="-300"/>
    <x v="98"/>
  </r>
  <r>
    <x v="2273"/>
    <x v="1"/>
    <x v="2"/>
    <x v="10313"/>
    <n v="700"/>
    <m/>
    <n v="-700"/>
    <x v="98"/>
  </r>
  <r>
    <x v="2273"/>
    <x v="1"/>
    <x v="2"/>
    <x v="4693"/>
    <n v="3000"/>
    <m/>
    <n v="-3000"/>
    <x v="98"/>
  </r>
  <r>
    <x v="2273"/>
    <x v="112"/>
    <x v="278"/>
    <x v="10314"/>
    <n v="3500"/>
    <m/>
    <n v="-3500"/>
    <x v="98"/>
  </r>
  <r>
    <x v="2273"/>
    <x v="37"/>
    <x v="474"/>
    <x v="233"/>
    <n v="1000"/>
    <m/>
    <n v="-1000"/>
    <x v="98"/>
  </r>
  <r>
    <x v="2273"/>
    <x v="4"/>
    <x v="4"/>
    <x v="8114"/>
    <n v="5000"/>
    <m/>
    <n v="-5000"/>
    <x v="98"/>
  </r>
  <r>
    <x v="2273"/>
    <x v="4"/>
    <x v="305"/>
    <x v="10315"/>
    <n v="1000"/>
    <m/>
    <n v="-1000"/>
    <x v="98"/>
  </r>
  <r>
    <x v="2273"/>
    <x v="4"/>
    <x v="305"/>
    <x v="10316"/>
    <n v="1500"/>
    <m/>
    <n v="-1500"/>
    <x v="98"/>
  </r>
  <r>
    <x v="2273"/>
    <x v="7"/>
    <x v="27"/>
    <x v="5156"/>
    <n v="920"/>
    <m/>
    <n v="-920"/>
    <x v="98"/>
  </r>
  <r>
    <x v="2273"/>
    <x v="4"/>
    <x v="27"/>
    <x v="5156"/>
    <n v="1250"/>
    <m/>
    <n v="-1250"/>
    <x v="98"/>
  </r>
  <r>
    <x v="2273"/>
    <x v="112"/>
    <x v="474"/>
    <x v="233"/>
    <n v="5000"/>
    <m/>
    <n v="-5000"/>
    <x v="98"/>
  </r>
  <r>
    <x v="2273"/>
    <x v="98"/>
    <x v="314"/>
    <x v="10317"/>
    <n v="10000"/>
    <m/>
    <n v="-10000"/>
    <x v="98"/>
  </r>
  <r>
    <x v="2273"/>
    <x v="115"/>
    <x v="778"/>
    <x v="10318"/>
    <n v="500000"/>
    <m/>
    <n v="-500000"/>
    <x v="98"/>
  </r>
  <r>
    <x v="2273"/>
    <x v="79"/>
    <x v="757"/>
    <x v="10319"/>
    <n v="350000"/>
    <m/>
    <n v="-350000"/>
    <x v="98"/>
  </r>
  <r>
    <x v="2273"/>
    <x v="116"/>
    <x v="758"/>
    <x v="10320"/>
    <n v="25000"/>
    <m/>
    <n v="-25000"/>
    <x v="98"/>
  </r>
  <r>
    <x v="2273"/>
    <x v="98"/>
    <x v="749"/>
    <x v="10321"/>
    <n v="300000"/>
    <m/>
    <n v="-300000"/>
    <x v="98"/>
  </r>
  <r>
    <x v="2273"/>
    <x v="98"/>
    <x v="278"/>
    <x v="10322"/>
    <n v="150000"/>
    <m/>
    <n v="-150000"/>
    <x v="98"/>
  </r>
  <r>
    <x v="2273"/>
    <x v="98"/>
    <x v="278"/>
    <x v="10323"/>
    <n v="4500"/>
    <m/>
    <n v="-4500"/>
    <x v="98"/>
  </r>
  <r>
    <x v="2274"/>
    <x v="116"/>
    <x v="518"/>
    <x v="10324"/>
    <n v="150000"/>
    <m/>
    <n v="-150000"/>
    <x v="98"/>
  </r>
  <r>
    <x v="2274"/>
    <x v="4"/>
    <x v="855"/>
    <x v="10325"/>
    <n v="98000"/>
    <m/>
    <n v="-98000"/>
    <x v="98"/>
  </r>
  <r>
    <x v="2274"/>
    <x v="113"/>
    <x v="661"/>
    <x v="10326"/>
    <n v="105000"/>
    <m/>
    <n v="-105000"/>
    <x v="98"/>
  </r>
  <r>
    <x v="2274"/>
    <x v="73"/>
    <x v="2"/>
    <x v="10327"/>
    <n v="1500"/>
    <m/>
    <n v="-1500"/>
    <x v="98"/>
  </r>
  <r>
    <x v="2274"/>
    <x v="4"/>
    <x v="4"/>
    <x v="8114"/>
    <n v="5000"/>
    <m/>
    <n v="-5000"/>
    <x v="98"/>
  </r>
  <r>
    <x v="2274"/>
    <x v="4"/>
    <x v="2"/>
    <x v="10328"/>
    <n v="1900"/>
    <m/>
    <n v="-1900"/>
    <x v="98"/>
  </r>
  <r>
    <x v="2275"/>
    <x v="23"/>
    <x v="2"/>
    <x v="10329"/>
    <n v="10000"/>
    <m/>
    <n v="-10000"/>
    <x v="98"/>
  </r>
  <r>
    <x v="2275"/>
    <x v="113"/>
    <x v="661"/>
    <x v="10330"/>
    <n v="500000"/>
    <m/>
    <n v="-500000"/>
    <x v="98"/>
  </r>
  <r>
    <x v="2275"/>
    <x v="113"/>
    <x v="856"/>
    <x v="10331"/>
    <n v="200000"/>
    <m/>
    <n v="-200000"/>
    <x v="98"/>
  </r>
  <r>
    <x v="2275"/>
    <x v="113"/>
    <x v="856"/>
    <x v="10332"/>
    <n v="500000"/>
    <m/>
    <n v="-500000"/>
    <x v="98"/>
  </r>
  <r>
    <x v="2275"/>
    <x v="98"/>
    <x v="850"/>
    <x v="10333"/>
    <n v="75750"/>
    <m/>
    <n v="-75750"/>
    <x v="98"/>
  </r>
  <r>
    <x v="2275"/>
    <x v="1"/>
    <x v="2"/>
    <x v="9703"/>
    <n v="3550"/>
    <m/>
    <n v="-3550"/>
    <x v="98"/>
  </r>
  <r>
    <x v="2275"/>
    <x v="37"/>
    <x v="2"/>
    <x v="10334"/>
    <n v="3000"/>
    <m/>
    <n v="-3000"/>
    <x v="98"/>
  </r>
  <r>
    <x v="2275"/>
    <x v="1"/>
    <x v="2"/>
    <x v="9699"/>
    <n v="6040"/>
    <m/>
    <n v="-6040"/>
    <x v="98"/>
  </r>
  <r>
    <x v="2275"/>
    <x v="91"/>
    <x v="2"/>
    <x v="10335"/>
    <n v="4500"/>
    <m/>
    <n v="-4500"/>
    <x v="98"/>
  </r>
  <r>
    <x v="2275"/>
    <x v="1"/>
    <x v="2"/>
    <x v="9699"/>
    <n v="6650"/>
    <m/>
    <n v="-6650"/>
    <x v="98"/>
  </r>
  <r>
    <x v="2276"/>
    <x v="112"/>
    <x v="474"/>
    <x v="898"/>
    <n v="500"/>
    <m/>
    <n v="-500"/>
    <x v="98"/>
  </r>
  <r>
    <x v="2276"/>
    <x v="4"/>
    <x v="4"/>
    <x v="8114"/>
    <n v="5000"/>
    <m/>
    <n v="-5000"/>
    <x v="98"/>
  </r>
  <r>
    <x v="2276"/>
    <x v="98"/>
    <x v="74"/>
    <x v="10336"/>
    <n v="1000"/>
    <m/>
    <n v="-1000"/>
    <x v="98"/>
  </r>
  <r>
    <x v="2276"/>
    <x v="117"/>
    <x v="465"/>
    <x v="10337"/>
    <n v="5000"/>
    <m/>
    <n v="-5000"/>
    <x v="98"/>
  </r>
  <r>
    <x v="2276"/>
    <x v="73"/>
    <x v="772"/>
    <x v="10338"/>
    <n v="6000"/>
    <m/>
    <n v="-6000"/>
    <x v="98"/>
  </r>
  <r>
    <x v="2276"/>
    <x v="112"/>
    <x v="474"/>
    <x v="233"/>
    <n v="3500"/>
    <m/>
    <n v="-3500"/>
    <x v="98"/>
  </r>
  <r>
    <x v="2276"/>
    <x v="4"/>
    <x v="434"/>
    <x v="233"/>
    <n v="3080"/>
    <m/>
    <n v="-3080"/>
    <x v="98"/>
  </r>
  <r>
    <x v="2276"/>
    <x v="37"/>
    <x v="857"/>
    <x v="10339"/>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0"/>
    <n v="300000"/>
    <m/>
    <n v="-300000"/>
    <x v="98"/>
  </r>
  <r>
    <x v="2276"/>
    <x v="113"/>
    <x v="661"/>
    <x v="10330"/>
    <n v="100000"/>
    <m/>
    <n v="-100000"/>
    <x v="98"/>
  </r>
  <r>
    <x v="2276"/>
    <x v="112"/>
    <x v="278"/>
    <x v="10340"/>
    <n v="115000"/>
    <m/>
    <n v="-115000"/>
    <x v="98"/>
  </r>
  <r>
    <x v="2276"/>
    <x v="37"/>
    <x v="644"/>
    <x v="10341"/>
    <n v="255098"/>
    <m/>
    <n v="-255098"/>
    <x v="98"/>
  </r>
  <r>
    <x v="2276"/>
    <x v="73"/>
    <x v="644"/>
    <x v="10341"/>
    <n v="24451"/>
    <m/>
    <n v="-24451"/>
    <x v="98"/>
  </r>
  <r>
    <x v="2276"/>
    <x v="91"/>
    <x v="644"/>
    <x v="10341"/>
    <n v="37853"/>
    <m/>
    <n v="-37853"/>
    <x v="98"/>
  </r>
  <r>
    <x v="2276"/>
    <x v="97"/>
    <x v="644"/>
    <x v="10341"/>
    <n v="261620"/>
    <m/>
    <n v="-261620"/>
    <x v="98"/>
  </r>
  <r>
    <x v="2276"/>
    <x v="112"/>
    <x v="644"/>
    <x v="10341"/>
    <n v="69112"/>
    <m/>
    <n v="-69112"/>
    <x v="98"/>
  </r>
  <r>
    <x v="2276"/>
    <x v="114"/>
    <x v="644"/>
    <x v="10341"/>
    <n v="195823"/>
    <m/>
    <n v="-195823"/>
    <x v="98"/>
  </r>
  <r>
    <x v="2276"/>
    <x v="112"/>
    <x v="644"/>
    <x v="10341"/>
    <n v="331043"/>
    <m/>
    <n v="-331043"/>
    <x v="98"/>
  </r>
  <r>
    <x v="2276"/>
    <x v="112"/>
    <x v="78"/>
    <x v="10342"/>
    <n v="1000000"/>
    <m/>
    <n v="-1000000"/>
    <x v="98"/>
  </r>
  <r>
    <x v="2276"/>
    <x v="115"/>
    <x v="78"/>
    <x v="10343"/>
    <n v="500000"/>
    <m/>
    <n v="-500000"/>
    <x v="98"/>
  </r>
  <r>
    <x v="2280"/>
    <x v="115"/>
    <x v="474"/>
    <x v="898"/>
    <n v="7000"/>
    <m/>
    <n v="-7000"/>
    <x v="98"/>
  </r>
  <r>
    <x v="2280"/>
    <x v="7"/>
    <x v="198"/>
    <x v="10344"/>
    <n v="2500"/>
    <m/>
    <n v="-2500"/>
    <x v="98"/>
  </r>
  <r>
    <x v="2280"/>
    <x v="112"/>
    <x v="694"/>
    <x v="10345"/>
    <n v="8700"/>
    <m/>
    <n v="-8700"/>
    <x v="98"/>
  </r>
  <r>
    <x v="2280"/>
    <x v="112"/>
    <x v="278"/>
    <x v="10346"/>
    <n v="51000"/>
    <m/>
    <n v="-51000"/>
    <x v="98"/>
  </r>
  <r>
    <x v="2280"/>
    <x v="94"/>
    <x v="858"/>
    <x v="10347"/>
    <n v="3000"/>
    <m/>
    <n v="-3000"/>
    <x v="98"/>
  </r>
  <r>
    <x v="2280"/>
    <x v="4"/>
    <x v="4"/>
    <x v="8114"/>
    <n v="5000"/>
    <m/>
    <n v="-5000"/>
    <x v="98"/>
  </r>
  <r>
    <x v="2280"/>
    <x v="112"/>
    <x v="2"/>
    <x v="7645"/>
    <n v="1000"/>
    <m/>
    <n v="-1000"/>
    <x v="98"/>
  </r>
  <r>
    <x v="2280"/>
    <x v="22"/>
    <x v="2"/>
    <x v="10348"/>
    <n v="500"/>
    <m/>
    <n v="-500"/>
    <x v="98"/>
  </r>
  <r>
    <x v="2280"/>
    <x v="120"/>
    <x v="859"/>
    <x v="5423"/>
    <n v="50000"/>
    <m/>
    <n v="-50000"/>
    <x v="98"/>
  </r>
  <r>
    <x v="2280"/>
    <x v="73"/>
    <x v="278"/>
    <x v="10349"/>
    <n v="15330"/>
    <m/>
    <n v="-15330"/>
    <x v="98"/>
  </r>
  <r>
    <x v="2280"/>
    <x v="115"/>
    <x v="278"/>
    <x v="10350"/>
    <n v="10000"/>
    <m/>
    <n v="-10000"/>
    <x v="98"/>
  </r>
  <r>
    <x v="2280"/>
    <x v="94"/>
    <x v="474"/>
    <x v="233"/>
    <n v="1000"/>
    <m/>
    <n v="-1000"/>
    <x v="98"/>
  </r>
  <r>
    <x v="2277"/>
    <x v="97"/>
    <x v="644"/>
    <x v="10351"/>
    <n v="235968"/>
    <m/>
    <n v="-235968"/>
    <x v="98"/>
  </r>
  <r>
    <x v="2277"/>
    <x v="112"/>
    <x v="644"/>
    <x v="10351"/>
    <n v="319738"/>
    <m/>
    <n v="-319738"/>
    <x v="98"/>
  </r>
  <r>
    <x v="2277"/>
    <x v="113"/>
    <x v="644"/>
    <x v="10351"/>
    <n v="120070"/>
    <m/>
    <n v="-120070"/>
    <x v="98"/>
  </r>
  <r>
    <x v="2277"/>
    <x v="121"/>
    <x v="644"/>
    <x v="10351"/>
    <n v="260520"/>
    <m/>
    <n v="-260520"/>
    <x v="98"/>
  </r>
  <r>
    <x v="2277"/>
    <x v="86"/>
    <x v="644"/>
    <x v="10351"/>
    <n v="13344"/>
    <m/>
    <n v="-13344"/>
    <x v="98"/>
  </r>
  <r>
    <x v="2281"/>
    <x v="98"/>
    <x v="314"/>
    <x v="6422"/>
    <n v="50000"/>
    <m/>
    <n v="-50000"/>
    <x v="98"/>
  </r>
  <r>
    <x v="2281"/>
    <x v="94"/>
    <x v="278"/>
    <x v="10352"/>
    <n v="2000"/>
    <m/>
    <n v="-2000"/>
    <x v="98"/>
  </r>
  <r>
    <x v="2281"/>
    <x v="91"/>
    <x v="474"/>
    <x v="233"/>
    <n v="900"/>
    <m/>
    <n v="-900"/>
    <x v="98"/>
  </r>
  <r>
    <x v="2281"/>
    <x v="114"/>
    <x v="278"/>
    <x v="10350"/>
    <n v="7690"/>
    <m/>
    <n v="-7690"/>
    <x v="98"/>
  </r>
  <r>
    <x v="2281"/>
    <x v="4"/>
    <x v="4"/>
    <x v="8114"/>
    <n v="5000"/>
    <m/>
    <n v="-5000"/>
    <x v="98"/>
  </r>
  <r>
    <x v="2281"/>
    <x v="98"/>
    <x v="278"/>
    <x v="10227"/>
    <n v="105000"/>
    <m/>
    <n v="-105000"/>
    <x v="98"/>
  </r>
  <r>
    <x v="2281"/>
    <x v="94"/>
    <x v="2"/>
    <x v="10353"/>
    <n v="14500"/>
    <m/>
    <n v="-14500"/>
    <x v="98"/>
  </r>
  <r>
    <x v="2282"/>
    <x v="118"/>
    <x v="2"/>
    <x v="10354"/>
    <n v="2500"/>
    <m/>
    <n v="-2500"/>
    <x v="98"/>
  </r>
  <r>
    <x v="2282"/>
    <x v="112"/>
    <x v="474"/>
    <x v="233"/>
    <n v="1200"/>
    <m/>
    <n v="-1200"/>
    <x v="98"/>
  </r>
  <r>
    <x v="2282"/>
    <x v="16"/>
    <x v="474"/>
    <x v="233"/>
    <n v="2000"/>
    <m/>
    <n v="-2000"/>
    <x v="98"/>
  </r>
  <r>
    <x v="2282"/>
    <x v="122"/>
    <x v="465"/>
    <x v="233"/>
    <n v="5000"/>
    <m/>
    <n v="-5000"/>
    <x v="98"/>
  </r>
  <r>
    <x v="2282"/>
    <x v="4"/>
    <x v="330"/>
    <x v="10355"/>
    <n v="10000"/>
    <m/>
    <n v="-10000"/>
    <x v="98"/>
  </r>
  <r>
    <x v="2282"/>
    <x v="115"/>
    <x v="474"/>
    <x v="233"/>
    <n v="1800"/>
    <m/>
    <n v="-1800"/>
    <x v="98"/>
  </r>
  <r>
    <x v="2282"/>
    <x v="112"/>
    <x v="285"/>
    <x v="7872"/>
    <n v="350"/>
    <m/>
    <n v="-350"/>
    <x v="98"/>
  </r>
  <r>
    <x v="2282"/>
    <x v="4"/>
    <x v="4"/>
    <x v="8114"/>
    <n v="5000"/>
    <m/>
    <n v="-5000"/>
    <x v="98"/>
  </r>
  <r>
    <x v="2282"/>
    <x v="16"/>
    <x v="232"/>
    <x v="10356"/>
    <n v="98400"/>
    <m/>
    <n v="-98400"/>
    <x v="98"/>
  </r>
  <r>
    <x v="2282"/>
    <x v="61"/>
    <x v="660"/>
    <x v="10357"/>
    <n v="25000"/>
    <m/>
    <n v="-25000"/>
    <x v="98"/>
  </r>
  <r>
    <x v="2278"/>
    <x v="112"/>
    <x v="278"/>
    <x v="10358"/>
    <n v="600"/>
    <m/>
    <n v="-600"/>
    <x v="98"/>
  </r>
  <r>
    <x v="2278"/>
    <x v="123"/>
    <x v="277"/>
    <x v="10359"/>
    <n v="20000"/>
    <m/>
    <n v="-20000"/>
    <x v="98"/>
  </r>
  <r>
    <x v="2278"/>
    <x v="4"/>
    <x v="4"/>
    <x v="8114"/>
    <n v="5000"/>
    <m/>
    <n v="-5000"/>
    <x v="98"/>
  </r>
  <r>
    <x v="2278"/>
    <x v="120"/>
    <x v="474"/>
    <x v="233"/>
    <n v="1100"/>
    <m/>
    <n v="-1100"/>
    <x v="98"/>
  </r>
  <r>
    <x v="2278"/>
    <x v="112"/>
    <x v="278"/>
    <x v="1790"/>
    <n v="700"/>
    <m/>
    <n v="-700"/>
    <x v="98"/>
  </r>
  <r>
    <x v="2278"/>
    <x v="112"/>
    <x v="278"/>
    <x v="10360"/>
    <n v="34140"/>
    <m/>
    <n v="-34140"/>
    <x v="98"/>
  </r>
  <r>
    <x v="2278"/>
    <x v="115"/>
    <x v="278"/>
    <x v="10361"/>
    <n v="145000"/>
    <m/>
    <n v="-145000"/>
    <x v="98"/>
  </r>
  <r>
    <x v="2283"/>
    <x v="116"/>
    <x v="742"/>
    <x v="10362"/>
    <n v="150000"/>
    <m/>
    <n v="-150000"/>
    <x v="98"/>
  </r>
  <r>
    <x v="2283"/>
    <x v="116"/>
    <x v="742"/>
    <x v="10363"/>
    <n v="115000"/>
    <m/>
    <n v="-115000"/>
    <x v="98"/>
  </r>
  <r>
    <x v="2283"/>
    <x v="115"/>
    <x v="612"/>
    <x v="10364"/>
    <n v="214000"/>
    <m/>
    <n v="-214000"/>
    <x v="98"/>
  </r>
  <r>
    <x v="2283"/>
    <x v="115"/>
    <x v="285"/>
    <x v="7068"/>
    <n v="1000"/>
    <m/>
    <n v="-1000"/>
    <x v="98"/>
  </r>
  <r>
    <x v="2279"/>
    <x v="4"/>
    <x v="4"/>
    <x v="8114"/>
    <n v="6000"/>
    <m/>
    <n v="-6000"/>
    <x v="98"/>
  </r>
  <r>
    <x v="2279"/>
    <x v="4"/>
    <x v="4"/>
    <x v="10365"/>
    <n v="3000"/>
    <m/>
    <n v="-3000"/>
    <x v="98"/>
  </r>
  <r>
    <x v="2279"/>
    <x v="114"/>
    <x v="278"/>
    <x v="10366"/>
    <n v="16000"/>
    <m/>
    <n v="-16000"/>
    <x v="98"/>
  </r>
  <r>
    <x v="2279"/>
    <x v="114"/>
    <x v="278"/>
    <x v="10367"/>
    <n v="9000"/>
    <m/>
    <n v="-9000"/>
    <x v="98"/>
  </r>
  <r>
    <x v="2279"/>
    <x v="1"/>
    <x v="860"/>
    <x v="10368"/>
    <n v="4000"/>
    <m/>
    <n v="-4000"/>
    <x v="98"/>
  </r>
  <r>
    <x v="2279"/>
    <x v="1"/>
    <x v="278"/>
    <x v="10369"/>
    <n v="5000"/>
    <m/>
    <n v="-5000"/>
    <x v="98"/>
  </r>
  <r>
    <x v="2279"/>
    <x v="98"/>
    <x v="278"/>
    <x v="10370"/>
    <n v="105000"/>
    <m/>
    <n v="-105000"/>
    <x v="98"/>
  </r>
  <r>
    <x v="2279"/>
    <x v="98"/>
    <x v="850"/>
    <x v="10371"/>
    <n v="100000"/>
    <m/>
    <n v="-100000"/>
    <x v="98"/>
  </r>
  <r>
    <x v="2279"/>
    <x v="79"/>
    <x v="638"/>
    <x v="10372"/>
    <n v="1000000"/>
    <m/>
    <n v="-1000000"/>
    <x v="98"/>
  </r>
  <r>
    <x v="2279"/>
    <x v="113"/>
    <x v="278"/>
    <x v="10326"/>
    <n v="100000"/>
    <m/>
    <n v="-100000"/>
    <x v="98"/>
  </r>
  <r>
    <x v="2279"/>
    <x v="115"/>
    <x v="474"/>
    <x v="233"/>
    <n v="1500"/>
    <m/>
    <n v="-1500"/>
    <x v="98"/>
  </r>
  <r>
    <x v="2279"/>
    <x v="100"/>
    <x v="607"/>
    <x v="10201"/>
    <n v="1000000"/>
    <m/>
    <n v="-1000000"/>
    <x v="98"/>
  </r>
  <r>
    <x v="2284"/>
    <x v="65"/>
    <x v="474"/>
    <x v="233"/>
    <n v="1500"/>
    <m/>
    <n v="-1500"/>
    <x v="98"/>
  </r>
  <r>
    <x v="2284"/>
    <x v="4"/>
    <x v="4"/>
    <x v="8114"/>
    <n v="6000"/>
    <m/>
    <n v="-6000"/>
    <x v="98"/>
  </r>
  <r>
    <x v="2284"/>
    <x v="115"/>
    <x v="285"/>
    <x v="10373"/>
    <n v="500"/>
    <m/>
    <n v="-500"/>
    <x v="98"/>
  </r>
  <r>
    <x v="2284"/>
    <x v="112"/>
    <x v="278"/>
    <x v="10374"/>
    <n v="85500"/>
    <m/>
    <n v="-85500"/>
    <x v="98"/>
  </r>
  <r>
    <x v="2284"/>
    <x v="115"/>
    <x v="278"/>
    <x v="10374"/>
    <n v="83500"/>
    <m/>
    <n v="-83500"/>
    <x v="98"/>
  </r>
  <r>
    <x v="2284"/>
    <x v="100"/>
    <x v="278"/>
    <x v="10374"/>
    <n v="83500"/>
    <m/>
    <n v="-83500"/>
    <x v="98"/>
  </r>
  <r>
    <x v="2284"/>
    <x v="98"/>
    <x v="314"/>
    <x v="10375"/>
    <n v="50000"/>
    <m/>
    <n v="-50000"/>
    <x v="98"/>
  </r>
  <r>
    <x v="2284"/>
    <x v="115"/>
    <x v="278"/>
    <x v="10376"/>
    <n v="85000"/>
    <m/>
    <n v="-85000"/>
    <x v="98"/>
  </r>
  <r>
    <x v="2284"/>
    <x v="115"/>
    <x v="2"/>
    <x v="10377"/>
    <n v="75000"/>
    <m/>
    <n v="-75000"/>
    <x v="98"/>
  </r>
  <r>
    <x v="2284"/>
    <x v="16"/>
    <x v="278"/>
    <x v="10378"/>
    <n v="21674"/>
    <m/>
    <n v="-21674"/>
    <x v="98"/>
  </r>
  <r>
    <x v="2284"/>
    <x v="3"/>
    <x v="278"/>
    <x v="10378"/>
    <n v="20000"/>
    <m/>
    <n v="-20000"/>
    <x v="98"/>
  </r>
  <r>
    <x v="2284"/>
    <x v="98"/>
    <x v="278"/>
    <x v="10378"/>
    <n v="20000"/>
    <m/>
    <n v="-20000"/>
    <x v="98"/>
  </r>
  <r>
    <x v="2284"/>
    <x v="94"/>
    <x v="861"/>
    <x v="10379"/>
    <n v="90000"/>
    <m/>
    <n v="-90000"/>
    <x v="98"/>
  </r>
  <r>
    <x v="2284"/>
    <x v="4"/>
    <x v="4"/>
    <x v="10380"/>
    <n v="80000"/>
    <m/>
    <n v="-80000"/>
    <x v="98"/>
  </r>
  <r>
    <x v="2285"/>
    <x v="73"/>
    <x v="338"/>
    <x v="10381"/>
    <n v="235000"/>
    <m/>
    <n v="-235000"/>
    <x v="98"/>
  </r>
  <r>
    <x v="2285"/>
    <x v="113"/>
    <x v="278"/>
    <x v="10382"/>
    <n v="50000"/>
    <m/>
    <n v="-50000"/>
    <x v="98"/>
  </r>
  <r>
    <x v="2285"/>
    <x v="98"/>
    <x v="850"/>
    <x v="10383"/>
    <n v="54750"/>
    <m/>
    <n v="-54750"/>
    <x v="98"/>
  </r>
  <r>
    <x v="2285"/>
    <x v="120"/>
    <x v="2"/>
    <x v="10384"/>
    <n v="20000"/>
    <m/>
    <n v="-20000"/>
    <x v="98"/>
  </r>
  <r>
    <x v="2285"/>
    <x v="100"/>
    <x v="862"/>
    <x v="10385"/>
    <n v="25000"/>
    <m/>
    <n v="-25000"/>
    <x v="98"/>
  </r>
  <r>
    <x v="2286"/>
    <x v="115"/>
    <x v="757"/>
    <x v="10386"/>
    <n v="100000"/>
    <m/>
    <n v="-100000"/>
    <x v="98"/>
  </r>
  <r>
    <x v="2286"/>
    <x v="4"/>
    <x v="4"/>
    <x v="8114"/>
    <n v="3000"/>
    <m/>
    <n v="-3000"/>
    <x v="98"/>
  </r>
  <r>
    <x v="2287"/>
    <x v="112"/>
    <x v="278"/>
    <x v="10387"/>
    <n v="38180"/>
    <m/>
    <n v="-38180"/>
    <x v="98"/>
  </r>
  <r>
    <x v="2287"/>
    <x v="112"/>
    <x v="474"/>
    <x v="233"/>
    <n v="3300"/>
    <m/>
    <n v="-3300"/>
    <x v="98"/>
  </r>
  <r>
    <x v="2287"/>
    <x v="112"/>
    <x v="278"/>
    <x v="9034"/>
    <n v="600"/>
    <m/>
    <n v="-600"/>
    <x v="98"/>
  </r>
  <r>
    <x v="2287"/>
    <x v="4"/>
    <x v="4"/>
    <x v="8114"/>
    <n v="7000"/>
    <m/>
    <n v="-7000"/>
    <x v="98"/>
  </r>
  <r>
    <x v="2287"/>
    <x v="118"/>
    <x v="278"/>
    <x v="10388"/>
    <n v="1750"/>
    <m/>
    <n v="-1750"/>
    <x v="98"/>
  </r>
  <r>
    <x v="2287"/>
    <x v="114"/>
    <x v="474"/>
    <x v="233"/>
    <n v="1100"/>
    <m/>
    <n v="-1100"/>
    <x v="98"/>
  </r>
  <r>
    <x v="2287"/>
    <x v="112"/>
    <x v="474"/>
    <x v="233"/>
    <n v="1000"/>
    <m/>
    <n v="-1000"/>
    <x v="98"/>
  </r>
  <r>
    <x v="2287"/>
    <x v="115"/>
    <x v="863"/>
    <x v="10389"/>
    <n v="2600"/>
    <m/>
    <n v="-2600"/>
    <x v="98"/>
  </r>
  <r>
    <x v="2287"/>
    <x v="7"/>
    <x v="27"/>
    <x v="5204"/>
    <n v="3120"/>
    <m/>
    <n v="-3120"/>
    <x v="98"/>
  </r>
  <r>
    <x v="2287"/>
    <x v="4"/>
    <x v="27"/>
    <x v="5204"/>
    <n v="8595"/>
    <m/>
    <n v="-8595"/>
    <x v="98"/>
  </r>
  <r>
    <x v="2287"/>
    <x v="94"/>
    <x v="2"/>
    <x v="3557"/>
    <n v="2630"/>
    <m/>
    <n v="-2630"/>
    <x v="98"/>
  </r>
  <r>
    <x v="2287"/>
    <x v="116"/>
    <x v="278"/>
    <x v="10390"/>
    <n v="136000"/>
    <m/>
    <n v="-136000"/>
    <x v="98"/>
  </r>
  <r>
    <x v="2288"/>
    <x v="23"/>
    <x v="278"/>
    <x v="10391"/>
    <n v="80000"/>
    <m/>
    <n v="-80000"/>
    <x v="98"/>
  </r>
  <r>
    <x v="2288"/>
    <x v="113"/>
    <x v="864"/>
    <x v="10392"/>
    <n v="1000000"/>
    <m/>
    <n v="-1000000"/>
    <x v="98"/>
  </r>
  <r>
    <x v="2288"/>
    <x v="115"/>
    <x v="865"/>
    <x v="10393"/>
    <n v="760000"/>
    <m/>
    <n v="-760000"/>
    <x v="98"/>
  </r>
  <r>
    <x v="2288"/>
    <x v="115"/>
    <x v="474"/>
    <x v="233"/>
    <n v="500"/>
    <m/>
    <n v="-500"/>
    <x v="98"/>
  </r>
  <r>
    <x v="2288"/>
    <x v="4"/>
    <x v="4"/>
    <x v="10394"/>
    <n v="3500"/>
    <m/>
    <n v="-3500"/>
    <x v="98"/>
  </r>
  <r>
    <x v="2288"/>
    <x v="91"/>
    <x v="822"/>
    <x v="10395"/>
    <n v="400000"/>
    <m/>
    <n v="-400000"/>
    <x v="98"/>
  </r>
  <r>
    <x v="2277"/>
    <x v="1"/>
    <x v="261"/>
    <x v="10396"/>
    <n v="20525"/>
    <m/>
    <n v="-20525"/>
    <x v="98"/>
  </r>
  <r>
    <x v="2277"/>
    <x v="22"/>
    <x v="261"/>
    <x v="10396"/>
    <n v="35364"/>
    <m/>
    <n v="-35364"/>
    <x v="98"/>
  </r>
  <r>
    <x v="2277"/>
    <x v="23"/>
    <x v="261"/>
    <x v="10396"/>
    <n v="32760"/>
    <m/>
    <n v="-32760"/>
    <x v="98"/>
  </r>
  <r>
    <x v="2277"/>
    <x v="84"/>
    <x v="261"/>
    <x v="10396"/>
    <n v="264941"/>
    <m/>
    <n v="-264941"/>
    <x v="98"/>
  </r>
  <r>
    <x v="2277"/>
    <x v="98"/>
    <x v="261"/>
    <x v="10396"/>
    <n v="330188"/>
    <m/>
    <n v="-330188"/>
    <x v="98"/>
  </r>
  <r>
    <x v="2281"/>
    <x v="112"/>
    <x v="716"/>
    <x v="10397"/>
    <n v="200000"/>
    <m/>
    <n v="-200000"/>
    <x v="98"/>
  </r>
  <r>
    <x v="2286"/>
    <x v="112"/>
    <x v="866"/>
    <x v="10398"/>
    <n v="150000"/>
    <m/>
    <n v="-150000"/>
    <x v="98"/>
  </r>
  <r>
    <x v="2286"/>
    <x v="116"/>
    <x v="518"/>
    <x v="10399"/>
    <n v="50000"/>
    <m/>
    <n v="-50000"/>
    <x v="98"/>
  </r>
  <r>
    <x v="2286"/>
    <x v="23"/>
    <x v="518"/>
    <x v="10399"/>
    <n v="57000"/>
    <m/>
    <n v="-57000"/>
    <x v="98"/>
  </r>
  <r>
    <x v="2287"/>
    <x v="113"/>
    <x v="661"/>
    <x v="10400"/>
    <n v="940000"/>
    <m/>
    <n v="-940000"/>
    <x v="98"/>
  </r>
  <r>
    <x v="2280"/>
    <x v="22"/>
    <x v="97"/>
    <x v="10401"/>
    <m/>
    <n v="333522"/>
    <n v="333522"/>
    <x v="98"/>
  </r>
  <r>
    <x v="2280"/>
    <x v="22"/>
    <x v="97"/>
    <x v="10402"/>
    <m/>
    <n v="333522"/>
    <n v="333522"/>
    <x v="98"/>
  </r>
  <r>
    <x v="2280"/>
    <x v="23"/>
    <x v="97"/>
    <x v="10403"/>
    <m/>
    <n v="359992"/>
    <n v="359992"/>
    <x v="98"/>
  </r>
  <r>
    <x v="2280"/>
    <x v="91"/>
    <x v="97"/>
    <x v="10404"/>
    <n v="17000"/>
    <m/>
    <n v="-17000"/>
    <x v="98"/>
  </r>
  <r>
    <x v="2288"/>
    <x v="91"/>
    <x v="97"/>
    <x v="10405"/>
    <m/>
    <n v="1920212"/>
    <n v="1920212"/>
    <x v="98"/>
  </r>
  <r>
    <x v="228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1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31"/>
    <x v="34"/>
    <s v="2283"/>
    <n v="9200"/>
    <m/>
    <n v="9200"/>
    <m/>
  </r>
  <r>
    <x v="1234"/>
    <x v="129"/>
    <x v="13"/>
    <m/>
    <m/>
    <n v="500000"/>
    <n v="-500000"/>
    <s v="Sheet hawala to Sami ducting (from Al madina)"/>
  </r>
  <r>
    <x v="1234"/>
    <x v="130"/>
    <x v="20"/>
    <s v="184"/>
    <n v="69112"/>
    <m/>
    <n v="69112"/>
    <m/>
  </r>
  <r>
    <x v="1234"/>
    <x v="123"/>
    <x v="4"/>
    <s v="21118"/>
    <n v="130000"/>
    <m/>
    <n v="130000"/>
    <m/>
  </r>
  <r>
    <x v="1234"/>
    <x v="131"/>
    <x v="34"/>
    <s v="2315"/>
    <n v="15550"/>
    <m/>
    <n v="1555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3"/>
    <x v="3"/>
    <s v="060"/>
    <n v="28585"/>
    <m/>
    <n v="28585"/>
    <m/>
  </r>
  <r>
    <x v="1238"/>
    <x v="102"/>
    <x v="4"/>
    <s v="5261"/>
    <n v="27284"/>
    <m/>
    <n v="27284"/>
    <m/>
  </r>
  <r>
    <x v="1239"/>
    <x v="130"/>
    <x v="22"/>
    <m/>
    <m/>
    <n v="1000000"/>
    <n v="-1000000"/>
    <s v="advance given for XLPE insulation deal (chq from adeel chq amt = 1500,000)"/>
  </r>
  <r>
    <x v="1239"/>
    <x v="134"/>
    <x v="22"/>
    <m/>
    <m/>
    <n v="500000"/>
    <n v="-500000"/>
    <s v="advance given for Fire Equipment deal (chq from adeel chq amt = 1500,000)"/>
  </r>
  <r>
    <x v="1239"/>
    <x v="77"/>
    <x v="20"/>
    <m/>
    <m/>
    <n v="255098"/>
    <n v="-255098"/>
    <s v="Sheet to Noman engr (by al madina steel) total amt = 1,175,000"/>
  </r>
  <r>
    <x v="1239"/>
    <x v="102"/>
    <x v="20"/>
    <m/>
    <m/>
    <n v="24451"/>
    <n v="-24451"/>
    <m/>
  </r>
  <r>
    <x v="1239"/>
    <x v="122"/>
    <x v="20"/>
    <m/>
    <m/>
    <n v="37853"/>
    <n v="-37853"/>
    <m/>
  </r>
  <r>
    <x v="1239"/>
    <x v="123"/>
    <x v="20"/>
    <m/>
    <m/>
    <n v="261620"/>
    <n v="-261620"/>
    <m/>
  </r>
  <r>
    <x v="1239"/>
    <x v="130"/>
    <x v="20"/>
    <m/>
    <m/>
    <n v="69112"/>
    <n v="-69112"/>
    <m/>
  </r>
  <r>
    <x v="1239"/>
    <x v="132"/>
    <x v="20"/>
    <m/>
    <m/>
    <n v="195823"/>
    <n v="-195823"/>
    <m/>
  </r>
  <r>
    <x v="1239"/>
    <x v="130"/>
    <x v="20"/>
    <m/>
    <m/>
    <n v="331043"/>
    <n v="-331043"/>
    <m/>
  </r>
  <r>
    <x v="1240"/>
    <x v="123"/>
    <x v="20"/>
    <m/>
    <m/>
    <n v="235968"/>
    <n v="-235968"/>
    <s v="Sheet to Noman ducting (by adeel) amt = 949640"/>
  </r>
  <r>
    <x v="1240"/>
    <x v="130"/>
    <x v="20"/>
    <m/>
    <m/>
    <n v="319738"/>
    <n v="-319738"/>
    <m/>
  </r>
  <r>
    <x v="1240"/>
    <x v="135"/>
    <x v="20"/>
    <m/>
    <m/>
    <n v="120070"/>
    <n v="-120070"/>
    <m/>
  </r>
  <r>
    <x v="1240"/>
    <x v="136"/>
    <x v="20"/>
    <m/>
    <m/>
    <n v="260520"/>
    <n v="-260520"/>
    <m/>
  </r>
  <r>
    <x v="1240"/>
    <x v="46"/>
    <x v="20"/>
    <m/>
    <m/>
    <n v="13344"/>
    <n v="-13344"/>
    <m/>
  </r>
  <r>
    <x v="1241"/>
    <x v="123"/>
    <x v="20"/>
    <s v="188"/>
    <n v="235968"/>
    <m/>
    <n v="235968"/>
    <m/>
  </r>
  <r>
    <x v="1241"/>
    <x v="137"/>
    <x v="22"/>
    <s v="55517"/>
    <n v="48550"/>
    <m/>
    <n v="48550"/>
    <m/>
  </r>
  <r>
    <x v="1241"/>
    <x v="129"/>
    <x v="3"/>
    <s v="112"/>
    <n v="14272"/>
    <m/>
    <n v="14272"/>
    <m/>
  </r>
  <r>
    <x v="1242"/>
    <x v="135"/>
    <x v="20"/>
    <s v="189"/>
    <n v="120070"/>
    <m/>
    <n v="120070"/>
    <m/>
  </r>
  <r>
    <x v="1242"/>
    <x v="136"/>
    <x v="20"/>
    <s v="190"/>
    <n v="260520"/>
    <m/>
    <n v="260520"/>
    <m/>
  </r>
  <r>
    <x v="1242"/>
    <x v="131"/>
    <x v="3"/>
    <s v="0134"/>
    <n v="25073"/>
    <m/>
    <n v="25073"/>
    <m/>
  </r>
  <r>
    <x v="1243"/>
    <x v="130"/>
    <x v="20"/>
    <s v="191"/>
    <n v="650781"/>
    <m/>
    <n v="650781"/>
    <m/>
  </r>
  <r>
    <x v="1243"/>
    <x v="133"/>
    <x v="3"/>
    <s v="0158"/>
    <n v="18909"/>
    <m/>
    <n v="18909"/>
    <m/>
  </r>
  <r>
    <x v="1243"/>
    <x v="132"/>
    <x v="35"/>
    <s v="1463"/>
    <n v="261774"/>
    <m/>
    <n v="261774"/>
    <m/>
  </r>
  <r>
    <x v="1244"/>
    <x v="134"/>
    <x v="22"/>
    <s v="55535"/>
    <n v="93974"/>
    <m/>
    <n v="93974"/>
    <m/>
  </r>
  <r>
    <x v="1244"/>
    <x v="107"/>
    <x v="24"/>
    <m/>
    <m/>
    <n v="1000000"/>
    <n v="-1000000"/>
    <s v="cash collect by farooq shah from al madina"/>
  </r>
  <r>
    <x v="1245"/>
    <x v="134"/>
    <x v="22"/>
    <s v="55546"/>
    <n v="844000"/>
    <m/>
    <n v="844000"/>
    <m/>
  </r>
  <r>
    <x v="1245"/>
    <x v="130"/>
    <x v="22"/>
    <s v="55547"/>
    <n v="698035"/>
    <m/>
    <n v="698035"/>
    <m/>
  </r>
  <r>
    <x v="1245"/>
    <x v="129"/>
    <x v="22"/>
    <s v="55548"/>
    <n v="2480"/>
    <m/>
    <n v="2480"/>
    <m/>
  </r>
  <r>
    <x v="1246"/>
    <x v="134"/>
    <x v="22"/>
    <s v="55555"/>
    <n v="36271"/>
    <m/>
    <n v="36271"/>
    <m/>
  </r>
  <r>
    <x v="1247"/>
    <x v="126"/>
    <x v="3"/>
    <s v="271"/>
    <n v="3196"/>
    <m/>
    <n v="319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0" firstHeaderRow="0" firstDataRow="1" firstDataCol="1" rowPageCount="3" colPageCount="1"/>
  <pivotFields count="8">
    <pivotField axis="axisPage" showAll="0">
      <items count="2387">
        <item x="249"/>
        <item m="1" x="2384"/>
        <item m="1" x="2339"/>
        <item m="1" x="2338"/>
        <item m="1" x="2352"/>
        <item m="1" x="2342"/>
        <item m="1" x="2304"/>
        <item m="1" x="2323"/>
        <item m="1" x="2330"/>
        <item m="1" x="2350"/>
        <item m="1" x="2329"/>
        <item m="1" x="2358"/>
        <item m="1" x="2366"/>
        <item m="1" x="2327"/>
        <item m="1" x="2373"/>
        <item m="1" x="2320"/>
        <item m="1" x="2378"/>
        <item m="1" x="2333"/>
        <item m="1" x="2293"/>
        <item m="1" x="2382"/>
        <item m="1" x="2385"/>
        <item m="1" x="2300"/>
        <item m="1" x="2341"/>
        <item m="1" x="2295"/>
        <item m="1" x="2296"/>
        <item m="1" x="2298"/>
        <item m="1" x="2312"/>
        <item m="1" x="2313"/>
        <item m="1" x="2359"/>
        <item m="1" x="2347"/>
        <item m="1" x="2348"/>
        <item m="1" x="2353"/>
        <item m="1" x="2364"/>
        <item m="1" x="2343"/>
        <item m="1" x="2305"/>
        <item m="1" x="2310"/>
        <item m="1" x="2317"/>
        <item m="1" x="2367"/>
        <item x="0"/>
        <item m="1" x="2354"/>
        <item m="1" x="2360"/>
        <item m="1" x="2318"/>
        <item x="1"/>
        <item m="1" x="2361"/>
        <item m="1" x="2380"/>
        <item x="2"/>
        <item x="3"/>
        <item m="1" x="2324"/>
        <item m="1" x="2375"/>
        <item m="1" x="2321"/>
        <item m="1" x="2371"/>
        <item m="1" x="2379"/>
        <item m="1" x="2383"/>
        <item x="4"/>
        <item m="1" x="2294"/>
        <item x="5"/>
        <item x="6"/>
        <item m="1" x="233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6"/>
        <item x="157"/>
        <item x="158"/>
        <item x="159"/>
        <item x="160"/>
        <item x="161"/>
        <item x="162"/>
        <item x="163"/>
        <item x="164"/>
        <item x="165"/>
        <item x="166"/>
        <item x="167"/>
        <item x="168"/>
        <item x="169"/>
        <item m="1" x="23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4"/>
        <item x="276"/>
        <item x="277"/>
        <item x="278"/>
        <item x="275"/>
        <item m="1" x="2331"/>
        <item x="279"/>
        <item x="280"/>
        <item x="281"/>
        <item x="282"/>
        <item x="283"/>
        <item x="284"/>
        <item x="285"/>
        <item x="286"/>
        <item x="287"/>
        <item x="288"/>
        <item x="289"/>
        <item x="290"/>
        <item x="291"/>
        <item x="292"/>
        <item x="293"/>
        <item x="294"/>
        <item x="295"/>
        <item x="296"/>
        <item m="1" x="2335"/>
        <item x="297"/>
        <item x="298"/>
        <item x="299"/>
        <item m="1" x="2337"/>
        <item x="300"/>
        <item x="302"/>
        <item x="303"/>
        <item x="301"/>
        <item x="304"/>
        <item x="305"/>
        <item x="306"/>
        <item x="307"/>
        <item x="308"/>
        <item x="309"/>
        <item x="310"/>
        <item x="311"/>
        <item x="312"/>
        <item m="1" x="2301"/>
        <item x="313"/>
        <item m="1" x="2303"/>
        <item x="314"/>
        <item x="315"/>
        <item x="316"/>
        <item x="317"/>
        <item x="318"/>
        <item x="319"/>
        <item x="320"/>
        <item x="321"/>
        <item m="1" x="2349"/>
        <item x="323"/>
        <item x="324"/>
        <item x="325"/>
        <item x="326"/>
        <item x="322"/>
        <item x="327"/>
        <item x="328"/>
        <item x="329"/>
        <item x="330"/>
        <item x="331"/>
        <item m="1" x="2340"/>
        <item x="332"/>
        <item m="1" x="2302"/>
        <item x="333"/>
        <item x="334"/>
        <item x="335"/>
        <item x="336"/>
        <item x="337"/>
        <item x="338"/>
        <item x="344"/>
        <item m="1" x="230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9"/>
        <item x="375"/>
        <item x="376"/>
        <item x="373"/>
        <item x="377"/>
        <item x="378"/>
        <item x="379"/>
        <item x="380"/>
        <item m="1" x="2344"/>
        <item x="381"/>
        <item x="382"/>
        <item x="383"/>
        <item x="384"/>
        <item x="385"/>
        <item x="386"/>
        <item x="387"/>
        <item x="388"/>
        <item x="389"/>
        <item x="390"/>
        <item x="391"/>
        <item x="392"/>
        <item x="393"/>
        <item x="394"/>
        <item x="395"/>
        <item x="396"/>
        <item x="397"/>
        <item x="399"/>
        <item x="400"/>
        <item x="401"/>
        <item x="398"/>
        <item x="402"/>
        <item m="1" x="2345"/>
        <item x="403"/>
        <item x="404"/>
        <item x="405"/>
        <item x="406"/>
        <item x="407"/>
        <item x="408"/>
        <item x="409"/>
        <item m="1" x="2311"/>
        <item x="410"/>
        <item x="411"/>
        <item x="421"/>
        <item x="412"/>
        <item x="413"/>
        <item x="414"/>
        <item x="415"/>
        <item x="416"/>
        <item x="417"/>
        <item m="1" x="2365"/>
        <item x="418"/>
        <item x="419"/>
        <item x="420"/>
        <item x="423"/>
        <item x="443"/>
        <item x="424"/>
        <item x="422"/>
        <item x="425"/>
        <item x="426"/>
        <item x="427"/>
        <item x="428"/>
        <item x="429"/>
        <item x="430"/>
        <item x="431"/>
        <item x="432"/>
        <item m="1" x="2357"/>
        <item x="433"/>
        <item x="434"/>
        <item x="435"/>
        <item x="436"/>
        <item x="438"/>
        <item x="437"/>
        <item x="439"/>
        <item x="440"/>
        <item x="442"/>
        <item x="441"/>
        <item x="445"/>
        <item x="446"/>
        <item x="447"/>
        <item x="444"/>
        <item x="448"/>
        <item x="449"/>
        <item x="450"/>
        <item x="451"/>
        <item x="452"/>
        <item x="453"/>
        <item x="454"/>
        <item x="455"/>
        <item x="456"/>
        <item x="457"/>
        <item m="1" x="2319"/>
        <item x="458"/>
        <item x="459"/>
        <item m="1" x="2368"/>
        <item x="460"/>
        <item x="461"/>
        <item x="462"/>
        <item x="463"/>
        <item m="1" x="2377"/>
        <item x="464"/>
        <item x="465"/>
        <item x="466"/>
        <item x="467"/>
        <item x="468"/>
        <item x="469"/>
        <item x="470"/>
        <item m="1" x="2356"/>
        <item x="471"/>
        <item x="472"/>
        <item x="473"/>
        <item x="474"/>
        <item x="475"/>
        <item x="476"/>
        <item x="477"/>
        <item x="478"/>
        <item x="479"/>
        <item x="480"/>
        <item x="481"/>
        <item x="482"/>
        <item x="483"/>
        <item x="484"/>
        <item m="1" x="2332"/>
        <item x="490"/>
        <item x="485"/>
        <item x="486"/>
        <item x="487"/>
        <item x="488"/>
        <item x="489"/>
        <item x="491"/>
        <item x="492"/>
        <item m="1" x="2325"/>
        <item m="1" x="2369"/>
        <item x="503"/>
        <item m="1" x="2372"/>
        <item x="493"/>
        <item x="494"/>
        <item x="504"/>
        <item x="495"/>
        <item x="496"/>
        <item x="497"/>
        <item x="498"/>
        <item x="499"/>
        <item x="500"/>
        <item x="501"/>
        <item x="502"/>
        <item x="505"/>
        <item x="506"/>
        <item x="507"/>
        <item x="508"/>
        <item m="1" x="232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1"/>
        <item x="564"/>
        <item x="565"/>
        <item x="566"/>
        <item x="567"/>
        <item x="568"/>
        <item x="569"/>
        <item x="570"/>
        <item x="571"/>
        <item x="572"/>
        <item x="573"/>
        <item x="574"/>
        <item m="1" x="229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8"/>
        <item x="698"/>
        <item x="708"/>
        <item x="709"/>
        <item x="710"/>
        <item x="699"/>
        <item x="700"/>
        <item x="701"/>
        <item x="702"/>
        <item x="703"/>
        <item x="704"/>
        <item x="705"/>
        <item x="706"/>
        <item x="707"/>
        <item x="711"/>
        <item x="726"/>
        <item x="727"/>
        <item x="734"/>
        <item x="712"/>
        <item x="728"/>
        <item x="729"/>
        <item m="1" x="235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4"/>
        <item x="753"/>
        <item m="1" x="2316"/>
        <item x="740"/>
        <item x="754"/>
        <item x="741"/>
        <item x="742"/>
        <item x="743"/>
        <item x="744"/>
        <item x="745"/>
        <item x="746"/>
        <item x="747"/>
        <item x="755"/>
        <item x="748"/>
        <item x="757"/>
        <item x="758"/>
        <item x="769"/>
        <item x="759"/>
        <item m="1" x="2363"/>
        <item x="760"/>
        <item x="761"/>
        <item x="770"/>
        <item m="1" x="2370"/>
        <item x="762"/>
        <item x="771"/>
        <item x="763"/>
        <item x="764"/>
        <item x="765"/>
        <item x="766"/>
        <item x="772"/>
        <item x="773"/>
        <item x="767"/>
        <item x="768"/>
        <item x="774"/>
        <item x="775"/>
        <item x="790"/>
        <item x="776"/>
        <item x="791"/>
        <item x="777"/>
        <item x="778"/>
        <item x="792"/>
        <item x="779"/>
        <item x="780"/>
        <item x="781"/>
        <item x="782"/>
        <item x="793"/>
        <item x="783"/>
        <item x="794"/>
        <item x="795"/>
        <item x="228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1"/>
        <item x="944"/>
        <item m="1" x="231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2"/>
        <item x="1583"/>
        <item x="1577"/>
        <item x="1578"/>
        <item x="1576"/>
        <item x="1579"/>
        <item x="1580"/>
        <item x="1586"/>
        <item x="1587"/>
        <item x="1581"/>
        <item x="1582"/>
        <item x="1588"/>
        <item x="1589"/>
        <item x="1590"/>
        <item x="1602"/>
        <item x="1612"/>
        <item m="1" x="230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t="default"/>
      </items>
    </pivotField>
    <pivotField axis="axisRow" showAll="0">
      <items count="257">
        <item sd="0" x="122"/>
        <item sd="0" x="120"/>
        <item sd="0" x="117"/>
        <item sd="0" x="104"/>
        <item sd="0" x="114"/>
        <item sd="0" x="113"/>
        <item sd="0" x="115"/>
        <item sd="0" x="112"/>
        <item sd="0" m="1" x="125"/>
        <item sd="0" x="111"/>
        <item sd="0" x="106"/>
        <item sd="0" x="118"/>
        <item sd="0" x="105"/>
        <item sd="0" x="103"/>
        <item sd="0" x="109"/>
        <item sd="0" x="107"/>
        <item sd="0" x="99"/>
        <item sd="0" x="102"/>
        <item sd="0" x="100"/>
        <item sd="0" x="98"/>
        <item sd="0" x="95"/>
        <item sd="0" x="97"/>
        <item sd="0" m="1" x="131"/>
        <item sd="0" x="94"/>
        <item sd="0" x="92"/>
        <item sd="0" x="91"/>
        <item sd="0" x="90"/>
        <item sd="0" x="52"/>
        <item sd="0" x="89"/>
        <item sd="0" x="87"/>
        <item sd="0" x="88"/>
        <item sd="0" x="85"/>
        <item sd="0" x="72"/>
        <item sd="0" x="79"/>
        <item sd="0" x="84"/>
        <item sd="0" x="83"/>
        <item sd="0" m="1" x="13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4"/>
        <item sd="0" x="49"/>
        <item sd="0" x="24"/>
        <item sd="0" x="33"/>
        <item sd="0" x="23"/>
        <item sd="0" x="22"/>
        <item sd="0" x="34"/>
        <item n="JPMC (Main Project)" sd="0" x="11"/>
        <item sd="0" x="18"/>
        <item sd="0" x="48"/>
        <item sd="0" x="46"/>
        <item sd="0" x="45"/>
        <item sd="0" x="37"/>
        <item sd="0" x="47"/>
        <item sd="0" m="1" x="169"/>
        <item sd="0" x="44"/>
        <item sd="0" m="1" x="183"/>
        <item sd="0" x="42"/>
        <item sd="0" x="40"/>
        <item sd="0" x="15"/>
        <item sd="0" x="27"/>
        <item sd="0" x="30"/>
        <item sd="0" x="25"/>
        <item sd="0" x="29"/>
        <item sd="0" x="8"/>
        <item sd="0" x="9"/>
        <item sd="0" m="1" x="178"/>
        <item sd="0" m="1" x="148"/>
        <item sd="0" m="1" x="199"/>
        <item sd="0" m="1" x="143"/>
        <item sd="0" m="1" x="155"/>
        <item sd="0" m="1" x="184"/>
        <item sd="0" x="13"/>
        <item sd="0" m="1" x="253"/>
        <item sd="0" m="1" x="233"/>
        <item sd="0" m="1" x="225"/>
        <item sd="0" m="1" x="163"/>
        <item sd="0" m="1" x="160"/>
        <item sd="0" m="1" x="249"/>
        <item sd="0" m="1" x="227"/>
        <item sd="0" m="1" x="236"/>
        <item sd="0" m="1" x="221"/>
        <item sd="0" m="1" x="211"/>
        <item sd="0" m="1" x="146"/>
        <item sd="0" m="1" x="174"/>
        <item sd="0" x="17"/>
        <item sd="0" m="1" x="180"/>
        <item sd="0" m="1" x="194"/>
        <item sd="0" m="1" x="147"/>
        <item sd="0" x="14"/>
        <item sd="0" m="1" x="243"/>
        <item sd="0" x="86"/>
        <item sd="0" m="1" x="189"/>
        <item sd="0" m="1" x="246"/>
        <item sd="0" m="1" x="182"/>
        <item sd="0" m="1" x="203"/>
        <item sd="0" m="1" x="201"/>
        <item sd="0" m="1" x="154"/>
        <item sd="0" m="1" x="192"/>
        <item sd="0" m="1" x="158"/>
        <item sd="0" m="1" x="198"/>
        <item sd="0" m="1" x="235"/>
        <item sd="0" m="1" x="193"/>
        <item sd="0" m="1" x="206"/>
        <item sd="0" x="10"/>
        <item sd="0" m="1" x="209"/>
        <item sd="0" x="1"/>
        <item sd="0" m="1" x="156"/>
        <item sd="0" m="1" x="210"/>
        <item sd="0" m="1" x="179"/>
        <item sd="0" m="1" x="237"/>
        <item sd="0" m="1" x="240"/>
        <item sd="0" m="1" x="213"/>
        <item sd="0" m="1" x="141"/>
        <item sd="0" m="1" x="162"/>
        <item sd="0" m="1" x="204"/>
        <item sd="0" m="1" x="197"/>
        <item sd="0" m="1" x="151"/>
        <item sd="0" m="1" x="145"/>
        <item sd="0" m="1" x="231"/>
        <item sd="0" x="3"/>
        <item sd="0" m="1" x="170"/>
        <item sd="0" x="7"/>
        <item sd="0" m="1" x="185"/>
        <item sd="0" x="2"/>
        <item sd="0" m="1" x="234"/>
        <item sd="0" m="1" x="191"/>
        <item sd="0" x="12"/>
        <item sd="0" m="1" x="173"/>
        <item sd="0" x="4"/>
        <item sd="0" m="1" x="252"/>
        <item sd="0" m="1" x="159"/>
        <item sd="0" m="1" x="167"/>
        <item sd="0" m="1" x="219"/>
        <item sd="0" x="116"/>
        <item sd="0" m="1" x="230"/>
        <item sd="0" m="1" x="150"/>
        <item sd="0" m="1" x="244"/>
        <item sd="0" m="1" x="161"/>
        <item sd="0" m="1" x="166"/>
        <item sd="0" x="6"/>
        <item sd="0" m="1" x="222"/>
        <item sd="0" m="1" x="226"/>
        <item sd="0" m="1" x="241"/>
        <item sd="0" m="1" x="247"/>
        <item sd="0" m="1" x="242"/>
        <item sd="0" x="16"/>
        <item sd="0" m="1" x="140"/>
        <item sd="0" m="1" x="215"/>
        <item sd="0" m="1" x="208"/>
        <item sd="0" m="1" x="224"/>
        <item sd="0" m="1" x="186"/>
        <item m="1" x="200"/>
        <item sd="0" m="1" x="164"/>
        <item sd="0" m="1" x="228"/>
        <item sd="0" m="1" x="187"/>
        <item sd="0" m="1" x="214"/>
        <item sd="0" m="1" x="239"/>
        <item sd="0" x="28"/>
        <item sd="0" m="1" x="202"/>
        <item sd="0" m="1" x="229"/>
        <item sd="0" m="1" x="255"/>
        <item sd="0" m="1" x="177"/>
        <item m="1" x="217"/>
        <item sd="0" m="1" x="216"/>
        <item sd="0" m="1" x="250"/>
        <item sd="0" m="1" x="172"/>
        <item m="1" x="238"/>
        <item sd="0" m="1" x="149"/>
        <item sd="0" m="1" x="195"/>
        <item sd="0" x="41"/>
        <item sd="0" m="1" x="205"/>
        <item sd="0" x="20"/>
        <item sd="0" x="36"/>
        <item sd="0" x="32"/>
        <item sd="0" x="31"/>
        <item sd="0" m="1" x="232"/>
        <item m="1" x="165"/>
        <item sd="0" x="51"/>
        <item sd="0" m="1" x="223"/>
        <item sd="0" m="1" x="188"/>
        <item sd="0" m="1" x="181"/>
        <item sd="0" m="1" x="153"/>
        <item sd="0" x="0"/>
        <item sd="0" x="26"/>
        <item sd="0" x="19"/>
        <item sd="0" m="1" x="175"/>
        <item sd="0" x="21"/>
        <item sd="0" m="1" x="245"/>
        <item sd="0" x="63"/>
        <item sd="0" x="64"/>
        <item sd="0" m="1" x="126"/>
        <item m="1" x="190"/>
        <item sd="0" x="70"/>
        <item m="1" x="220"/>
        <item m="1" x="152"/>
        <item m="1" x="157"/>
        <item sd="0" m="1" x="142"/>
        <item sd="0" m="1" x="212"/>
        <item sd="0" m="1" x="144"/>
        <item sd="0" m="1" x="139"/>
        <item m="1" x="207"/>
        <item sd="0" m="1" x="248"/>
        <item sd="0" x="82"/>
        <item sd="0" m="1" x="251"/>
        <item sd="0" m="1" x="196"/>
        <item sd="0" m="1" x="168"/>
        <item sd="0" x="123"/>
        <item sd="0" m="1" x="171"/>
        <item sd="0" m="1" x="218"/>
        <item sd="0" m="1" x="176"/>
        <item sd="0" m="1" x="134"/>
        <item sd="0" x="93"/>
        <item sd="0" m="1" x="137"/>
        <item sd="0" m="1" x="136"/>
        <item sd="0" m="1" x="135"/>
        <item m="1" x="138"/>
        <item sd="0" m="1" x="128"/>
        <item sd="0" x="96"/>
        <item m="1" x="132"/>
        <item m="1" x="133"/>
        <item sd="0" m="1" x="129"/>
        <item sd="0" x="101"/>
        <item sd="0" m="1" x="127"/>
        <item sd="0" x="108"/>
        <item sd="0" x="110"/>
        <item sd="0" x="119"/>
        <item m="1" x="124"/>
        <item sd="0" x="121"/>
        <item t="default"/>
      </items>
    </pivotField>
    <pivotField axis="axisRow" showAll="0">
      <items count="1127">
        <item sd="0" x="60"/>
        <item sd="0" x="149"/>
        <item sd="0" m="1" x="970"/>
        <item sd="0" m="1" x="1067"/>
        <item sd="0" m="1" x="932"/>
        <item sd="0" x="18"/>
        <item sd="0" x="288"/>
        <item sd="0" m="1" x="1108"/>
        <item sd="0" x="146"/>
        <item sd="0" x="179"/>
        <item sd="0" m="1" x="1105"/>
        <item sd="0" x="623"/>
        <item sd="0" x="100"/>
        <item sd="0" m="1" x="917"/>
        <item sd="0" m="1" x="1071"/>
        <item sd="0" x="137"/>
        <item sd="0" m="1" x="1053"/>
        <item sd="0" x="231"/>
        <item sd="0" m="1" x="888"/>
        <item sd="0" m="1" x="1058"/>
        <item sd="0" x="363"/>
        <item sd="0" x="375"/>
        <item sd="0" m="1" x="946"/>
        <item sd="0" x="208"/>
        <item sd="0" x="159"/>
        <item sd="0" x="258"/>
        <item sd="0" x="282"/>
        <item sd="0" x="144"/>
        <item sd="0" x="191"/>
        <item sd="0" x="217"/>
        <item sd="0" x="322"/>
        <item sd="0" x="256"/>
        <item sd="0" x="189"/>
        <item sd="0" m="1" x="1008"/>
        <item sd="0" x="325"/>
        <item sd="0" m="1" x="1109"/>
        <item sd="0" m="1" x="1006"/>
        <item sd="0" x="630"/>
        <item sd="0" x="223"/>
        <item sd="0" m="1" x="900"/>
        <item sd="0" x="239"/>
        <item sd="0" x="135"/>
        <item sd="0" x="140"/>
        <item sd="0" m="1" x="1082"/>
        <item sd="0" m="1" x="1012"/>
        <item sd="0" x="219"/>
        <item sd="0" x="562"/>
        <item sd="0" x="93"/>
        <item sd="0" m="1" x="1079"/>
        <item sd="0" x="222"/>
        <item sd="0" m="1" x="913"/>
        <item sd="0" x="337"/>
        <item sd="0" x="207"/>
        <item sd="0" x="184"/>
        <item sd="0" x="152"/>
        <item sd="0" m="1" x="1092"/>
        <item sd="0" x="40"/>
        <item sd="0" x="281"/>
        <item sd="0" x="170"/>
        <item sd="0" x="317"/>
        <item sd="0" x="358"/>
        <item sd="0" x="214"/>
        <item sd="0" x="370"/>
        <item sd="0" x="279"/>
        <item sd="0" x="156"/>
        <item sd="0" x="700"/>
        <item sd="0" x="253"/>
        <item sd="0" m="1" x="1068"/>
        <item sd="0" m="1" x="879"/>
        <item sd="0" x="365"/>
        <item sd="0" m="1" x="931"/>
        <item sd="0" m="1" x="896"/>
        <item sd="0" x="259"/>
        <item sd="0" x="252"/>
        <item sd="0" m="1" x="1011"/>
        <item sd="0" x="12"/>
        <item sd="0" x="352"/>
        <item sd="0" x="218"/>
        <item sd="0" x="224"/>
        <item sd="0" x="63"/>
        <item sd="0" x="8"/>
        <item sd="0" x="102"/>
        <item sd="0" m="1" x="918"/>
        <item sd="0" m="1" x="1111"/>
        <item sd="0" x="319"/>
        <item sd="0" m="1" x="923"/>
        <item sd="0" m="1" x="1122"/>
        <item sd="0" x="386"/>
        <item sd="0" x="31"/>
        <item sd="0" x="55"/>
        <item sd="0" x="227"/>
        <item sd="0" x="356"/>
        <item sd="0" x="161"/>
        <item sd="0" x="153"/>
        <item sd="0" x="863"/>
        <item sd="0" x="133"/>
        <item sd="0" m="1" x="904"/>
        <item sd="0" m="1" x="897"/>
        <item sd="0" m="1" x="1097"/>
        <item sd="0" x="46"/>
        <item sd="0" x="374"/>
        <item sd="0" m="1" x="906"/>
        <item sd="0" x="270"/>
        <item sd="0" m="1" x="987"/>
        <item sd="0" m="1" x="952"/>
        <item sd="0" m="1" x="988"/>
        <item sd="0" m="1" x="968"/>
        <item sd="0" m="1" x="1078"/>
        <item sd="0" m="1" x="1021"/>
        <item sd="0" m="1" x="984"/>
        <item sd="0" x="366"/>
        <item sd="0" x="318"/>
        <item sd="0" m="1" x="945"/>
        <item sd="0" x="273"/>
        <item sd="0" m="1" x="1043"/>
        <item sd="0" x="201"/>
        <item sd="0" m="1" x="972"/>
        <item sd="0" x="160"/>
        <item sd="0" m="1" x="1075"/>
        <item sd="0" m="1" x="1035"/>
        <item sd="0" m="1" x="930"/>
        <item sd="0" x="277"/>
        <item sd="0" m="1" x="1029"/>
        <item sd="0" x="225"/>
        <item sd="0" m="1" x="902"/>
        <item sd="0" m="1" x="905"/>
        <item sd="0" m="1" x="916"/>
        <item sd="0" x="292"/>
        <item sd="0" x="15"/>
        <item sd="0" m="1" x="943"/>
        <item sd="0" m="1" x="958"/>
        <item sd="0" x="0"/>
        <item sd="0" x="232"/>
        <item sd="0" x="213"/>
        <item sd="0" m="1" x="1077"/>
        <item sd="0" x="316"/>
        <item sd="0" m="1" x="887"/>
        <item sd="0" x="291"/>
        <item sd="0" x="333"/>
        <item sd="0" x="339"/>
        <item sd="0" x="275"/>
        <item sd="0" m="1" x="919"/>
        <item sd="0" x="174"/>
        <item sd="0" x="171"/>
        <item sd="0" x="233"/>
        <item sd="0" x="78"/>
        <item sd="0" m="1" x="978"/>
        <item sd="0" x="236"/>
        <item sd="0" x="58"/>
        <item sd="0" x="240"/>
        <item sd="0" m="1" x="912"/>
        <item sd="0" x="182"/>
        <item sd="0" x="307"/>
        <item sd="0" x="780"/>
        <item sd="0" x="290"/>
        <item sd="0" m="1" x="1003"/>
        <item sd="0" m="1" x="1064"/>
        <item sd="0" x="132"/>
        <item sd="0" x="56"/>
        <item sd="0" x="126"/>
        <item sd="0" x="22"/>
        <item sd="0" x="187"/>
        <item sd="0" m="1" x="893"/>
        <item sd="0" m="1" x="1095"/>
        <item sd="0" m="1" x="899"/>
        <item sd="0" x="11"/>
        <item sd="0" x="353"/>
        <item sd="0" m="1" x="983"/>
        <item sd="0" x="124"/>
        <item sd="0" m="1" x="1125"/>
        <item sd="0" x="77"/>
        <item sd="0" m="1" x="1007"/>
        <item sd="0" x="92"/>
        <item sd="0" x="35"/>
        <item sd="0" x="196"/>
        <item sd="0" m="1" x="1104"/>
        <item sd="0" x="1"/>
        <item sd="0" x="180"/>
        <item sd="0" x="285"/>
        <item sd="0" m="1" x="1024"/>
        <item sd="0" x="42"/>
        <item sd="0" m="1" x="1045"/>
        <item sd="0" m="1" x="1015"/>
        <item sd="0" m="1" x="1032"/>
        <item sd="0" m="1" x="966"/>
        <item sd="0" x="84"/>
        <item sd="0" x="106"/>
        <item sd="0" m="1" x="878"/>
        <item sd="0" x="336"/>
        <item sd="0" m="1" x="1038"/>
        <item sd="0" m="1" x="880"/>
        <item sd="0" m="1" x="875"/>
        <item sd="0" m="1" x="1025"/>
        <item sd="0" m="1" x="908"/>
        <item sd="0" m="1" x="1055"/>
        <item sd="0" m="1" x="909"/>
        <item sd="0" x="16"/>
        <item sd="0" m="1" x="1034"/>
        <item sd="0" m="1" x="948"/>
        <item sd="0" x="280"/>
        <item sd="0" x="104"/>
        <item sd="0" x="332"/>
        <item sd="0" m="1" x="971"/>
        <item sd="0" x="348"/>
        <item sd="0" x="23"/>
        <item sd="0" x="362"/>
        <item sd="0" x="237"/>
        <item sd="0" x="91"/>
        <item sd="0" x="13"/>
        <item sd="0" x="175"/>
        <item sd="0" x="343"/>
        <item sd="0" m="1" x="1115"/>
        <item sd="0" m="1" x="1090"/>
        <item sd="0" x="87"/>
        <item sd="0" x="690"/>
        <item sd="0" x="33"/>
        <item sd="0" x="19"/>
        <item sd="0" m="1" x="882"/>
        <item sd="0" x="20"/>
        <item sd="0" m="1" x="894"/>
        <item sd="0" x="96"/>
        <item sd="0" m="1" x="1107"/>
        <item sd="0" m="1" x="1084"/>
        <item sd="0" m="1" x="959"/>
        <item sd="0" x="120"/>
        <item sd="0" x="131"/>
        <item sd="0" x="119"/>
        <item sd="0" m="1" x="1036"/>
        <item sd="0" m="1" x="1027"/>
        <item sd="0" m="1" x="892"/>
        <item sd="0" m="1" x="1013"/>
        <item sd="0" x="228"/>
        <item sd="0" x="39"/>
        <item sd="0" x="108"/>
        <item sd="0" x="24"/>
        <item sd="0" x="139"/>
        <item sd="0" m="1" x="1094"/>
        <item sd="0" x="17"/>
        <item sd="0" x="248"/>
        <item sd="0" x="48"/>
        <item sd="0" m="1" x="1009"/>
        <item sd="0" m="1" x="1069"/>
        <item sd="0" x="134"/>
        <item sd="0" x="596"/>
        <item sd="0" m="1" x="980"/>
        <item sd="0" x="69"/>
        <item sd="0" x="34"/>
        <item sd="0" x="206"/>
        <item sd="0" m="1" x="1110"/>
        <item sd="0" m="1" x="986"/>
        <item sd="0" m="1" x="1004"/>
        <item sd="0" m="1" x="947"/>
        <item sd="0" x="268"/>
        <item sd="0" x="376"/>
        <item sd="0" x="331"/>
        <item sd="0" m="1" x="939"/>
        <item sd="0" x="360"/>
        <item sd="0" m="1" x="1085"/>
        <item sd="0" x="89"/>
        <item sd="0" x="355"/>
        <item sd="0" m="1" x="985"/>
        <item sd="0" x="168"/>
        <item sd="0" m="1" x="883"/>
        <item sd="0" m="1" x="876"/>
        <item sd="0" x="272"/>
        <item sd="0" x="51"/>
        <item sd="0" x="190"/>
        <item sd="0" x="50"/>
        <item sd="0" x="79"/>
        <item sd="0" x="32"/>
        <item sd="0" m="1" x="1072"/>
        <item sd="0" x="188"/>
        <item sd="0" x="110"/>
        <item sd="0" m="1" x="1091"/>
        <item sd="0" m="1" x="1088"/>
        <item sd="0" m="1" x="995"/>
        <item sd="0" m="1" x="941"/>
        <item sd="0" m="1" x="990"/>
        <item sd="0" m="1" x="962"/>
        <item sd="0" x="226"/>
        <item sd="0" x="57"/>
        <item sd="0" m="1" x="993"/>
        <item sd="0" x="340"/>
        <item sd="0" x="265"/>
        <item sd="0" x="294"/>
        <item sd="0" m="1" x="1019"/>
        <item sd="0" x="62"/>
        <item sd="0" x="295"/>
        <item sd="0" x="3"/>
        <item sd="0" x="151"/>
        <item sd="0" x="210"/>
        <item sd="0" x="54"/>
        <item sd="0" m="1" x="1050"/>
        <item sd="0" m="1" x="1033"/>
        <item sd="0" x="323"/>
        <item sd="0" m="1" x="928"/>
        <item sd="0" x="75"/>
        <item sd="0" m="1" x="957"/>
        <item sd="0" x="186"/>
        <item sd="0" x="361"/>
        <item sd="0" x="368"/>
        <item sd="0" x="327"/>
        <item sd="0" x="195"/>
        <item sd="0" m="1" x="1023"/>
        <item sd="0" m="1" x="1063"/>
        <item sd="0" x="123"/>
        <item sd="0" m="1" x="954"/>
        <item sd="0" x="194"/>
        <item sd="0" x="121"/>
        <item sd="0" x="53"/>
        <item sd="0" m="1" x="1080"/>
        <item sd="0" x="278"/>
        <item sd="0" x="212"/>
        <item sd="0" m="1" x="1065"/>
        <item sd="0" m="1" x="1056"/>
        <item sd="0" m="1" x="1123"/>
        <item sd="0" m="1" x="910"/>
        <item sd="0" m="1" x="1117"/>
        <item sd="0" x="117"/>
        <item sd="0" x="111"/>
        <item sd="0" x="81"/>
        <item sd="0" x="7"/>
        <item sd="0" x="235"/>
        <item sd="0" x="287"/>
        <item sd="0" m="1" x="1054"/>
        <item sd="0" m="1" x="1101"/>
        <item sd="0" x="2"/>
        <item sd="0" m="1" x="1116"/>
        <item sd="0" m="1" x="976"/>
        <item sd="0" x="163"/>
        <item sd="0" m="1" x="1048"/>
        <item sd="0" m="1" x="922"/>
        <item sd="0" m="1" x="1124"/>
        <item sd="0" m="1" x="889"/>
        <item sd="0" m="1" x="886"/>
        <item sd="0" x="130"/>
        <item sd="0" x="88"/>
        <item sd="0" m="1" x="1119"/>
        <item sd="0" x="204"/>
        <item sd="0" x="72"/>
        <item sd="0" x="73"/>
        <item sd="0" x="28"/>
        <item sd="0" x="47"/>
        <item sd="0" x="181"/>
        <item sd="0" x="26"/>
        <item sd="0" x="86"/>
        <item sd="0" x="230"/>
        <item sd="0" m="1" x="992"/>
        <item sd="0" m="1" x="975"/>
        <item sd="0" m="1" x="1010"/>
        <item sd="0" x="94"/>
        <item sd="0" x="107"/>
        <item sd="0" x="309"/>
        <item sd="0" x="38"/>
        <item sd="0" x="145"/>
        <item sd="0" x="101"/>
        <item sd="0" x="369"/>
        <item sd="0" x="10"/>
        <item sd="0" x="74"/>
        <item sd="0" x="264"/>
        <item sd="0" m="1" x="961"/>
        <item sd="0" x="178"/>
        <item sd="0" x="266"/>
        <item sd="0" x="364"/>
        <item sd="0" x="98"/>
        <item sd="0" x="165"/>
        <item sd="0" x="66"/>
        <item sd="0" x="5"/>
        <item sd="0" m="1" x="935"/>
        <item sd="0" x="359"/>
        <item sd="0" m="1" x="1114"/>
        <item sd="0" x="269"/>
        <item sd="0" x="215"/>
        <item sd="0" x="349"/>
        <item sd="0" x="283"/>
        <item sd="0" x="185"/>
        <item sd="0" x="220"/>
        <item sd="0" m="1" x="1102"/>
        <item sd="0" m="1" x="881"/>
        <item sd="0" x="4"/>
        <item sd="0" x="377"/>
        <item sd="0" x="262"/>
        <item sd="0" x="326"/>
        <item sd="0" x="173"/>
        <item sd="0" x="200"/>
        <item sd="0" m="1" x="920"/>
        <item sd="0" x="345"/>
        <item sd="0" x="30"/>
        <item sd="0" m="1" x="1051"/>
        <item sd="0" x="242"/>
        <item sd="0" m="1" x="982"/>
        <item sd="0" m="1" x="890"/>
        <item sd="0" x="243"/>
        <item sd="0" m="1" x="1096"/>
        <item sd="0" m="1" x="1099"/>
        <item sd="0" x="303"/>
        <item sd="0" x="37"/>
        <item sd="0" x="357"/>
        <item sd="0" m="1" x="994"/>
        <item sd="0" m="1" x="1044"/>
        <item sd="0" x="115"/>
        <item sd="0" m="1" x="1093"/>
        <item sd="0" m="1" x="901"/>
        <item sd="0" m="1" x="964"/>
        <item sd="0" x="128"/>
        <item sd="0" m="1" x="1100"/>
        <item sd="0" m="1" x="1076"/>
        <item sd="0" x="255"/>
        <item sd="0" x="199"/>
        <item sd="0" x="329"/>
        <item sd="0" x="297"/>
        <item sd="0" x="310"/>
        <item sd="0" x="83"/>
        <item sd="0" m="1" x="1000"/>
        <item sd="0" m="1" x="884"/>
        <item sd="0" x="80"/>
        <item sd="0" m="1" x="953"/>
        <item sd="0" m="1" x="1089"/>
        <item sd="0" x="97"/>
        <item sd="0" x="289"/>
        <item sd="0" m="1" x="1039"/>
        <item sd="0" x="116"/>
        <item sd="0" x="209"/>
        <item sd="0" x="198"/>
        <item sd="0" x="150"/>
        <item sd="0" x="136"/>
        <item sd="0" m="1" x="981"/>
        <item sd="0" x="109"/>
        <item sd="0" x="524"/>
        <item sd="0" m="1" x="960"/>
        <item sd="0" m="1" x="1060"/>
        <item sd="0" x="284"/>
        <item sd="0" x="296"/>
        <item sd="0" x="211"/>
        <item sd="0" x="45"/>
        <item sd="0" m="1" x="1040"/>
        <item sd="0" m="1" x="1031"/>
        <item sd="0" x="155"/>
        <item sd="0" m="1" x="1061"/>
        <item sd="0" x="61"/>
        <item sd="0" x="129"/>
        <item sd="0" x="105"/>
        <item sd="0" m="1" x="907"/>
        <item sd="0" x="157"/>
        <item sd="0" x="14"/>
        <item sd="0" x="43"/>
        <item sd="0" x="250"/>
        <item sd="0" x="238"/>
        <item sd="0" x="103"/>
        <item sd="0" x="70"/>
        <item sd="0" x="299"/>
        <item sd="0" x="127"/>
        <item sd="0" m="1" x="877"/>
        <item sd="0" x="193"/>
        <item sd="0" x="147"/>
        <item sd="0" m="1" x="996"/>
        <item sd="0" x="99"/>
        <item sd="0" x="344"/>
        <item sd="0" x="221"/>
        <item sd="0" m="1" x="1113"/>
        <item sd="0" m="1" x="1118"/>
        <item sd="0" x="271"/>
        <item sd="0" x="166"/>
        <item sd="0" x="286"/>
        <item sd="0" x="304"/>
        <item sd="0" m="1" x="989"/>
        <item sd="0" x="138"/>
        <item sd="0" x="41"/>
        <item sd="0" x="229"/>
        <item sd="0" m="1" x="1047"/>
        <item sd="0" x="71"/>
        <item sd="0" x="64"/>
        <item sd="0" m="1" x="973"/>
        <item sd="0" m="1" x="967"/>
        <item sd="0" x="540"/>
        <item sd="0" x="44"/>
        <item sd="0" x="114"/>
        <item sd="0" x="52"/>
        <item sd="0" x="142"/>
        <item sd="0" x="82"/>
        <item sd="0" x="245"/>
        <item sd="0" x="314"/>
        <item sd="0" m="1" x="1086"/>
        <item sd="0" m="1" x="1057"/>
        <item sd="0" x="308"/>
        <item sd="0" m="1" x="1017"/>
        <item sd="0" m="1" x="1083"/>
        <item sd="0" x="122"/>
        <item sd="0" x="118"/>
        <item sd="0" m="1" x="1037"/>
        <item sd="0" x="169"/>
        <item sd="0" x="197"/>
        <item sd="0" x="125"/>
        <item sd="0" x="203"/>
        <item sd="0" x="267"/>
        <item sd="0" x="301"/>
        <item sd="0" x="85"/>
        <item sd="0" x="25"/>
        <item sd="0" x="244"/>
        <item sd="0" x="112"/>
        <item sd="0" x="192"/>
        <item sd="0" x="302"/>
        <item sd="0" x="260"/>
        <item sd="0" x="261"/>
        <item sd="0" m="1" x="1022"/>
        <item sd="0" x="328"/>
        <item sd="0" x="350"/>
        <item sd="0" x="254"/>
        <item sd="0" x="320"/>
        <item sd="0" x="241"/>
        <item sd="0" x="158"/>
        <item sd="0" m="1" x="1014"/>
        <item sd="0" m="1" x="979"/>
        <item sd="0" m="1" x="1070"/>
        <item sd="0" m="1" x="885"/>
        <item sd="0" m="1" x="937"/>
        <item sd="0" x="143"/>
        <item sd="0" m="1" x="1074"/>
        <item sd="0" x="276"/>
        <item sd="0" x="298"/>
        <item sd="0" x="424"/>
        <item sd="0" x="346"/>
        <item sd="0" x="306"/>
        <item sd="0" m="1" x="1098"/>
        <item sd="0" x="321"/>
        <item sd="0" x="313"/>
        <item sd="0" x="49"/>
        <item sd="0" x="315"/>
        <item sd="0" x="59"/>
        <item sd="0" x="183"/>
        <item sd="0" x="330"/>
        <item sd="0" x="274"/>
        <item sd="0" x="311"/>
        <item sd="0" x="249"/>
        <item sd="0" m="1" x="915"/>
        <item sd="0" m="1" x="1018"/>
        <item sd="0" m="1" x="1120"/>
        <item sd="0" m="1" x="974"/>
        <item sd="0" m="1" x="956"/>
        <item sd="0" m="1" x="955"/>
        <item sd="0" x="90"/>
        <item sd="0" x="202"/>
        <item sd="0" x="67"/>
        <item sd="0" m="1" x="1049"/>
        <item sd="0" x="65"/>
        <item sd="0" x="247"/>
        <item sd="0" m="1" x="926"/>
        <item sd="0" x="216"/>
        <item sd="0" m="1" x="938"/>
        <item sd="0" x="141"/>
        <item sd="0" x="177"/>
        <item sd="0" x="305"/>
        <item sd="0" m="1" x="934"/>
        <item sd="0" x="347"/>
        <item sd="0" m="1" x="1112"/>
        <item sd="0" m="1" x="998"/>
        <item sd="0" x="293"/>
        <item sd="0" x="148"/>
        <item sd="0" x="354"/>
        <item sd="0" m="1" x="1052"/>
        <item sd="0" x="27"/>
        <item sd="0" m="1" x="1062"/>
        <item sd="0" x="68"/>
        <item sd="0" x="6"/>
        <item sd="0" x="263"/>
        <item sd="0" x="154"/>
        <item sd="0" x="164"/>
        <item sd="0" x="172"/>
        <item sd="0" x="205"/>
        <item sd="0" x="351"/>
        <item sd="0" m="1" x="940"/>
        <item sd="0" x="29"/>
        <item sd="0" m="1" x="1106"/>
        <item sd="0" x="9"/>
        <item sd="0" x="335"/>
        <item sd="0" m="1" x="1002"/>
        <item sd="0" m="1" x="1028"/>
        <item sd="0" m="1" x="969"/>
        <item sd="0" x="234"/>
        <item sd="0" x="162"/>
        <item sd="0" m="1" x="942"/>
        <item sd="0" m="1" x="1073"/>
        <item sd="0" m="1" x="1103"/>
        <item sd="0" m="1" x="1087"/>
        <item sd="0" x="300"/>
        <item sd="0" x="167"/>
        <item sd="0" x="76"/>
        <item sd="0" m="1" x="1066"/>
        <item sd="0" x="342"/>
        <item sd="0" x="341"/>
        <item sd="0" m="1" x="903"/>
        <item sd="0" m="1" x="965"/>
        <item sd="0" m="1" x="1041"/>
        <item sd="0" m="1" x="1020"/>
        <item sd="0" x="113"/>
        <item sd="0" x="251"/>
        <item sd="0" x="176"/>
        <item sd="0" x="372"/>
        <item sd="0" x="246"/>
        <item sd="0" m="1" x="891"/>
        <item sd="0" x="257"/>
        <item sd="0" x="95"/>
        <item sd="0" x="338"/>
        <item sd="0" x="36"/>
        <item sd="0" m="1" x="944"/>
        <item sd="0" x="21"/>
        <item sd="0" x="378"/>
        <item sd="0" x="381"/>
        <item sd="0" x="382"/>
        <item sd="0" x="379"/>
        <item sd="0" x="383"/>
        <item sd="0" x="380"/>
        <item sd="0" x="384"/>
        <item sd="0" x="385"/>
        <item sd="0" x="387"/>
        <item sd="0" m="1" x="924"/>
        <item sd="0" m="1" x="963"/>
        <item sd="0" x="388"/>
        <item sd="0" m="1" x="895"/>
        <item sd="0" x="389"/>
        <item sd="0" x="390"/>
        <item sd="0" x="391"/>
        <item sd="0" x="392"/>
        <item sd="0" x="393"/>
        <item sd="0" x="394"/>
        <item sd="0" x="396"/>
        <item sd="0" x="397"/>
        <item sd="0" x="398"/>
        <item sd="0" x="395"/>
        <item sd="0" x="373"/>
        <item sd="0" x="399"/>
        <item sd="0" m="1" x="911"/>
        <item sd="0" x="401"/>
        <item sd="0" x="400"/>
        <item sd="0" m="1" x="929"/>
        <item sd="0" x="402"/>
        <item sd="0" x="403"/>
        <item sd="0" x="404"/>
        <item sd="0" x="405"/>
        <item sd="0" x="406"/>
        <item sd="0" x="411"/>
        <item sd="0" m="1" x="99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30"/>
        <item sd="0" x="465"/>
        <item sd="0" x="469"/>
        <item sd="0" x="466"/>
        <item sd="0" x="467"/>
        <item sd="0" m="1" x="921"/>
        <item sd="0" x="470"/>
        <item sd="0" m="1" x="898"/>
        <item sd="0" x="472"/>
        <item sd="0" x="475"/>
        <item sd="0" x="476"/>
        <item sd="0" x="371"/>
        <item sd="0" m="1" x="1001"/>
        <item sd="0" x="477"/>
        <item sd="0" x="478"/>
        <item sd="0" x="479"/>
        <item sd="0" x="473"/>
        <item sd="0" x="474"/>
        <item sd="0" x="480"/>
        <item sd="0" x="481"/>
        <item sd="0" x="482"/>
        <item sd="0" x="483"/>
        <item sd="0" x="484"/>
        <item sd="0" x="485"/>
        <item sd="0" x="486"/>
        <item sd="0" m="1" x="1059"/>
        <item sd="0" x="488"/>
        <item sd="0" x="489"/>
        <item sd="0" x="487"/>
        <item sd="0" x="492"/>
        <item sd="0" x="491"/>
        <item sd="0" x="312"/>
        <item sd="0" m="1" x="1042"/>
        <item sd="0" x="490"/>
        <item sd="0" x="493"/>
        <item sd="0" x="471"/>
        <item sd="0" x="494"/>
        <item sd="0" x="495"/>
        <item sd="0" m="1" x="1026"/>
        <item sd="0" x="497"/>
        <item sd="0" x="499"/>
        <item sd="0" x="500"/>
        <item sd="0" x="503"/>
        <item sd="0" m="1" x="999"/>
        <item sd="0" m="1" x="93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70"/>
        <item sd="0" x="528"/>
        <item sd="0" x="531"/>
        <item sd="0" x="532"/>
        <item sd="0" x="529"/>
        <item sd="0" x="530"/>
        <item sd="0" x="533"/>
        <item sd="0" x="534"/>
        <item sd="0" x="538"/>
        <item sd="0" x="535"/>
        <item sd="0" x="536"/>
        <item sd="0" x="537"/>
        <item sd="0" x="542"/>
        <item sd="0" x="539"/>
        <item sd="0" x="541"/>
        <item sd="0" m="1" x="927"/>
        <item sd="0" x="547"/>
        <item sd="0" x="548"/>
        <item sd="0" x="549"/>
        <item sd="0" x="543"/>
        <item sd="0" x="544"/>
        <item sd="0" x="546"/>
        <item sd="0" x="550"/>
        <item sd="0" x="551"/>
        <item sd="0" x="545"/>
        <item sd="0" x="556"/>
        <item sd="0" x="557"/>
        <item sd="0" x="558"/>
        <item sd="0" x="559"/>
        <item sd="0" x="552"/>
        <item sd="0" x="553"/>
        <item sd="0" x="554"/>
        <item sd="0" m="1" x="977"/>
        <item sd="0" x="431"/>
        <item sd="0" x="555"/>
        <item sd="0" x="560"/>
        <item sd="0" x="561"/>
        <item sd="0" x="563"/>
        <item sd="0" x="564"/>
        <item sd="0" x="565"/>
        <item sd="0" m="1" x="1081"/>
        <item sd="0" x="566"/>
        <item sd="0" x="567"/>
        <item sd="0" x="571"/>
        <item sd="0" x="572"/>
        <item sd="0" x="573"/>
        <item sd="0" x="574"/>
        <item sd="0" x="568"/>
        <item sd="0" x="569"/>
        <item sd="0" x="575"/>
        <item sd="0" x="570"/>
        <item sd="0" m="1" x="997"/>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5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6"/>
        <item sd="0" x="635"/>
        <item sd="0" x="636"/>
        <item sd="0" x="641"/>
        <item sd="0" m="1" x="86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72"/>
        <item x="683"/>
        <item x="687"/>
        <item x="689"/>
        <item x="685"/>
        <item x="686"/>
        <item x="691"/>
        <item x="684"/>
        <item x="692"/>
        <item x="693"/>
        <item x="694"/>
        <item x="695"/>
        <item x="696"/>
        <item m="1" x="925"/>
        <item x="698"/>
        <item x="699"/>
        <item x="697"/>
        <item x="701"/>
        <item x="702"/>
        <item m="1" x="1046"/>
        <item x="705"/>
        <item m="1" x="873"/>
        <item x="703"/>
        <item x="704"/>
        <item x="706"/>
        <item x="707"/>
        <item x="720"/>
        <item x="708"/>
        <item x="709"/>
        <item x="710"/>
        <item x="711"/>
        <item x="712"/>
        <item x="713"/>
        <item x="714"/>
        <item x="715"/>
        <item x="716"/>
        <item x="717"/>
        <item x="718"/>
        <item x="719"/>
        <item x="721"/>
        <item x="722"/>
        <item x="723"/>
        <item x="724"/>
        <item x="725"/>
        <item m="1" x="950"/>
        <item x="726"/>
        <item x="727"/>
        <item x="730"/>
        <item m="1" x="1121"/>
        <item m="1" x="914"/>
        <item x="638"/>
        <item x="728"/>
        <item x="334"/>
        <item x="729"/>
        <item x="731"/>
        <item x="732"/>
        <item x="733"/>
        <item x="734"/>
        <item x="735"/>
        <item x="736"/>
        <item x="737"/>
        <item x="790"/>
        <item x="738"/>
        <item x="739"/>
        <item x="740"/>
        <item x="741"/>
        <item x="742"/>
        <item x="743"/>
        <item x="744"/>
        <item x="745"/>
        <item x="746"/>
        <item x="747"/>
        <item x="748"/>
        <item m="1" x="933"/>
        <item x="749"/>
        <item x="756"/>
        <item x="750"/>
        <item x="751"/>
        <item m="1" x="1005"/>
        <item x="752"/>
        <item x="753"/>
        <item x="754"/>
        <item x="755"/>
        <item x="757"/>
        <item x="594"/>
        <item x="758"/>
        <item x="759"/>
        <item x="760"/>
        <item x="761"/>
        <item x="762"/>
        <item x="763"/>
        <item x="764"/>
        <item x="765"/>
        <item x="766"/>
        <item x="767"/>
        <item x="768"/>
        <item m="1" x="874"/>
        <item m="1" x="869"/>
        <item x="770"/>
        <item x="771"/>
        <item x="772"/>
        <item x="769"/>
        <item x="773"/>
        <item x="774"/>
        <item x="775"/>
        <item x="776"/>
        <item x="777"/>
        <item x="778"/>
        <item x="779"/>
        <item m="1" x="868"/>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71"/>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66"/>
        <item x="864"/>
        <item x="865"/>
        <item t="default" sd="0"/>
      </items>
    </pivotField>
    <pivotField axis="axisPage" showAll="0">
      <items count="1040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01"/>
        <item x="10402"/>
        <item x="10341"/>
        <item x="10342"/>
        <item x="10343"/>
        <item x="10347"/>
        <item x="10349"/>
        <item x="10334"/>
        <item x="10335"/>
        <item x="10403"/>
        <item x="10350"/>
        <item x="10352"/>
        <item x="10353"/>
        <item x="10397"/>
        <item x="10279"/>
        <item x="10354"/>
        <item x="1039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398"/>
        <item x="10399"/>
        <item x="10404"/>
        <item x="10238"/>
        <item x="10380"/>
        <item x="10386"/>
        <item x="10387"/>
        <item x="10388"/>
        <item x="10389"/>
        <item x="10390"/>
        <item x="10391"/>
        <item x="10392"/>
        <item x="10393"/>
        <item x="10394"/>
        <item x="10400"/>
        <item x="10405"/>
        <item x="10248"/>
        <item x="10268"/>
        <item x="10269"/>
        <item x="10395"/>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5">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20"/>
    </i>
    <i>
      <x v="230"/>
    </i>
    <i>
      <x v="234"/>
    </i>
    <i>
      <x v="239"/>
    </i>
    <i>
      <x v="245"/>
    </i>
    <i>
      <x v="249"/>
    </i>
    <i>
      <x v="251"/>
    </i>
    <i>
      <x v="252"/>
    </i>
    <i>
      <x v="253"/>
    </i>
    <i>
      <x v="25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1804">
      <pivotArea type="all" dataOnly="0" outline="0" fieldPosition="0"/>
    </format>
    <format dxfId="1803">
      <pivotArea outline="0" collapsedLevelsAreSubtotals="1" fieldPosition="0"/>
    </format>
    <format dxfId="1802">
      <pivotArea dataOnly="0" labelOnly="1" outline="0" fieldPosition="0">
        <references count="1">
          <reference field="4294967294" count="3">
            <x v="0"/>
            <x v="1"/>
            <x v="2"/>
          </reference>
        </references>
      </pivotArea>
    </format>
    <format dxfId="1801">
      <pivotArea type="all" dataOnly="0" outline="0" fieldPosition="0"/>
    </format>
    <format dxfId="1800">
      <pivotArea outline="0" collapsedLevelsAreSubtotals="1" fieldPosition="0"/>
    </format>
    <format dxfId="1799">
      <pivotArea field="1" type="button" dataOnly="0" labelOnly="1" outline="0" axis="axisRow" fieldPosition="0"/>
    </format>
    <format dxfId="1798">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97">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96">
      <pivotArea dataOnly="0" labelOnly="1" grandRow="1" outline="0" fieldPosition="0"/>
    </format>
    <format dxfId="1795">
      <pivotArea dataOnly="0" labelOnly="1" outline="0" fieldPosition="0">
        <references count="1">
          <reference field="4294967294" count="3">
            <x v="0"/>
            <x v="1"/>
            <x v="2"/>
          </reference>
        </references>
      </pivotArea>
    </format>
    <format dxfId="1794">
      <pivotArea type="all" dataOnly="0" outline="0" fieldPosition="0"/>
    </format>
    <format dxfId="1793">
      <pivotArea outline="0" collapsedLevelsAreSubtotals="1" fieldPosition="0"/>
    </format>
    <format dxfId="1792">
      <pivotArea field="1" type="button" dataOnly="0" labelOnly="1" outline="0" axis="axisRow" fieldPosition="0"/>
    </format>
    <format dxfId="179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9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89">
      <pivotArea dataOnly="0" labelOnly="1" grandRow="1" outline="0" fieldPosition="0"/>
    </format>
    <format dxfId="1788">
      <pivotArea dataOnly="0" labelOnly="1" outline="0" fieldPosition="0">
        <references count="1">
          <reference field="4294967294" count="3">
            <x v="0"/>
            <x v="1"/>
            <x v="2"/>
          </reference>
        </references>
      </pivotArea>
    </format>
    <format dxfId="1787">
      <pivotArea type="all" dataOnly="0" outline="0" fieldPosition="0"/>
    </format>
    <format dxfId="1786">
      <pivotArea field="1" type="button" dataOnly="0" labelOnly="1" outline="0" axis="axisRow" fieldPosition="0"/>
    </format>
    <format dxfId="1785">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84">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83">
      <pivotArea dataOnly="0" labelOnly="1" outline="0" fieldPosition="0">
        <references count="1">
          <reference field="4294967294" count="3">
            <x v="0"/>
            <x v="1"/>
            <x v="2"/>
          </reference>
        </references>
      </pivotArea>
    </format>
    <format dxfId="1782">
      <pivotArea dataOnly="0" labelOnly="1" outline="0" fieldPosition="0">
        <references count="1">
          <reference field="4294967294" count="1">
            <x v="2"/>
          </reference>
        </references>
      </pivotArea>
    </format>
    <format dxfId="1781">
      <pivotArea dataOnly="0" labelOnly="1" outline="0" fieldPosition="0">
        <references count="1">
          <reference field="4294967294" count="1">
            <x v="2"/>
          </reference>
        </references>
      </pivotArea>
    </format>
    <format dxfId="1780">
      <pivotArea dataOnly="0" labelOnly="1" outline="0" fieldPosition="0">
        <references count="1">
          <reference field="4294967294" count="2">
            <x v="0"/>
            <x v="1"/>
          </reference>
        </references>
      </pivotArea>
    </format>
    <format dxfId="1779">
      <pivotArea dataOnly="0" labelOnly="1" outline="0" fieldPosition="0">
        <references count="1">
          <reference field="4294967294" count="2">
            <x v="0"/>
            <x v="1"/>
          </reference>
        </references>
      </pivotArea>
    </format>
    <format dxfId="1778">
      <pivotArea dataOnly="0" labelOnly="1" outline="0" fieldPosition="0">
        <references count="1">
          <reference field="4294967294" count="2">
            <x v="0"/>
            <x v="1"/>
          </reference>
        </references>
      </pivotArea>
    </format>
    <format dxfId="1777">
      <pivotArea dataOnly="0" labelOnly="1" outline="0" fieldPosition="0">
        <references count="1">
          <reference field="4294967294" count="2">
            <x v="0"/>
            <x v="1"/>
          </reference>
        </references>
      </pivotArea>
    </format>
    <format dxfId="1776">
      <pivotArea field="1" type="button" dataOnly="0" labelOnly="1" outline="0" axis="axisRow" fieldPosition="0"/>
    </format>
    <format dxfId="1775">
      <pivotArea field="1" type="button" dataOnly="0" labelOnly="1" outline="0" axis="axisRow" fieldPosition="0"/>
    </format>
    <format dxfId="1774">
      <pivotArea field="1" type="button" dataOnly="0" labelOnly="1" outline="0" axis="axisRow" fieldPosition="0"/>
    </format>
    <format dxfId="1773">
      <pivotArea dataOnly="0" labelOnly="1" outline="0" fieldPosition="0">
        <references count="1">
          <reference field="4294967294" count="3">
            <x v="0"/>
            <x v="1"/>
            <x v="2"/>
          </reference>
        </references>
      </pivotArea>
    </format>
    <format dxfId="1772">
      <pivotArea field="1" type="button" dataOnly="0" labelOnly="1" outline="0" axis="axisRow" fieldPosition="0"/>
    </format>
    <format dxfId="1771">
      <pivotArea dataOnly="0" labelOnly="1" outline="0" fieldPosition="0">
        <references count="1">
          <reference field="4294967294" count="3">
            <x v="0"/>
            <x v="1"/>
            <x v="2"/>
          </reference>
        </references>
      </pivotArea>
    </format>
    <format dxfId="1770">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1769">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1768">
      <pivotArea collapsedLevelsAreSubtotals="1" fieldPosition="0">
        <references count="1">
          <reference field="1" count="1">
            <x v="119"/>
          </reference>
        </references>
      </pivotArea>
    </format>
    <format dxfId="1767">
      <pivotArea collapsedLevelsAreSubtotals="1" fieldPosition="0">
        <references count="1">
          <reference field="1" count="1">
            <x v="120"/>
          </reference>
        </references>
      </pivotArea>
    </format>
    <format dxfId="1766">
      <pivotArea collapsedLevelsAreSubtotals="1" fieldPosition="0">
        <references count="1">
          <reference field="1" count="1">
            <x v="121"/>
          </reference>
        </references>
      </pivotArea>
    </format>
    <format dxfId="1765">
      <pivotArea collapsedLevelsAreSubtotals="1" fieldPosition="0">
        <references count="1">
          <reference field="1" count="1">
            <x v="122"/>
          </reference>
        </references>
      </pivotArea>
    </format>
    <format dxfId="1764">
      <pivotArea collapsedLevelsAreSubtotals="1" fieldPosition="0">
        <references count="1">
          <reference field="1" count="1">
            <x v="123"/>
          </reference>
        </references>
      </pivotArea>
    </format>
    <format dxfId="1763">
      <pivotArea collapsedLevelsAreSubtotals="1" fieldPosition="0">
        <references count="1">
          <reference field="1" count="1">
            <x v="124"/>
          </reference>
        </references>
      </pivotArea>
    </format>
    <format dxfId="1762">
      <pivotArea collapsedLevelsAreSubtotals="1" fieldPosition="0">
        <references count="1">
          <reference field="1" count="1">
            <x v="125"/>
          </reference>
        </references>
      </pivotArea>
    </format>
    <format dxfId="1761">
      <pivotArea collapsedLevelsAreSubtotals="1" fieldPosition="0">
        <references count="1">
          <reference field="1" count="1">
            <x v="126"/>
          </reference>
        </references>
      </pivotArea>
    </format>
    <format dxfId="1760">
      <pivotArea collapsedLevelsAreSubtotals="1" fieldPosition="0">
        <references count="1">
          <reference field="1" count="1">
            <x v="127"/>
          </reference>
        </references>
      </pivotArea>
    </format>
    <format dxfId="1759">
      <pivotArea collapsedLevelsAreSubtotals="1" fieldPosition="0">
        <references count="1">
          <reference field="1" count="1">
            <x v="128"/>
          </reference>
        </references>
      </pivotArea>
    </format>
    <format dxfId="1758">
      <pivotArea collapsedLevelsAreSubtotals="1" fieldPosition="0">
        <references count="1">
          <reference field="1" count="1">
            <x v="129"/>
          </reference>
        </references>
      </pivotArea>
    </format>
    <format dxfId="1757">
      <pivotArea collapsedLevelsAreSubtotals="1" fieldPosition="0">
        <references count="1">
          <reference field="1" count="1">
            <x v="130"/>
          </reference>
        </references>
      </pivotArea>
    </format>
    <format dxfId="1756">
      <pivotArea collapsedLevelsAreSubtotals="1" fieldPosition="0">
        <references count="1">
          <reference field="1" count="1">
            <x v="131"/>
          </reference>
        </references>
      </pivotArea>
    </format>
    <format dxfId="1755">
      <pivotArea collapsedLevelsAreSubtotals="1" fieldPosition="0">
        <references count="1">
          <reference field="1" count="1">
            <x v="132"/>
          </reference>
        </references>
      </pivotArea>
    </format>
    <format dxfId="1754">
      <pivotArea collapsedLevelsAreSubtotals="1" fieldPosition="0">
        <references count="1">
          <reference field="1" count="1">
            <x v="133"/>
          </reference>
        </references>
      </pivotArea>
    </format>
    <format dxfId="1753">
      <pivotArea collapsedLevelsAreSubtotals="1" fieldPosition="0">
        <references count="1">
          <reference field="1" count="1">
            <x v="134"/>
          </reference>
        </references>
      </pivotArea>
    </format>
    <format dxfId="1752">
      <pivotArea collapsedLevelsAreSubtotals="1" fieldPosition="0">
        <references count="1">
          <reference field="1" count="1">
            <x v="135"/>
          </reference>
        </references>
      </pivotArea>
    </format>
    <format dxfId="1751">
      <pivotArea collapsedLevelsAreSubtotals="1" fieldPosition="0">
        <references count="1">
          <reference field="1" count="1">
            <x v="136"/>
          </reference>
        </references>
      </pivotArea>
    </format>
    <format dxfId="1750">
      <pivotArea collapsedLevelsAreSubtotals="1" fieldPosition="0">
        <references count="1">
          <reference field="1" count="1">
            <x v="137"/>
          </reference>
        </references>
      </pivotArea>
    </format>
    <format dxfId="1749">
      <pivotArea collapsedLevelsAreSubtotals="1" fieldPosition="0">
        <references count="1">
          <reference field="1" count="1">
            <x v="138"/>
          </reference>
        </references>
      </pivotArea>
    </format>
    <format dxfId="1748">
      <pivotArea collapsedLevelsAreSubtotals="1" fieldPosition="0">
        <references count="1">
          <reference field="1" count="1">
            <x v="139"/>
          </reference>
        </references>
      </pivotArea>
    </format>
    <format dxfId="1747">
      <pivotArea collapsedLevelsAreSubtotals="1" fieldPosition="0">
        <references count="1">
          <reference field="1" count="1">
            <x v="140"/>
          </reference>
        </references>
      </pivotArea>
    </format>
    <format dxfId="1746">
      <pivotArea collapsedLevelsAreSubtotals="1" fieldPosition="0">
        <references count="1">
          <reference field="1" count="1">
            <x v="141"/>
          </reference>
        </references>
      </pivotArea>
    </format>
    <format dxfId="1745">
      <pivotArea collapsedLevelsAreSubtotals="1" fieldPosition="0">
        <references count="1">
          <reference field="1" count="1">
            <x v="142"/>
          </reference>
        </references>
      </pivotArea>
    </format>
    <format dxfId="1744">
      <pivotArea collapsedLevelsAreSubtotals="1" fieldPosition="0">
        <references count="1">
          <reference field="1" count="1">
            <x v="143"/>
          </reference>
        </references>
      </pivotArea>
    </format>
    <format dxfId="1743">
      <pivotArea collapsedLevelsAreSubtotals="1" fieldPosition="0">
        <references count="1">
          <reference field="1" count="1">
            <x v="144"/>
          </reference>
        </references>
      </pivotArea>
    </format>
    <format dxfId="1742">
      <pivotArea collapsedLevelsAreSubtotals="1" fieldPosition="0">
        <references count="1">
          <reference field="1" count="1">
            <x v="145"/>
          </reference>
        </references>
      </pivotArea>
    </format>
    <format dxfId="1741">
      <pivotArea collapsedLevelsAreSubtotals="1" fieldPosition="0">
        <references count="1">
          <reference field="1" count="1">
            <x v="146"/>
          </reference>
        </references>
      </pivotArea>
    </format>
    <format dxfId="1740">
      <pivotArea collapsedLevelsAreSubtotals="1" fieldPosition="0">
        <references count="1">
          <reference field="1" count="1">
            <x v="147"/>
          </reference>
        </references>
      </pivotArea>
    </format>
    <format dxfId="1739">
      <pivotArea collapsedLevelsAreSubtotals="1" fieldPosition="0">
        <references count="1">
          <reference field="1" count="1">
            <x v="148"/>
          </reference>
        </references>
      </pivotArea>
    </format>
    <format dxfId="1738">
      <pivotArea collapsedLevelsAreSubtotals="1" fieldPosition="0">
        <references count="1">
          <reference field="1" count="1">
            <x v="149"/>
          </reference>
        </references>
      </pivotArea>
    </format>
    <format dxfId="1737">
      <pivotArea collapsedLevelsAreSubtotals="1" fieldPosition="0">
        <references count="1">
          <reference field="1" count="1">
            <x v="150"/>
          </reference>
        </references>
      </pivotArea>
    </format>
    <format dxfId="1736">
      <pivotArea collapsedLevelsAreSubtotals="1" fieldPosition="0">
        <references count="1">
          <reference field="1" count="1">
            <x v="151"/>
          </reference>
        </references>
      </pivotArea>
    </format>
    <format dxfId="1735">
      <pivotArea collapsedLevelsAreSubtotals="1" fieldPosition="0">
        <references count="1">
          <reference field="1" count="1">
            <x v="152"/>
          </reference>
        </references>
      </pivotArea>
    </format>
    <format dxfId="1734">
      <pivotArea collapsedLevelsAreSubtotals="1" fieldPosition="0">
        <references count="1">
          <reference field="1" count="1">
            <x v="153"/>
          </reference>
        </references>
      </pivotArea>
    </format>
    <format dxfId="1733">
      <pivotArea collapsedLevelsAreSubtotals="1" fieldPosition="0">
        <references count="1">
          <reference field="1" count="1">
            <x v="154"/>
          </reference>
        </references>
      </pivotArea>
    </format>
    <format dxfId="1732">
      <pivotArea collapsedLevelsAreSubtotals="1" fieldPosition="0">
        <references count="1">
          <reference field="1" count="1">
            <x v="64"/>
          </reference>
        </references>
      </pivotArea>
    </format>
    <format dxfId="1731">
      <pivotArea collapsedLevelsAreSubtotals="1" fieldPosition="0">
        <references count="1">
          <reference field="1" count="1">
            <x v="155"/>
          </reference>
        </references>
      </pivotArea>
    </format>
    <format dxfId="1730">
      <pivotArea collapsedLevelsAreSubtotals="1" fieldPosition="0">
        <references count="1">
          <reference field="1" count="1">
            <x v="156"/>
          </reference>
        </references>
      </pivotArea>
    </format>
    <format dxfId="1729">
      <pivotArea collapsedLevelsAreSubtotals="1" fieldPosition="0">
        <references count="1">
          <reference field="1" count="1">
            <x v="157"/>
          </reference>
        </references>
      </pivotArea>
    </format>
    <format dxfId="1728">
      <pivotArea collapsedLevelsAreSubtotals="1" fieldPosition="0">
        <references count="1">
          <reference field="1" count="1">
            <x v="158"/>
          </reference>
        </references>
      </pivotArea>
    </format>
    <format dxfId="1727">
      <pivotArea collapsedLevelsAreSubtotals="1" fieldPosition="0">
        <references count="1">
          <reference field="1" count="1">
            <x v="159"/>
          </reference>
        </references>
      </pivotArea>
    </format>
    <format dxfId="1726">
      <pivotArea collapsedLevelsAreSubtotals="1" fieldPosition="0">
        <references count="1">
          <reference field="1" count="1">
            <x v="160"/>
          </reference>
        </references>
      </pivotArea>
    </format>
    <format dxfId="1725">
      <pivotArea collapsedLevelsAreSubtotals="1" fieldPosition="0">
        <references count="1">
          <reference field="1" count="1">
            <x v="161"/>
          </reference>
        </references>
      </pivotArea>
    </format>
    <format dxfId="1724">
      <pivotArea collapsedLevelsAreSubtotals="1" fieldPosition="0">
        <references count="1">
          <reference field="1" count="1">
            <x v="162"/>
          </reference>
        </references>
      </pivotArea>
    </format>
    <format dxfId="1723">
      <pivotArea collapsedLevelsAreSubtotals="1" fieldPosition="0">
        <references count="1">
          <reference field="1" count="1">
            <x v="163"/>
          </reference>
        </references>
      </pivotArea>
    </format>
    <format dxfId="1722">
      <pivotArea collapsedLevelsAreSubtotals="1" fieldPosition="0">
        <references count="1">
          <reference field="1" count="1">
            <x v="164"/>
          </reference>
        </references>
      </pivotArea>
    </format>
    <format dxfId="1721">
      <pivotArea collapsedLevelsAreSubtotals="1" fieldPosition="0">
        <references count="1">
          <reference field="1" count="1">
            <x v="165"/>
          </reference>
        </references>
      </pivotArea>
    </format>
    <format dxfId="1720">
      <pivotArea collapsedLevelsAreSubtotals="1" fieldPosition="0">
        <references count="1">
          <reference field="1" count="1">
            <x v="166"/>
          </reference>
        </references>
      </pivotArea>
    </format>
    <format dxfId="1719">
      <pivotArea collapsedLevelsAreSubtotals="1" fieldPosition="0">
        <references count="1">
          <reference field="1" count="1">
            <x v="167"/>
          </reference>
        </references>
      </pivotArea>
    </format>
    <format dxfId="1718">
      <pivotArea collapsedLevelsAreSubtotals="1" fieldPosition="0">
        <references count="1">
          <reference field="1" count="1">
            <x v="168"/>
          </reference>
        </references>
      </pivotArea>
    </format>
    <format dxfId="1717">
      <pivotArea collapsedLevelsAreSubtotals="1" fieldPosition="0">
        <references count="1">
          <reference field="1" count="1">
            <x v="169"/>
          </reference>
        </references>
      </pivotArea>
    </format>
    <format dxfId="1716">
      <pivotArea collapsedLevelsAreSubtotals="1" fieldPosition="0">
        <references count="1">
          <reference field="1" count="1">
            <x v="170"/>
          </reference>
        </references>
      </pivotArea>
    </format>
    <format dxfId="1715">
      <pivotArea collapsedLevelsAreSubtotals="1" fieldPosition="0">
        <references count="1">
          <reference field="1" count="1">
            <x v="171"/>
          </reference>
        </references>
      </pivotArea>
    </format>
    <format dxfId="1714">
      <pivotArea collapsedLevelsAreSubtotals="1" fieldPosition="0">
        <references count="1">
          <reference field="1" count="1">
            <x v="172"/>
          </reference>
        </references>
      </pivotArea>
    </format>
    <format dxfId="1713">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1712">
      <pivotArea dataOnly="0" labelOnly="1" fieldPosition="0">
        <references count="1">
          <reference field="1" count="5">
            <x v="168"/>
            <x v="169"/>
            <x v="170"/>
            <x v="171"/>
            <x v="172"/>
          </reference>
        </references>
      </pivotArea>
    </format>
    <format dxfId="1711">
      <pivotArea dataOnly="0" labelOnly="1" outline="0" fieldPosition="0">
        <references count="1">
          <reference field="4294967294" count="1">
            <x v="2"/>
          </reference>
        </references>
      </pivotArea>
    </format>
    <format dxfId="1710">
      <pivotArea dataOnly="0" labelOnly="1" fieldPosition="0">
        <references count="1">
          <reference field="1" count="7">
            <x v="173"/>
            <x v="174"/>
            <x v="175"/>
            <x v="176"/>
            <x v="177"/>
            <x v="178"/>
            <x v="180"/>
          </reference>
        </references>
      </pivotArea>
    </format>
    <format dxfId="1709">
      <pivotArea dataOnly="0" labelOnly="1" fieldPosition="0">
        <references count="1">
          <reference field="1" count="7">
            <x v="173"/>
            <x v="174"/>
            <x v="175"/>
            <x v="176"/>
            <x v="177"/>
            <x v="178"/>
            <x v="180"/>
          </reference>
        </references>
      </pivotArea>
    </format>
    <format dxfId="1708">
      <pivotArea collapsedLevelsAreSubtotals="1" fieldPosition="0">
        <references count="1">
          <reference field="1" count="1">
            <x v="173"/>
          </reference>
        </references>
      </pivotArea>
    </format>
    <format dxfId="1707">
      <pivotArea collapsedLevelsAreSubtotals="1" fieldPosition="0">
        <references count="1">
          <reference field="1" count="1">
            <x v="174"/>
          </reference>
        </references>
      </pivotArea>
    </format>
    <format dxfId="1706">
      <pivotArea collapsedLevelsAreSubtotals="1" fieldPosition="0">
        <references count="1">
          <reference field="1" count="1">
            <x v="175"/>
          </reference>
        </references>
      </pivotArea>
    </format>
    <format dxfId="1705">
      <pivotArea collapsedLevelsAreSubtotals="1" fieldPosition="0">
        <references count="1">
          <reference field="1" count="1">
            <x v="176"/>
          </reference>
        </references>
      </pivotArea>
    </format>
    <format dxfId="1704">
      <pivotArea collapsedLevelsAreSubtotals="1" fieldPosition="0">
        <references count="1">
          <reference field="1" count="1">
            <x v="177"/>
          </reference>
        </references>
      </pivotArea>
    </format>
    <format dxfId="1703">
      <pivotArea collapsedLevelsAreSubtotals="1" fieldPosition="0">
        <references count="1">
          <reference field="1" count="1">
            <x v="178"/>
          </reference>
        </references>
      </pivotArea>
    </format>
    <format dxfId="1702">
      <pivotArea collapsedLevelsAreSubtotals="1" fieldPosition="0">
        <references count="1">
          <reference field="1" count="1">
            <x v="180"/>
          </reference>
        </references>
      </pivotArea>
    </format>
    <format dxfId="1701">
      <pivotArea dataOnly="0" labelOnly="1" fieldPosition="0">
        <references count="1">
          <reference field="1" count="4">
            <x v="74"/>
            <x v="75"/>
            <x v="210"/>
            <x v="212"/>
          </reference>
        </references>
      </pivotArea>
    </format>
    <format dxfId="1700">
      <pivotArea dataOnly="0" labelOnly="1" fieldPosition="0">
        <references count="1">
          <reference field="1" count="3">
            <x v="71"/>
            <x v="72"/>
            <x v="86"/>
          </reference>
        </references>
      </pivotArea>
    </format>
    <format dxfId="1699">
      <pivotArea collapsedLevelsAreSubtotals="1" fieldPosition="0">
        <references count="1">
          <reference field="1" count="1">
            <x v="208"/>
          </reference>
        </references>
      </pivotArea>
    </format>
    <format dxfId="1698">
      <pivotArea collapsedLevelsAreSubtotals="1" fieldPosition="0">
        <references count="1">
          <reference field="1" count="1">
            <x v="207"/>
          </reference>
        </references>
      </pivotArea>
    </format>
    <format dxfId="1697">
      <pivotArea collapsedLevelsAreSubtotals="1" fieldPosition="0">
        <references count="1">
          <reference field="1" count="1">
            <x v="91"/>
          </reference>
        </references>
      </pivotArea>
    </format>
    <format dxfId="1696">
      <pivotArea collapsedLevelsAreSubtotals="1" fieldPosition="0">
        <references count="1">
          <reference field="1" count="1">
            <x v="92"/>
          </reference>
        </references>
      </pivotArea>
    </format>
    <format dxfId="1695">
      <pivotArea collapsedLevelsAreSubtotals="1" fieldPosition="0">
        <references count="1">
          <reference field="1" count="1">
            <x v="93"/>
          </reference>
        </references>
      </pivotArea>
    </format>
    <format dxfId="1694">
      <pivotArea collapsedLevelsAreSubtotals="1" fieldPosition="0">
        <references count="1">
          <reference field="1" count="1">
            <x v="94"/>
          </reference>
        </references>
      </pivotArea>
    </format>
    <format dxfId="1693">
      <pivotArea collapsedLevelsAreSubtotals="1" fieldPosition="0">
        <references count="1">
          <reference field="1" count="1">
            <x v="95"/>
          </reference>
        </references>
      </pivotArea>
    </format>
    <format dxfId="1692">
      <pivotArea collapsedLevelsAreSubtotals="1" fieldPosition="0">
        <references count="1">
          <reference field="1" count="1">
            <x v="96"/>
          </reference>
        </references>
      </pivotArea>
    </format>
    <format dxfId="1691">
      <pivotArea collapsedLevelsAreSubtotals="1" fieldPosition="0">
        <references count="1">
          <reference field="1" count="1">
            <x v="97"/>
          </reference>
        </references>
      </pivotArea>
    </format>
    <format dxfId="1690">
      <pivotArea collapsedLevelsAreSubtotals="1" fieldPosition="0">
        <references count="1">
          <reference field="1" count="1">
            <x v="98"/>
          </reference>
        </references>
      </pivotArea>
    </format>
    <format dxfId="1689">
      <pivotArea collapsedLevelsAreSubtotals="1" fieldPosition="0">
        <references count="1">
          <reference field="1" count="1">
            <x v="99"/>
          </reference>
        </references>
      </pivotArea>
    </format>
    <format dxfId="1688">
      <pivotArea collapsedLevelsAreSubtotals="1" fieldPosition="0">
        <references count="1">
          <reference field="1" count="1">
            <x v="100"/>
          </reference>
        </references>
      </pivotArea>
    </format>
    <format dxfId="1687">
      <pivotArea collapsedLevelsAreSubtotals="1" fieldPosition="0">
        <references count="1">
          <reference field="1" count="1">
            <x v="101"/>
          </reference>
        </references>
      </pivotArea>
    </format>
    <format dxfId="1686">
      <pivotArea collapsedLevelsAreSubtotals="1" fieldPosition="0">
        <references count="1">
          <reference field="1" count="1">
            <x v="102"/>
          </reference>
        </references>
      </pivotArea>
    </format>
    <format dxfId="1685">
      <pivotArea collapsedLevelsAreSubtotals="1" fieldPosition="0">
        <references count="1">
          <reference field="1" count="1">
            <x v="103"/>
          </reference>
        </references>
      </pivotArea>
    </format>
    <format dxfId="1684">
      <pivotArea collapsedLevelsAreSubtotals="1" fieldPosition="0">
        <references count="1">
          <reference field="1" count="1">
            <x v="104"/>
          </reference>
        </references>
      </pivotArea>
    </format>
    <format dxfId="1683">
      <pivotArea collapsedLevelsAreSubtotals="1" fieldPosition="0">
        <references count="1">
          <reference field="1" count="1">
            <x v="105"/>
          </reference>
        </references>
      </pivotArea>
    </format>
    <format dxfId="1682">
      <pivotArea collapsedLevelsAreSubtotals="1" fieldPosition="0">
        <references count="1">
          <reference field="1" count="1">
            <x v="106"/>
          </reference>
        </references>
      </pivotArea>
    </format>
    <format dxfId="1681">
      <pivotArea collapsedLevelsAreSubtotals="1" fieldPosition="0">
        <references count="1">
          <reference field="1" count="1">
            <x v="107"/>
          </reference>
        </references>
      </pivotArea>
    </format>
    <format dxfId="1680">
      <pivotArea collapsedLevelsAreSubtotals="1" fieldPosition="0">
        <references count="1">
          <reference field="1" count="1">
            <x v="108"/>
          </reference>
        </references>
      </pivotArea>
    </format>
    <format dxfId="1679">
      <pivotArea collapsedLevelsAreSubtotals="1" fieldPosition="0">
        <references count="1">
          <reference field="1" count="1">
            <x v="109"/>
          </reference>
        </references>
      </pivotArea>
    </format>
    <format dxfId="1678">
      <pivotArea collapsedLevelsAreSubtotals="1" fieldPosition="0">
        <references count="1">
          <reference field="1" count="1">
            <x v="110"/>
          </reference>
        </references>
      </pivotArea>
    </format>
    <format dxfId="1677">
      <pivotArea collapsedLevelsAreSubtotals="1" fieldPosition="0">
        <references count="1">
          <reference field="1" count="1">
            <x v="111"/>
          </reference>
        </references>
      </pivotArea>
    </format>
    <format dxfId="1676">
      <pivotArea collapsedLevelsAreSubtotals="1" fieldPosition="0">
        <references count="1">
          <reference field="1" count="1">
            <x v="112"/>
          </reference>
        </references>
      </pivotArea>
    </format>
    <format dxfId="1675">
      <pivotArea collapsedLevelsAreSubtotals="1" fieldPosition="0">
        <references count="1">
          <reference field="1" count="1">
            <x v="113"/>
          </reference>
        </references>
      </pivotArea>
    </format>
    <format dxfId="1674">
      <pivotArea collapsedLevelsAreSubtotals="1" fieldPosition="0">
        <references count="1">
          <reference field="1" count="1">
            <x v="114"/>
          </reference>
        </references>
      </pivotArea>
    </format>
    <format dxfId="1673">
      <pivotArea collapsedLevelsAreSubtotals="1" fieldPosition="0">
        <references count="1">
          <reference field="1" count="1">
            <x v="115"/>
          </reference>
        </references>
      </pivotArea>
    </format>
    <format dxfId="1672">
      <pivotArea collapsedLevelsAreSubtotals="1" fieldPosition="0">
        <references count="1">
          <reference field="1" count="1">
            <x v="116"/>
          </reference>
        </references>
      </pivotArea>
    </format>
    <format dxfId="1671">
      <pivotArea collapsedLevelsAreSubtotals="1" fieldPosition="0">
        <references count="1">
          <reference field="1" count="1">
            <x v="117"/>
          </reference>
        </references>
      </pivotArea>
    </format>
    <format dxfId="1670">
      <pivotArea collapsedLevelsAreSubtotals="1" fieldPosition="0">
        <references count="1">
          <reference field="1" count="1">
            <x v="118"/>
          </reference>
        </references>
      </pivotArea>
    </format>
    <format dxfId="1669">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1668">
      <pivotArea collapsedLevelsAreSubtotals="1" fieldPosition="0">
        <references count="2">
          <reference field="4294967294" count="2" selected="0">
            <x v="0"/>
            <x v="1"/>
          </reference>
          <reference field="1" count="1">
            <x v="181"/>
          </reference>
        </references>
      </pivotArea>
    </format>
    <format dxfId="1667">
      <pivotArea collapsedLevelsAreSubtotals="1" fieldPosition="0">
        <references count="2">
          <reference field="4294967294" count="2" selected="0">
            <x v="0"/>
            <x v="1"/>
          </reference>
          <reference field="1" count="1">
            <x v="182"/>
          </reference>
        </references>
      </pivotArea>
    </format>
    <format dxfId="1666">
      <pivotArea collapsedLevelsAreSubtotals="1" fieldPosition="0">
        <references count="2">
          <reference field="4294967294" count="2" selected="0">
            <x v="0"/>
            <x v="1"/>
          </reference>
          <reference field="1" count="1">
            <x v="185"/>
          </reference>
        </references>
      </pivotArea>
    </format>
    <format dxfId="1665">
      <pivotArea collapsedLevelsAreSubtotals="1" fieldPosition="0">
        <references count="2">
          <reference field="4294967294" count="2" selected="0">
            <x v="0"/>
            <x v="1"/>
          </reference>
          <reference field="1" count="1">
            <x v="186"/>
          </reference>
        </references>
      </pivotArea>
    </format>
    <format dxfId="1664">
      <pivotArea collapsedLevelsAreSubtotals="1" fieldPosition="0">
        <references count="2">
          <reference field="4294967294" count="2" selected="0">
            <x v="0"/>
            <x v="1"/>
          </reference>
          <reference field="1" count="1">
            <x v="187"/>
          </reference>
        </references>
      </pivotArea>
    </format>
    <format dxfId="1663">
      <pivotArea collapsedLevelsAreSubtotals="1" fieldPosition="0">
        <references count="2">
          <reference field="4294967294" count="2" selected="0">
            <x v="0"/>
            <x v="1"/>
          </reference>
          <reference field="1" count="1">
            <x v="188"/>
          </reference>
        </references>
      </pivotArea>
    </format>
    <format dxfId="1662">
      <pivotArea collapsedLevelsAreSubtotals="1" fieldPosition="0">
        <references count="2">
          <reference field="4294967294" count="2" selected="0">
            <x v="0"/>
            <x v="1"/>
          </reference>
          <reference field="1" count="1">
            <x v="189"/>
          </reference>
        </references>
      </pivotArea>
    </format>
    <format dxfId="1661">
      <pivotArea collapsedLevelsAreSubtotals="1" fieldPosition="0">
        <references count="2">
          <reference field="4294967294" count="2" selected="0">
            <x v="0"/>
            <x v="1"/>
          </reference>
          <reference field="1" count="1">
            <x v="192"/>
          </reference>
        </references>
      </pivotArea>
    </format>
    <format dxfId="1660">
      <pivotArea dataOnly="0" labelOnly="1" fieldPosition="0">
        <references count="1">
          <reference field="1" count="8">
            <x v="181"/>
            <x v="182"/>
            <x v="185"/>
            <x v="186"/>
            <x v="187"/>
            <x v="188"/>
            <x v="189"/>
            <x v="192"/>
          </reference>
        </references>
      </pivotArea>
    </format>
    <format dxfId="1659">
      <pivotArea collapsedLevelsAreSubtotals="1" fieldPosition="0">
        <references count="2">
          <reference field="4294967294" count="1" selected="0">
            <x v="2"/>
          </reference>
          <reference field="1" count="1">
            <x v="181"/>
          </reference>
        </references>
      </pivotArea>
    </format>
    <format dxfId="1658">
      <pivotArea collapsedLevelsAreSubtotals="1" fieldPosition="0">
        <references count="2">
          <reference field="4294967294" count="1" selected="0">
            <x v="2"/>
          </reference>
          <reference field="1" count="1">
            <x v="182"/>
          </reference>
        </references>
      </pivotArea>
    </format>
    <format dxfId="1657">
      <pivotArea collapsedLevelsAreSubtotals="1" fieldPosition="0">
        <references count="2">
          <reference field="4294967294" count="1" selected="0">
            <x v="2"/>
          </reference>
          <reference field="1" count="1">
            <x v="185"/>
          </reference>
        </references>
      </pivotArea>
    </format>
    <format dxfId="1656">
      <pivotArea collapsedLevelsAreSubtotals="1" fieldPosition="0">
        <references count="2">
          <reference field="4294967294" count="1" selected="0">
            <x v="2"/>
          </reference>
          <reference field="1" count="1">
            <x v="186"/>
          </reference>
        </references>
      </pivotArea>
    </format>
    <format dxfId="1655">
      <pivotArea collapsedLevelsAreSubtotals="1" fieldPosition="0">
        <references count="2">
          <reference field="4294967294" count="1" selected="0">
            <x v="2"/>
          </reference>
          <reference field="1" count="1">
            <x v="187"/>
          </reference>
        </references>
      </pivotArea>
    </format>
    <format dxfId="1654">
      <pivotArea collapsedLevelsAreSubtotals="1" fieldPosition="0">
        <references count="2">
          <reference field="4294967294" count="1" selected="0">
            <x v="2"/>
          </reference>
          <reference field="1" count="1">
            <x v="188"/>
          </reference>
        </references>
      </pivotArea>
    </format>
    <format dxfId="1653">
      <pivotArea collapsedLevelsAreSubtotals="1" fieldPosition="0">
        <references count="2">
          <reference field="4294967294" count="1" selected="0">
            <x v="2"/>
          </reference>
          <reference field="1" count="1">
            <x v="189"/>
          </reference>
        </references>
      </pivotArea>
    </format>
    <format dxfId="1652">
      <pivotArea collapsedLevelsAreSubtotals="1" fieldPosition="0">
        <references count="2">
          <reference field="4294967294" count="1" selected="0">
            <x v="2"/>
          </reference>
          <reference field="1" count="1">
            <x v="192"/>
          </reference>
        </references>
      </pivotArea>
    </format>
    <format dxfId="1651">
      <pivotArea dataOnly="0" labelOnly="1" fieldPosition="0">
        <references count="1">
          <reference field="1" count="3">
            <x v="74"/>
            <x v="75"/>
            <x v="86"/>
          </reference>
        </references>
      </pivotArea>
    </format>
    <format dxfId="1650">
      <pivotArea dataOnly="0" labelOnly="1" fieldPosition="0">
        <references count="1">
          <reference field="1" count="8">
            <x v="181"/>
            <x v="182"/>
            <x v="185"/>
            <x v="186"/>
            <x v="187"/>
            <x v="188"/>
            <x v="189"/>
            <x v="192"/>
          </reference>
        </references>
      </pivotArea>
    </format>
    <format dxfId="1649">
      <pivotArea collapsedLevelsAreSubtotals="1" fieldPosition="0">
        <references count="1">
          <reference field="1" count="1">
            <x v="197"/>
          </reference>
        </references>
      </pivotArea>
    </format>
    <format dxfId="1648">
      <pivotArea dataOnly="0" labelOnly="1" fieldPosition="0">
        <references count="1">
          <reference field="1" count="1">
            <x v="197"/>
          </reference>
        </references>
      </pivotArea>
    </format>
    <format dxfId="1647">
      <pivotArea collapsedLevelsAreSubtotals="1" fieldPosition="0">
        <references count="1">
          <reference field="1" count="1">
            <x v="197"/>
          </reference>
        </references>
      </pivotArea>
    </format>
    <format dxfId="1646">
      <pivotArea collapsedLevelsAreSubtotals="1" fieldPosition="0">
        <references count="1">
          <reference field="1" count="1">
            <x v="198"/>
          </reference>
        </references>
      </pivotArea>
    </format>
    <format dxfId="1645">
      <pivotArea collapsedLevelsAreSubtotals="1" fieldPosition="0">
        <references count="1">
          <reference field="1" count="1">
            <x v="198"/>
          </reference>
        </references>
      </pivotArea>
    </format>
    <format dxfId="1644">
      <pivotArea collapsedLevelsAreSubtotals="1" fieldPosition="0">
        <references count="1">
          <reference field="1" count="1">
            <x v="198"/>
          </reference>
        </references>
      </pivotArea>
    </format>
    <format dxfId="1643">
      <pivotArea collapsedLevelsAreSubtotals="1" fieldPosition="0">
        <references count="1">
          <reference field="1" count="1">
            <x v="198"/>
          </reference>
        </references>
      </pivotArea>
    </format>
    <format dxfId="1642">
      <pivotArea collapsedLevelsAreSubtotals="1" fieldPosition="0">
        <references count="1">
          <reference field="1" count="1">
            <x v="198"/>
          </reference>
        </references>
      </pivotArea>
    </format>
    <format dxfId="1641">
      <pivotArea collapsedLevelsAreSubtotals="1" fieldPosition="0">
        <references count="1">
          <reference field="1" count="1">
            <x v="198"/>
          </reference>
        </references>
      </pivotArea>
    </format>
    <format dxfId="1640">
      <pivotArea collapsedLevelsAreSubtotals="1" fieldPosition="0">
        <references count="1">
          <reference field="1" count="1">
            <x v="213"/>
          </reference>
        </references>
      </pivotArea>
    </format>
    <format dxfId="1639">
      <pivotArea collapsedLevelsAreSubtotals="1" fieldPosition="0">
        <references count="1">
          <reference field="1" count="1">
            <x v="90"/>
          </reference>
        </references>
      </pivotArea>
    </format>
    <format dxfId="1638">
      <pivotArea collapsedLevelsAreSubtotals="1" fieldPosition="0">
        <references count="1">
          <reference field="1" count="1">
            <x v="211"/>
          </reference>
        </references>
      </pivotArea>
    </format>
    <format dxfId="1637">
      <pivotArea collapsedLevelsAreSubtotals="1" fieldPosition="0">
        <references count="1">
          <reference field="1" count="1">
            <x v="210"/>
          </reference>
        </references>
      </pivotArea>
    </format>
    <format dxfId="1636">
      <pivotArea collapsedLevelsAreSubtotals="1" fieldPosition="0">
        <references count="1">
          <reference field="1" count="1">
            <x v="212"/>
          </reference>
        </references>
      </pivotArea>
    </format>
    <format dxfId="1635">
      <pivotArea collapsedLevelsAreSubtotals="1" fieldPosition="0">
        <references count="1">
          <reference field="1" count="1">
            <x v="209"/>
          </reference>
        </references>
      </pivotArea>
    </format>
    <format dxfId="1634">
      <pivotArea collapsedLevelsAreSubtotals="1" fieldPosition="0">
        <references count="1">
          <reference field="1" count="1">
            <x v="214"/>
          </reference>
        </references>
      </pivotArea>
    </format>
    <format dxfId="1633">
      <pivotArea collapsedLevelsAreSubtotals="1" fieldPosition="0">
        <references count="1">
          <reference field="1" count="1">
            <x v="206"/>
          </reference>
        </references>
      </pivotArea>
    </format>
    <format dxfId="1632">
      <pivotArea dataOnly="0" labelOnly="1" fieldPosition="0">
        <references count="1">
          <reference field="1" count="8">
            <x v="90"/>
            <x v="206"/>
            <x v="209"/>
            <x v="210"/>
            <x v="211"/>
            <x v="212"/>
            <x v="213"/>
            <x v="214"/>
          </reference>
        </references>
      </pivotArea>
    </format>
    <format dxfId="1631">
      <pivotArea collapsedLevelsAreSubtotals="1" fieldPosition="0">
        <references count="1">
          <reference field="1" count="1">
            <x v="213"/>
          </reference>
        </references>
      </pivotArea>
    </format>
    <format dxfId="1630">
      <pivotArea collapsedLevelsAreSubtotals="1" fieldPosition="0">
        <references count="1">
          <reference field="1" count="1">
            <x v="90"/>
          </reference>
        </references>
      </pivotArea>
    </format>
    <format dxfId="1629">
      <pivotArea collapsedLevelsAreSubtotals="1" fieldPosition="0">
        <references count="1">
          <reference field="1" count="1">
            <x v="211"/>
          </reference>
        </references>
      </pivotArea>
    </format>
    <format dxfId="1628">
      <pivotArea collapsedLevelsAreSubtotals="1" fieldPosition="0">
        <references count="1">
          <reference field="1" count="1">
            <x v="210"/>
          </reference>
        </references>
      </pivotArea>
    </format>
    <format dxfId="1627">
      <pivotArea collapsedLevelsAreSubtotals="1" fieldPosition="0">
        <references count="1">
          <reference field="1" count="1">
            <x v="212"/>
          </reference>
        </references>
      </pivotArea>
    </format>
    <format dxfId="1626">
      <pivotArea collapsedLevelsAreSubtotals="1" fieldPosition="0">
        <references count="1">
          <reference field="1" count="1">
            <x v="209"/>
          </reference>
        </references>
      </pivotArea>
    </format>
    <format dxfId="1625">
      <pivotArea collapsedLevelsAreSubtotals="1" fieldPosition="0">
        <references count="1">
          <reference field="1" count="1">
            <x v="214"/>
          </reference>
        </references>
      </pivotArea>
    </format>
    <format dxfId="1624">
      <pivotArea collapsedLevelsAreSubtotals="1" fieldPosition="0">
        <references count="1">
          <reference field="1" count="1">
            <x v="206"/>
          </reference>
        </references>
      </pivotArea>
    </format>
    <format dxfId="1623">
      <pivotArea dataOnly="0" labelOnly="1" fieldPosition="0">
        <references count="1">
          <reference field="1" count="8">
            <x v="90"/>
            <x v="206"/>
            <x v="209"/>
            <x v="210"/>
            <x v="211"/>
            <x v="212"/>
            <x v="213"/>
            <x v="214"/>
          </reference>
        </references>
      </pivotArea>
    </format>
    <format dxfId="1622">
      <pivotArea collapsedLevelsAreSubtotals="1" fieldPosition="0">
        <references count="1">
          <reference field="1" count="1">
            <x v="213"/>
          </reference>
        </references>
      </pivotArea>
    </format>
    <format dxfId="1621">
      <pivotArea collapsedLevelsAreSubtotals="1" fieldPosition="0">
        <references count="1">
          <reference field="1" count="1">
            <x v="90"/>
          </reference>
        </references>
      </pivotArea>
    </format>
    <format dxfId="1620">
      <pivotArea collapsedLevelsAreSubtotals="1" fieldPosition="0">
        <references count="1">
          <reference field="1" count="1">
            <x v="211"/>
          </reference>
        </references>
      </pivotArea>
    </format>
    <format dxfId="1619">
      <pivotArea collapsedLevelsAreSubtotals="1" fieldPosition="0">
        <references count="1">
          <reference field="1" count="1">
            <x v="210"/>
          </reference>
        </references>
      </pivotArea>
    </format>
    <format dxfId="1618">
      <pivotArea collapsedLevelsAreSubtotals="1" fieldPosition="0">
        <references count="1">
          <reference field="1" count="1">
            <x v="212"/>
          </reference>
        </references>
      </pivotArea>
    </format>
    <format dxfId="1617">
      <pivotArea collapsedLevelsAreSubtotals="1" fieldPosition="0">
        <references count="1">
          <reference field="1" count="1">
            <x v="209"/>
          </reference>
        </references>
      </pivotArea>
    </format>
    <format dxfId="1616">
      <pivotArea collapsedLevelsAreSubtotals="1" fieldPosition="0">
        <references count="1">
          <reference field="1" count="1">
            <x v="214"/>
          </reference>
        </references>
      </pivotArea>
    </format>
    <format dxfId="1615">
      <pivotArea collapsedLevelsAreSubtotals="1" fieldPosition="0">
        <references count="1">
          <reference field="1" count="1">
            <x v="206"/>
          </reference>
        </references>
      </pivotArea>
    </format>
    <format dxfId="1614">
      <pivotArea dataOnly="0" labelOnly="1" fieldPosition="0">
        <references count="1">
          <reference field="1" count="8">
            <x v="90"/>
            <x v="206"/>
            <x v="209"/>
            <x v="210"/>
            <x v="211"/>
            <x v="212"/>
            <x v="213"/>
            <x v="214"/>
          </reference>
        </references>
      </pivotArea>
    </format>
    <format dxfId="1613">
      <pivotArea collapsedLevelsAreSubtotals="1" fieldPosition="0">
        <references count="1">
          <reference field="1" count="1">
            <x v="198"/>
          </reference>
        </references>
      </pivotArea>
    </format>
    <format dxfId="1612">
      <pivotArea collapsedLevelsAreSubtotals="1" fieldPosition="0">
        <references count="1">
          <reference field="1" count="1">
            <x v="199"/>
          </reference>
        </references>
      </pivotArea>
    </format>
    <format dxfId="1611">
      <pivotArea collapsedLevelsAreSubtotals="1" fieldPosition="0">
        <references count="1">
          <reference field="1" count="1">
            <x v="200"/>
          </reference>
        </references>
      </pivotArea>
    </format>
    <format dxfId="1610">
      <pivotArea collapsedLevelsAreSubtotals="1" fieldPosition="0">
        <references count="1">
          <reference field="1" count="1">
            <x v="198"/>
          </reference>
        </references>
      </pivotArea>
    </format>
    <format dxfId="1609">
      <pivotArea collapsedLevelsAreSubtotals="1" fieldPosition="0">
        <references count="1">
          <reference field="1" count="1">
            <x v="198"/>
          </reference>
        </references>
      </pivotArea>
    </format>
    <format dxfId="1608">
      <pivotArea collapsedLevelsAreSubtotals="1" fieldPosition="0">
        <references count="1">
          <reference field="1" count="1">
            <x v="198"/>
          </reference>
        </references>
      </pivotArea>
    </format>
    <format dxfId="1607">
      <pivotArea collapsedLevelsAreSubtotals="1" fieldPosition="0">
        <references count="1">
          <reference field="1" count="1">
            <x v="198"/>
          </reference>
        </references>
      </pivotArea>
    </format>
    <format dxfId="1606">
      <pivotArea collapsedLevelsAreSubtotals="1" fieldPosition="0">
        <references count="1">
          <reference field="1" count="1">
            <x v="199"/>
          </reference>
        </references>
      </pivotArea>
    </format>
    <format dxfId="1605">
      <pivotArea collapsedLevelsAreSubtotals="1" fieldPosition="0">
        <references count="1">
          <reference field="1" count="1">
            <x v="200"/>
          </reference>
        </references>
      </pivotArea>
    </format>
    <format dxfId="1604">
      <pivotArea collapsedLevelsAreSubtotals="1" fieldPosition="0">
        <references count="1">
          <reference field="1" count="1">
            <x v="201"/>
          </reference>
        </references>
      </pivotArea>
    </format>
    <format dxfId="1603">
      <pivotArea collapsedLevelsAreSubtotals="1" fieldPosition="0">
        <references count="1">
          <reference field="1" count="1">
            <x v="202"/>
          </reference>
        </references>
      </pivotArea>
    </format>
    <format dxfId="1602">
      <pivotArea dataOnly="0" labelOnly="1" fieldPosition="0">
        <references count="1">
          <reference field="1" count="17">
            <x v="62"/>
            <x v="63"/>
            <x v="68"/>
            <x v="69"/>
            <x v="70"/>
            <x v="71"/>
            <x v="72"/>
            <x v="73"/>
            <x v="74"/>
            <x v="75"/>
            <x v="76"/>
            <x v="77"/>
            <x v="78"/>
            <x v="79"/>
            <x v="80"/>
            <x v="82"/>
            <x v="84"/>
          </reference>
        </references>
      </pivotArea>
    </format>
    <format dxfId="1601">
      <pivotArea outline="0" collapsedLevelsAreSubtotals="1" fieldPosition="0"/>
    </format>
    <format dxfId="1600">
      <pivotArea dataOnly="0" labelOnly="1" fieldPosition="0">
        <references count="1">
          <reference field="1" count="21">
            <x v="56"/>
            <x v="58"/>
            <x v="59"/>
            <x v="65"/>
            <x v="67"/>
            <x v="71"/>
            <x v="72"/>
            <x v="74"/>
            <x v="75"/>
            <x v="76"/>
            <x v="77"/>
            <x v="78"/>
            <x v="79"/>
            <x v="80"/>
            <x v="82"/>
            <x v="85"/>
            <x v="91"/>
            <x v="133"/>
            <x v="147"/>
            <x v="149"/>
            <x v="156"/>
          </reference>
        </references>
      </pivotArea>
    </format>
    <format dxfId="1599">
      <pivotArea outline="0" collapsedLevelsAreSubtotals="1" fieldPosition="0"/>
    </format>
    <format dxfId="1598">
      <pivotArea type="all" dataOnly="0" outline="0" fieldPosition="0"/>
    </format>
    <format dxfId="1597">
      <pivotArea outline="0" collapsedLevelsAreSubtotals="1" fieldPosition="0"/>
    </format>
    <format dxfId="1596">
      <pivotArea field="1" type="button" dataOnly="0" labelOnly="1" outline="0" axis="axisRow" fieldPosition="0"/>
    </format>
    <format dxfId="1595">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1594">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593">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1592">
      <pivotArea dataOnly="0" labelOnly="1" grandRow="1" outline="0" fieldPosition="0"/>
    </format>
    <format dxfId="1591">
      <pivotArea dataOnly="0" labelOnly="1" fieldPosition="0">
        <references count="2">
          <reference field="1" count="1" selected="0">
            <x v="57"/>
          </reference>
          <reference field="2" count="7">
            <x v="311"/>
            <x v="326"/>
            <x v="415"/>
            <x v="418"/>
            <x v="446"/>
            <x v="648"/>
            <x v="788"/>
          </reference>
        </references>
      </pivotArea>
    </format>
    <format dxfId="1590">
      <pivotArea dataOnly="0" labelOnly="1" outline="0" fieldPosition="0">
        <references count="1">
          <reference field="4294967294" count="3">
            <x v="0"/>
            <x v="1"/>
            <x v="2"/>
          </reference>
        </references>
      </pivotArea>
    </format>
    <format dxfId="1589">
      <pivotArea type="all" dataOnly="0" outline="0" fieldPosition="0"/>
    </format>
    <format dxfId="1588">
      <pivotArea outline="0" collapsedLevelsAreSubtotals="1" fieldPosition="0"/>
    </format>
    <format dxfId="1587">
      <pivotArea field="1" type="button" dataOnly="0" labelOnly="1" outline="0" axis="axisRow" fieldPosition="0"/>
    </format>
    <format dxfId="1586">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1585">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584">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1583">
      <pivotArea dataOnly="0" labelOnly="1" grandRow="1" outline="0" fieldPosition="0"/>
    </format>
    <format dxfId="1582">
      <pivotArea dataOnly="0" labelOnly="1" fieldPosition="0">
        <references count="2">
          <reference field="1" count="1" selected="0">
            <x v="57"/>
          </reference>
          <reference field="2" count="7">
            <x v="311"/>
            <x v="326"/>
            <x v="415"/>
            <x v="418"/>
            <x v="446"/>
            <x v="648"/>
            <x v="788"/>
          </reference>
        </references>
      </pivotArea>
    </format>
    <format dxfId="1581">
      <pivotArea dataOnly="0" labelOnly="1" outline="0" fieldPosition="0">
        <references count="1">
          <reference field="4294967294" count="3">
            <x v="0"/>
            <x v="1"/>
            <x v="2"/>
          </reference>
        </references>
      </pivotArea>
    </format>
    <format dxfId="1580">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1579">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578">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1577">
      <pivotArea outline="0" collapsedLevelsAreSubtotals="1" fieldPosition="0"/>
    </format>
    <format dxfId="1576">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1575">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1574">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1573">
      <pivotArea dataOnly="0" labelOnly="1" grandRow="1" outline="0" fieldPosition="0"/>
    </format>
    <format dxfId="1572">
      <pivotArea collapsedLevelsAreSubtotals="1" fieldPosition="0">
        <references count="1">
          <reference field="1" count="1">
            <x v="57"/>
          </reference>
        </references>
      </pivotArea>
    </format>
    <format dxfId="1571">
      <pivotArea collapsedLevelsAreSubtotals="1" fieldPosition="0">
        <references count="1">
          <reference field="1" count="1">
            <x v="58"/>
          </reference>
        </references>
      </pivotArea>
    </format>
    <format dxfId="1570">
      <pivotArea collapsedLevelsAreSubtotals="1" fieldPosition="0">
        <references count="1">
          <reference field="1" count="1">
            <x v="59"/>
          </reference>
        </references>
      </pivotArea>
    </format>
    <format dxfId="1569">
      <pivotArea dataOnly="0" labelOnly="1" fieldPosition="0">
        <references count="1">
          <reference field="1" count="3">
            <x v="57"/>
            <x v="58"/>
            <x v="59"/>
          </reference>
        </references>
      </pivotArea>
    </format>
    <format dxfId="1568">
      <pivotArea collapsedLevelsAreSubtotals="1" fieldPosition="0">
        <references count="1">
          <reference field="1" count="1">
            <x v="56"/>
          </reference>
        </references>
      </pivotArea>
    </format>
    <format dxfId="1567">
      <pivotArea dataOnly="0" labelOnly="1" fieldPosition="0">
        <references count="1">
          <reference field="1" count="1">
            <x v="56"/>
          </reference>
        </references>
      </pivotArea>
    </format>
    <format dxfId="1566">
      <pivotArea collapsedLevelsAreSubtotals="1" fieldPosition="0">
        <references count="1">
          <reference field="1" count="1">
            <x v="55"/>
          </reference>
        </references>
      </pivotArea>
    </format>
    <format dxfId="1565">
      <pivotArea dataOnly="0" labelOnly="1" fieldPosition="0">
        <references count="1">
          <reference field="1" count="1">
            <x v="55"/>
          </reference>
        </references>
      </pivotArea>
    </format>
    <format dxfId="1564">
      <pivotArea collapsedLevelsAreSubtotals="1" fieldPosition="0">
        <references count="1">
          <reference field="1" count="1">
            <x v="55"/>
          </reference>
        </references>
      </pivotArea>
    </format>
    <format dxfId="1563">
      <pivotArea dataOnly="0" labelOnly="1" fieldPosition="0">
        <references count="1">
          <reference field="1" count="1">
            <x v="55"/>
          </reference>
        </references>
      </pivotArea>
    </format>
    <format dxfId="1562">
      <pivotArea dataOnly="0" labelOnly="1" fieldPosition="0">
        <references count="1">
          <reference field="1" count="1">
            <x v="54"/>
          </reference>
        </references>
      </pivotArea>
    </format>
    <format dxfId="1561">
      <pivotArea dataOnly="0" labelOnly="1" fieldPosition="0">
        <references count="1">
          <reference field="1" count="1">
            <x v="53"/>
          </reference>
        </references>
      </pivotArea>
    </format>
    <format dxfId="1560">
      <pivotArea collapsedLevelsAreSubtotals="1" fieldPosition="0">
        <references count="1">
          <reference field="1" count="1">
            <x v="53"/>
          </reference>
        </references>
      </pivotArea>
    </format>
    <format dxfId="1559">
      <pivotArea collapsedLevelsAreSubtotals="1" fieldPosition="0">
        <references count="1">
          <reference field="1" count="1">
            <x v="54"/>
          </reference>
        </references>
      </pivotArea>
    </format>
    <format dxfId="1558">
      <pivotArea collapsedLevelsAreSubtotals="1" fieldPosition="0">
        <references count="1">
          <reference field="1" count="1">
            <x v="51"/>
          </reference>
        </references>
      </pivotArea>
    </format>
    <format dxfId="1557">
      <pivotArea collapsedLevelsAreSubtotals="1" fieldPosition="0">
        <references count="1">
          <reference field="1" count="1">
            <x v="52"/>
          </reference>
        </references>
      </pivotArea>
    </format>
    <format dxfId="1556">
      <pivotArea dataOnly="0" labelOnly="1" fieldPosition="0">
        <references count="1">
          <reference field="1" count="2">
            <x v="51"/>
            <x v="52"/>
          </reference>
        </references>
      </pivotArea>
    </format>
    <format dxfId="1555">
      <pivotArea dataOnly="0" labelOnly="1" fieldPosition="0">
        <references count="1">
          <reference field="1" count="2">
            <x v="216"/>
            <x v="217"/>
          </reference>
        </references>
      </pivotArea>
    </format>
    <format dxfId="1554">
      <pivotArea dataOnly="0" labelOnly="1" fieldPosition="0">
        <references count="1">
          <reference field="1" count="3">
            <x v="48"/>
            <x v="49"/>
            <x v="50"/>
          </reference>
        </references>
      </pivotArea>
    </format>
    <format dxfId="1553">
      <pivotArea collapsedLevelsAreSubtotals="1" fieldPosition="0">
        <references count="1">
          <reference field="1" count="1">
            <x v="48"/>
          </reference>
        </references>
      </pivotArea>
    </format>
    <format dxfId="1552">
      <pivotArea collapsedLevelsAreSubtotals="1" fieldPosition="0">
        <references count="1">
          <reference field="1" count="1">
            <x v="49"/>
          </reference>
        </references>
      </pivotArea>
    </format>
    <format dxfId="1551">
      <pivotArea collapsedLevelsAreSubtotals="1" fieldPosition="0">
        <references count="1">
          <reference field="1" count="1">
            <x v="50"/>
          </reference>
        </references>
      </pivotArea>
    </format>
    <format dxfId="1550">
      <pivotArea collapsedLevelsAreSubtotals="1" fieldPosition="0">
        <references count="1">
          <reference field="1" count="1">
            <x v="46"/>
          </reference>
        </references>
      </pivotArea>
    </format>
    <format dxfId="1549">
      <pivotArea collapsedLevelsAreSubtotals="1" fieldPosition="0">
        <references count="1">
          <reference field="1" count="1">
            <x v="47"/>
          </reference>
        </references>
      </pivotArea>
    </format>
    <format dxfId="1548">
      <pivotArea dataOnly="0" labelOnly="1" fieldPosition="0">
        <references count="1">
          <reference field="1" count="2">
            <x v="46"/>
            <x v="47"/>
          </reference>
        </references>
      </pivotArea>
    </format>
    <format dxfId="1547">
      <pivotArea collapsedLevelsAreSubtotals="1" fieldPosition="0">
        <references count="1">
          <reference field="1" count="1">
            <x v="44"/>
          </reference>
        </references>
      </pivotArea>
    </format>
    <format dxfId="1546">
      <pivotArea collapsedLevelsAreSubtotals="1" fieldPosition="0">
        <references count="1">
          <reference field="1" count="1">
            <x v="45"/>
          </reference>
        </references>
      </pivotArea>
    </format>
    <format dxfId="1545">
      <pivotArea dataOnly="0" labelOnly="1" fieldPosition="0">
        <references count="1">
          <reference field="1" count="2">
            <x v="44"/>
            <x v="45"/>
          </reference>
        </references>
      </pivotArea>
    </format>
    <format dxfId="1544">
      <pivotArea collapsedLevelsAreSubtotals="1" fieldPosition="0">
        <references count="1">
          <reference field="1" count="1">
            <x v="43"/>
          </reference>
        </references>
      </pivotArea>
    </format>
    <format dxfId="1543">
      <pivotArea dataOnly="0" labelOnly="1" fieldPosition="0">
        <references count="1">
          <reference field="1" count="1">
            <x v="43"/>
          </reference>
        </references>
      </pivotArea>
    </format>
    <format dxfId="1542">
      <pivotArea collapsedLevelsAreSubtotals="1" fieldPosition="0">
        <references count="1">
          <reference field="1" count="1">
            <x v="42"/>
          </reference>
        </references>
      </pivotArea>
    </format>
    <format dxfId="1541">
      <pivotArea dataOnly="0" labelOnly="1" fieldPosition="0">
        <references count="1">
          <reference field="1" count="1">
            <x v="42"/>
          </reference>
        </references>
      </pivotArea>
    </format>
    <format dxfId="1540">
      <pivotArea collapsedLevelsAreSubtotals="1" fieldPosition="0">
        <references count="1">
          <reference field="1" count="1">
            <x v="40"/>
          </reference>
        </references>
      </pivotArea>
    </format>
    <format dxfId="1539">
      <pivotArea collapsedLevelsAreSubtotals="1" fieldPosition="0">
        <references count="1">
          <reference field="1" count="1">
            <x v="41"/>
          </reference>
        </references>
      </pivotArea>
    </format>
    <format dxfId="1538">
      <pivotArea dataOnly="0" labelOnly="1" fieldPosition="0">
        <references count="1">
          <reference field="1" count="2">
            <x v="40"/>
            <x v="41"/>
          </reference>
        </references>
      </pivotArea>
    </format>
    <format dxfId="1537">
      <pivotArea collapsedLevelsAreSubtotals="1" fieldPosition="0">
        <references count="1">
          <reference field="1" count="1">
            <x v="39"/>
          </reference>
        </references>
      </pivotArea>
    </format>
    <format dxfId="1536">
      <pivotArea dataOnly="0" labelOnly="1" fieldPosition="0">
        <references count="1">
          <reference field="1" count="1">
            <x v="39"/>
          </reference>
        </references>
      </pivotArea>
    </format>
    <format dxfId="1535">
      <pivotArea collapsedLevelsAreSubtotals="1" fieldPosition="0">
        <references count="1">
          <reference field="1" count="1">
            <x v="38"/>
          </reference>
        </references>
      </pivotArea>
    </format>
    <format dxfId="1534">
      <pivotArea dataOnly="0" labelOnly="1" fieldPosition="0">
        <references count="1">
          <reference field="1" count="1">
            <x v="38"/>
          </reference>
        </references>
      </pivotArea>
    </format>
    <format dxfId="1533">
      <pivotArea collapsedLevelsAreSubtotals="1" fieldPosition="0">
        <references count="1">
          <reference field="1" count="1">
            <x v="36"/>
          </reference>
        </references>
      </pivotArea>
    </format>
    <format dxfId="1532">
      <pivotArea collapsedLevelsAreSubtotals="1" fieldPosition="0">
        <references count="1">
          <reference field="1" count="1">
            <x v="37"/>
          </reference>
        </references>
      </pivotArea>
    </format>
    <format dxfId="1531">
      <pivotArea dataOnly="0" labelOnly="1" fieldPosition="0">
        <references count="1">
          <reference field="1" count="2">
            <x v="36"/>
            <x v="37"/>
          </reference>
        </references>
      </pivotArea>
    </format>
    <format dxfId="1530">
      <pivotArea collapsedLevelsAreSubtotals="1" fieldPosition="0">
        <references count="1">
          <reference field="1" count="1">
            <x v="35"/>
          </reference>
        </references>
      </pivotArea>
    </format>
    <format dxfId="1529">
      <pivotArea dataOnly="0" labelOnly="1" fieldPosition="0">
        <references count="1">
          <reference field="1" count="1">
            <x v="35"/>
          </reference>
        </references>
      </pivotArea>
    </format>
    <format dxfId="1528">
      <pivotArea collapsedLevelsAreSubtotals="1" fieldPosition="0">
        <references count="1">
          <reference field="1" count="1">
            <x v="220"/>
          </reference>
        </references>
      </pivotArea>
    </format>
    <format dxfId="1527">
      <pivotArea collapsedLevelsAreSubtotals="1" fieldPosition="0">
        <references count="1">
          <reference field="1" count="1">
            <x v="32"/>
          </reference>
        </references>
      </pivotArea>
    </format>
    <format dxfId="1526">
      <pivotArea collapsedLevelsAreSubtotals="1" fieldPosition="0">
        <references count="1">
          <reference field="1" count="1">
            <x v="230"/>
          </reference>
        </references>
      </pivotArea>
    </format>
    <format dxfId="1525">
      <pivotArea dataOnly="0" labelOnly="1" fieldPosition="0">
        <references count="1">
          <reference field="1" count="3">
            <x v="32"/>
            <x v="220"/>
            <x v="230"/>
          </reference>
        </references>
      </pivotArea>
    </format>
    <format dxfId="1524">
      <pivotArea collapsedLevelsAreSubtotals="1" fieldPosition="0">
        <references count="1">
          <reference field="1" count="1">
            <x v="34"/>
          </reference>
        </references>
      </pivotArea>
    </format>
    <format dxfId="1523">
      <pivotArea dataOnly="0" labelOnly="1" fieldPosition="0">
        <references count="1">
          <reference field="1" count="1">
            <x v="34"/>
          </reference>
        </references>
      </pivotArea>
    </format>
    <format dxfId="1522">
      <pivotArea collapsedLevelsAreSubtotals="1" fieldPosition="0">
        <references count="1">
          <reference field="1" count="1">
            <x v="32"/>
          </reference>
        </references>
      </pivotArea>
    </format>
    <format dxfId="1521">
      <pivotArea collapsedLevelsAreSubtotals="1" fieldPosition="0">
        <references count="1">
          <reference field="1" count="1">
            <x v="33"/>
          </reference>
        </references>
      </pivotArea>
    </format>
    <format dxfId="1520">
      <pivotArea dataOnly="0" labelOnly="1" fieldPosition="0">
        <references count="1">
          <reference field="1" count="2">
            <x v="32"/>
            <x v="33"/>
          </reference>
        </references>
      </pivotArea>
    </format>
    <format dxfId="1519">
      <pivotArea dataOnly="0" labelOnly="1" fieldPosition="0">
        <references count="1">
          <reference field="1" count="1">
            <x v="33"/>
          </reference>
        </references>
      </pivotArea>
    </format>
    <format dxfId="1518">
      <pivotArea collapsedLevelsAreSubtotals="1" fieldPosition="0">
        <references count="1">
          <reference field="1" count="1">
            <x v="31"/>
          </reference>
        </references>
      </pivotArea>
    </format>
    <format dxfId="1517">
      <pivotArea dataOnly="0" labelOnly="1" fieldPosition="0">
        <references count="1">
          <reference field="1" count="1">
            <x v="31"/>
          </reference>
        </references>
      </pivotArea>
    </format>
    <format dxfId="1516">
      <pivotArea collapsedLevelsAreSubtotals="1" fieldPosition="0">
        <references count="1">
          <reference field="1" count="1">
            <x v="29"/>
          </reference>
        </references>
      </pivotArea>
    </format>
    <format dxfId="1515">
      <pivotArea dataOnly="0" labelOnly="1" fieldPosition="0">
        <references count="1">
          <reference field="1" count="1">
            <x v="29"/>
          </reference>
        </references>
      </pivotArea>
    </format>
    <format dxfId="1514">
      <pivotArea collapsedLevelsAreSubtotals="1" fieldPosition="0">
        <references count="1">
          <reference field="1" count="1">
            <x v="30"/>
          </reference>
        </references>
      </pivotArea>
    </format>
    <format dxfId="1513">
      <pivotArea dataOnly="0" labelOnly="1" fieldPosition="0">
        <references count="1">
          <reference field="1" count="1">
            <x v="30"/>
          </reference>
        </references>
      </pivotArea>
    </format>
    <format dxfId="1512">
      <pivotArea dataOnly="0" labelOnly="1" fieldPosition="0">
        <references count="1">
          <reference field="1" count="1">
            <x v="28"/>
          </reference>
        </references>
      </pivotArea>
    </format>
    <format dxfId="1511">
      <pivotArea collapsedLevelsAreSubtotals="1" fieldPosition="0">
        <references count="1">
          <reference field="1" count="1">
            <x v="28"/>
          </reference>
        </references>
      </pivotArea>
    </format>
    <format dxfId="1510">
      <pivotArea collapsedLevelsAreSubtotals="1" fieldPosition="0">
        <references count="1">
          <reference field="1" count="1">
            <x v="29"/>
          </reference>
        </references>
      </pivotArea>
    </format>
    <format dxfId="1509">
      <pivotArea dataOnly="0" labelOnly="1" fieldPosition="0">
        <references count="1">
          <reference field="1" count="2">
            <x v="28"/>
            <x v="29"/>
          </reference>
        </references>
      </pivotArea>
    </format>
    <format dxfId="1508">
      <pivotArea collapsedLevelsAreSubtotals="1" fieldPosition="0">
        <references count="1">
          <reference field="1" count="1">
            <x v="27"/>
          </reference>
        </references>
      </pivotArea>
    </format>
    <format dxfId="1507">
      <pivotArea dataOnly="0" labelOnly="1" fieldPosition="0">
        <references count="1">
          <reference field="1" count="1">
            <x v="27"/>
          </reference>
        </references>
      </pivotArea>
    </format>
    <format dxfId="1506">
      <pivotArea collapsedLevelsAreSubtotals="1" fieldPosition="0">
        <references count="1">
          <reference field="1" count="1">
            <x v="25"/>
          </reference>
        </references>
      </pivotArea>
    </format>
    <format dxfId="1505">
      <pivotArea collapsedLevelsAreSubtotals="1" fieldPosition="0">
        <references count="1">
          <reference field="1" count="1">
            <x v="26"/>
          </reference>
        </references>
      </pivotArea>
    </format>
    <format dxfId="1504">
      <pivotArea dataOnly="0" labelOnly="1" fieldPosition="0">
        <references count="1">
          <reference field="1" count="2">
            <x v="25"/>
            <x v="26"/>
          </reference>
        </references>
      </pivotArea>
    </format>
    <format dxfId="1503">
      <pivotArea collapsedLevelsAreSubtotals="1" fieldPosition="0">
        <references count="1">
          <reference field="1" count="1">
            <x v="24"/>
          </reference>
        </references>
      </pivotArea>
    </format>
    <format dxfId="1502">
      <pivotArea dataOnly="0" labelOnly="1" fieldPosition="0">
        <references count="1">
          <reference field="1" count="1">
            <x v="24"/>
          </reference>
        </references>
      </pivotArea>
    </format>
    <format dxfId="1501">
      <pivotArea collapsedLevelsAreSubtotals="1" fieldPosition="0">
        <references count="1">
          <reference field="1" count="1">
            <x v="23"/>
          </reference>
        </references>
      </pivotArea>
    </format>
    <format dxfId="1500">
      <pivotArea dataOnly="0" labelOnly="1" fieldPosition="0">
        <references count="1">
          <reference field="1" count="1">
            <x v="23"/>
          </reference>
        </references>
      </pivotArea>
    </format>
    <format dxfId="1499">
      <pivotArea collapsedLevelsAreSubtotals="1" fieldPosition="0">
        <references count="1">
          <reference field="1" count="1">
            <x v="21"/>
          </reference>
        </references>
      </pivotArea>
    </format>
    <format dxfId="1498">
      <pivotArea collapsedLevelsAreSubtotals="1" fieldPosition="0">
        <references count="1">
          <reference field="1" count="1">
            <x v="22"/>
          </reference>
        </references>
      </pivotArea>
    </format>
    <format dxfId="1497">
      <pivotArea dataOnly="0" labelOnly="1" fieldPosition="0">
        <references count="1">
          <reference field="1" count="2">
            <x v="21"/>
            <x v="22"/>
          </reference>
        </references>
      </pivotArea>
    </format>
    <format dxfId="1496">
      <pivotArea collapsedLevelsAreSubtotals="1" fieldPosition="0">
        <references count="1">
          <reference field="1" count="1">
            <x v="239"/>
          </reference>
        </references>
      </pivotArea>
    </format>
    <format dxfId="1495">
      <pivotArea dataOnly="0" labelOnly="1" fieldPosition="0">
        <references count="1">
          <reference field="1" count="1">
            <x v="239"/>
          </reference>
        </references>
      </pivotArea>
    </format>
    <format dxfId="1494">
      <pivotArea collapsedLevelsAreSubtotals="1" fieldPosition="0">
        <references count="1">
          <reference field="1" count="1">
            <x v="17"/>
          </reference>
        </references>
      </pivotArea>
    </format>
    <format dxfId="1493">
      <pivotArea collapsedLevelsAreSubtotals="1" fieldPosition="0">
        <references count="1">
          <reference field="1" count="1">
            <x v="18"/>
          </reference>
        </references>
      </pivotArea>
    </format>
    <format dxfId="1492">
      <pivotArea collapsedLevelsAreSubtotals="1" fieldPosition="0">
        <references count="1">
          <reference field="1" count="1">
            <x v="19"/>
          </reference>
        </references>
      </pivotArea>
    </format>
    <format dxfId="1491">
      <pivotArea collapsedLevelsAreSubtotals="1" fieldPosition="0">
        <references count="1">
          <reference field="1" count="1">
            <x v="20"/>
          </reference>
        </references>
      </pivotArea>
    </format>
    <format dxfId="1490">
      <pivotArea dataOnly="0" labelOnly="1" fieldPosition="0">
        <references count="1">
          <reference field="1" count="4">
            <x v="17"/>
            <x v="18"/>
            <x v="19"/>
            <x v="20"/>
          </reference>
        </references>
      </pivotArea>
    </format>
    <format dxfId="1489">
      <pivotArea collapsedLevelsAreSubtotals="1" fieldPosition="0">
        <references count="1">
          <reference field="1" count="1">
            <x v="16"/>
          </reference>
        </references>
      </pivotArea>
    </format>
    <format dxfId="1488">
      <pivotArea dataOnly="0" labelOnly="1" fieldPosition="0">
        <references count="1">
          <reference field="1" count="1">
            <x v="16"/>
          </reference>
        </references>
      </pivotArea>
    </format>
    <format dxfId="1487">
      <pivotArea collapsedLevelsAreSubtotals="1" fieldPosition="0">
        <references count="1">
          <reference field="1" count="1">
            <x v="12"/>
          </reference>
        </references>
      </pivotArea>
    </format>
    <format dxfId="1486">
      <pivotArea collapsedLevelsAreSubtotals="1" fieldPosition="0">
        <references count="1">
          <reference field="1" count="1">
            <x v="13"/>
          </reference>
        </references>
      </pivotArea>
    </format>
    <format dxfId="1485">
      <pivotArea collapsedLevelsAreSubtotals="1" fieldPosition="0">
        <references count="1">
          <reference field="1" count="1">
            <x v="14"/>
          </reference>
        </references>
      </pivotArea>
    </format>
    <format dxfId="1484">
      <pivotArea collapsedLevelsAreSubtotals="1" fieldPosition="0">
        <references count="1">
          <reference field="1" count="1">
            <x v="15"/>
          </reference>
        </references>
      </pivotArea>
    </format>
    <format dxfId="1483">
      <pivotArea dataOnly="0" labelOnly="1" fieldPosition="0">
        <references count="1">
          <reference field="1" count="4">
            <x v="12"/>
            <x v="13"/>
            <x v="14"/>
            <x v="15"/>
          </reference>
        </references>
      </pivotArea>
    </format>
    <format dxfId="1482">
      <pivotArea collapsedLevelsAreSubtotals="1" fieldPosition="0">
        <references count="1">
          <reference field="1" count="1">
            <x v="11"/>
          </reference>
        </references>
      </pivotArea>
    </format>
    <format dxfId="1481">
      <pivotArea dataOnly="0" labelOnly="1" fieldPosition="0">
        <references count="1">
          <reference field="1" count="1">
            <x v="11"/>
          </reference>
        </references>
      </pivotArea>
    </format>
    <format dxfId="1480">
      <pivotArea collapsedLevelsAreSubtotals="1" fieldPosition="0">
        <references count="1">
          <reference field="1" count="1">
            <x v="8"/>
          </reference>
        </references>
      </pivotArea>
    </format>
    <format dxfId="1479">
      <pivotArea collapsedLevelsAreSubtotals="1" fieldPosition="0">
        <references count="1">
          <reference field="1" count="1">
            <x v="9"/>
          </reference>
        </references>
      </pivotArea>
    </format>
    <format dxfId="1478">
      <pivotArea collapsedLevelsAreSubtotals="1" fieldPosition="0">
        <references count="1">
          <reference field="1" count="1">
            <x v="10"/>
          </reference>
        </references>
      </pivotArea>
    </format>
    <format dxfId="1477">
      <pivotArea dataOnly="0" labelOnly="1" fieldPosition="0">
        <references count="1">
          <reference field="1" count="3">
            <x v="8"/>
            <x v="9"/>
            <x v="10"/>
          </reference>
        </references>
      </pivotArea>
    </format>
    <format dxfId="1476">
      <pivotArea collapsedLevelsAreSubtotals="1" fieldPosition="0">
        <references count="1">
          <reference field="1" count="1">
            <x v="7"/>
          </reference>
        </references>
      </pivotArea>
    </format>
    <format dxfId="1475">
      <pivotArea dataOnly="0" labelOnly="1" fieldPosition="0">
        <references count="1">
          <reference field="1" count="1">
            <x v="7"/>
          </reference>
        </references>
      </pivotArea>
    </format>
    <format dxfId="1474">
      <pivotArea collapsedLevelsAreSubtotals="1" fieldPosition="0">
        <references count="1">
          <reference field="1" count="1">
            <x v="5"/>
          </reference>
        </references>
      </pivotArea>
    </format>
    <format dxfId="1473">
      <pivotArea collapsedLevelsAreSubtotals="1" fieldPosition="0">
        <references count="1">
          <reference field="1" count="1">
            <x v="6"/>
          </reference>
        </references>
      </pivotArea>
    </format>
    <format dxfId="1472">
      <pivotArea dataOnly="0" labelOnly="1" fieldPosition="0">
        <references count="1">
          <reference field="1" count="2">
            <x v="5"/>
            <x v="6"/>
          </reference>
        </references>
      </pivotArea>
    </format>
    <format dxfId="1471">
      <pivotArea collapsedLevelsAreSubtotals="1" fieldPosition="0">
        <references count="1">
          <reference field="1" count="1">
            <x v="4"/>
          </reference>
        </references>
      </pivotArea>
    </format>
    <format dxfId="1470">
      <pivotArea dataOnly="0" labelOnly="1" fieldPosition="0">
        <references count="1">
          <reference field="1" count="1">
            <x v="4"/>
          </reference>
        </references>
      </pivotArea>
    </format>
    <format dxfId="1469">
      <pivotArea collapsedLevelsAreSubtotals="1" fieldPosition="0">
        <references count="1">
          <reference field="1" count="1">
            <x v="3"/>
          </reference>
        </references>
      </pivotArea>
    </format>
    <format dxfId="1468">
      <pivotArea dataOnly="0" labelOnly="1" fieldPosition="0">
        <references count="1">
          <reference field="1" count="1">
            <x v="3"/>
          </reference>
        </references>
      </pivotArea>
    </format>
    <format dxfId="1467">
      <pivotArea collapsedLevelsAreSubtotals="1" fieldPosition="0">
        <references count="1">
          <reference field="1" count="1">
            <x v="2"/>
          </reference>
        </references>
      </pivotArea>
    </format>
    <format dxfId="1466">
      <pivotArea dataOnly="0" labelOnly="1" fieldPosition="0">
        <references count="1">
          <reference field="1" count="1">
            <x v="2"/>
          </reference>
        </references>
      </pivotArea>
    </format>
    <format dxfId="1465">
      <pivotArea collapsedLevelsAreSubtotals="1" fieldPosition="0">
        <references count="1">
          <reference field="1" count="1">
            <x v="1"/>
          </reference>
        </references>
      </pivotArea>
    </format>
    <format dxfId="1464">
      <pivotArea dataOnly="0" labelOnly="1" fieldPosition="0">
        <references count="1">
          <reference field="1" count="1">
            <x v="1"/>
          </reference>
        </references>
      </pivotArea>
    </format>
    <format dxfId="1463">
      <pivotArea collapsedLevelsAreSubtotals="1" fieldPosition="0">
        <references count="1">
          <reference field="1" count="1">
            <x v="0"/>
          </reference>
        </references>
      </pivotArea>
    </format>
    <format dxfId="1462">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7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03">
        <item x="0"/>
        <item x="1"/>
        <item x="2"/>
        <item x="4"/>
        <item x="5"/>
        <item x="7"/>
        <item x="8"/>
        <item x="9"/>
        <item m="1" x="1254"/>
        <item x="10"/>
        <item x="11"/>
        <item m="1" x="1258"/>
        <item x="12"/>
        <item x="13"/>
        <item x="14"/>
        <item x="16"/>
        <item x="18"/>
        <item x="3"/>
        <item x="6"/>
        <item x="17"/>
        <item x="15"/>
        <item m="1" x="1260"/>
        <item m="1" x="1259"/>
        <item x="21"/>
        <item x="19"/>
        <item x="23"/>
        <item m="1" x="1261"/>
        <item x="24"/>
        <item x="20"/>
        <item x="28"/>
        <item m="1" x="1262"/>
        <item x="22"/>
        <item x="39"/>
        <item x="25"/>
        <item x="29"/>
        <item x="35"/>
        <item x="26"/>
        <item x="27"/>
        <item x="38"/>
        <item x="30"/>
        <item x="31"/>
        <item x="32"/>
        <item m="1" x="1263"/>
        <item x="37"/>
        <item m="1" x="1264"/>
        <item m="1" x="1265"/>
        <item x="44"/>
        <item x="34"/>
        <item x="40"/>
        <item x="33"/>
        <item x="36"/>
        <item x="60"/>
        <item x="42"/>
        <item m="1" x="1267"/>
        <item x="41"/>
        <item x="47"/>
        <item x="43"/>
        <item m="1" x="1266"/>
        <item x="50"/>
        <item x="45"/>
        <item x="46"/>
        <item x="52"/>
        <item m="1" x="1268"/>
        <item x="53"/>
        <item x="56"/>
        <item x="49"/>
        <item x="48"/>
        <item m="1" x="1269"/>
        <item x="51"/>
        <item m="1" x="1270"/>
        <item x="54"/>
        <item x="55"/>
        <item x="62"/>
        <item x="57"/>
        <item x="58"/>
        <item x="59"/>
        <item x="61"/>
        <item x="63"/>
        <item x="64"/>
        <item x="65"/>
        <item x="66"/>
        <item x="67"/>
        <item x="68"/>
        <item m="1" x="1271"/>
        <item m="1" x="1272"/>
        <item x="69"/>
        <item x="70"/>
        <item x="76"/>
        <item m="1" x="1273"/>
        <item m="1" x="1274"/>
        <item m="1" x="1275"/>
        <item x="71"/>
        <item x="72"/>
        <item x="73"/>
        <item x="74"/>
        <item x="75"/>
        <item x="77"/>
        <item x="78"/>
        <item x="79"/>
        <item m="1" x="1276"/>
        <item x="87"/>
        <item x="80"/>
        <item m="1" x="1277"/>
        <item x="81"/>
        <item x="82"/>
        <item x="83"/>
        <item x="84"/>
        <item x="85"/>
        <item x="86"/>
        <item x="88"/>
        <item x="89"/>
        <item x="90"/>
        <item x="91"/>
        <item m="1" x="1278"/>
        <item x="92"/>
        <item x="93"/>
        <item x="94"/>
        <item x="95"/>
        <item m="1" x="1279"/>
        <item x="96"/>
        <item m="1" x="1280"/>
        <item x="97"/>
        <item x="104"/>
        <item x="98"/>
        <item x="109"/>
        <item x="99"/>
        <item x="100"/>
        <item x="101"/>
        <item x="102"/>
        <item x="103"/>
        <item x="105"/>
        <item x="106"/>
        <item x="107"/>
        <item x="108"/>
        <item x="110"/>
        <item x="111"/>
        <item m="1" x="128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2"/>
        <item m="1" x="1283"/>
        <item x="140"/>
        <item x="166"/>
        <item x="145"/>
        <item x="142"/>
        <item x="190"/>
        <item x="143"/>
        <item m="1" x="128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5"/>
        <item x="178"/>
        <item x="179"/>
        <item x="180"/>
        <item x="181"/>
        <item x="141"/>
        <item x="154"/>
        <item x="168"/>
        <item x="182"/>
        <item x="184"/>
        <item x="216"/>
        <item m="1" x="1286"/>
        <item x="186"/>
        <item x="185"/>
        <item x="187"/>
        <item x="188"/>
        <item x="191"/>
        <item x="192"/>
        <item x="193"/>
        <item x="194"/>
        <item x="195"/>
        <item x="196"/>
        <item x="197"/>
        <item x="199"/>
        <item x="200"/>
        <item x="201"/>
        <item m="1" x="1366"/>
        <item m="1" x="1367"/>
        <item m="1" x="1391"/>
        <item m="1" x="1320"/>
        <item x="204"/>
        <item x="202"/>
        <item x="203"/>
        <item x="205"/>
        <item x="206"/>
        <item x="183"/>
        <item x="207"/>
        <item x="208"/>
        <item x="209"/>
        <item x="210"/>
        <item x="211"/>
        <item m="1" x="1321"/>
        <item m="1" x="1322"/>
        <item m="1" x="1323"/>
        <item m="1" x="1324"/>
        <item x="222"/>
        <item x="212"/>
        <item x="213"/>
        <item x="214"/>
        <item x="215"/>
        <item x="217"/>
        <item m="1" x="1392"/>
        <item x="218"/>
        <item x="219"/>
        <item x="220"/>
        <item m="1" x="1287"/>
        <item m="1" x="1288"/>
        <item x="221"/>
        <item x="223"/>
        <item x="224"/>
        <item x="228"/>
        <item x="229"/>
        <item x="230"/>
        <item x="231"/>
        <item x="232"/>
        <item x="233"/>
        <item x="234"/>
        <item x="235"/>
        <item x="241"/>
        <item x="236"/>
        <item x="237"/>
        <item x="238"/>
        <item x="239"/>
        <item x="240"/>
        <item x="242"/>
        <item x="243"/>
        <item m="1" x="1289"/>
        <item x="244"/>
        <item x="245"/>
        <item m="1" x="13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5"/>
        <item x="373"/>
        <item x="114"/>
        <item x="279"/>
        <item x="280"/>
        <item x="226"/>
        <item m="1" x="1290"/>
        <item x="281"/>
        <item x="282"/>
        <item m="1" x="1380"/>
        <item x="283"/>
        <item x="284"/>
        <item x="285"/>
        <item x="286"/>
        <item x="287"/>
        <item x="288"/>
        <item x="135"/>
        <item x="289"/>
        <item x="290"/>
        <item x="291"/>
        <item x="292"/>
        <item x="293"/>
        <item x="294"/>
        <item x="295"/>
        <item x="296"/>
        <item x="370"/>
        <item x="297"/>
        <item x="298"/>
        <item x="299"/>
        <item x="300"/>
        <item x="301"/>
        <item m="1" x="1385"/>
        <item x="303"/>
        <item x="302"/>
        <item x="304"/>
        <item m="1" x="1376"/>
        <item x="312"/>
        <item x="309"/>
        <item x="308"/>
        <item m="1" x="1398"/>
        <item x="305"/>
        <item x="311"/>
        <item x="306"/>
        <item x="307"/>
        <item x="227"/>
        <item x="310"/>
        <item x="313"/>
        <item x="314"/>
        <item x="315"/>
        <item x="316"/>
        <item x="321"/>
        <item x="317"/>
        <item x="318"/>
        <item x="320"/>
        <item x="319"/>
        <item x="322"/>
        <item x="323"/>
        <item x="324"/>
        <item x="325"/>
        <item x="326"/>
        <item x="327"/>
        <item x="328"/>
        <item m="1" x="1326"/>
        <item x="329"/>
        <item x="330"/>
        <item x="331"/>
        <item x="332"/>
        <item x="333"/>
        <item x="334"/>
        <item m="1" x="1316"/>
        <item m="1" x="1317"/>
        <item m="1" x="1318"/>
        <item m="1" x="1319"/>
        <item m="1" x="1379"/>
        <item x="336"/>
        <item x="335"/>
        <item x="337"/>
        <item x="338"/>
        <item x="339"/>
        <item x="351"/>
        <item x="340"/>
        <item x="341"/>
        <item x="342"/>
        <item m="1" x="1291"/>
        <item x="343"/>
        <item x="344"/>
        <item x="345"/>
        <item x="346"/>
        <item x="361"/>
        <item x="347"/>
        <item x="348"/>
        <item x="349"/>
        <item x="350"/>
        <item x="355"/>
        <item x="352"/>
        <item x="354"/>
        <item x="353"/>
        <item x="371"/>
        <item x="362"/>
        <item x="356"/>
        <item x="357"/>
        <item x="358"/>
        <item x="359"/>
        <item x="360"/>
        <item m="1" x="1292"/>
        <item x="363"/>
        <item x="364"/>
        <item x="365"/>
        <item x="366"/>
        <item x="367"/>
        <item x="368"/>
        <item x="369"/>
        <item m="1" x="1293"/>
        <item m="1" x="1386"/>
        <item m="1" x="1387"/>
        <item x="372"/>
        <item x="374"/>
        <item m="1" x="1294"/>
        <item x="378"/>
        <item x="381"/>
        <item x="375"/>
        <item x="376"/>
        <item x="377"/>
        <item m="1" x="1295"/>
        <item x="379"/>
        <item x="380"/>
        <item x="382"/>
        <item x="383"/>
        <item x="384"/>
        <item x="385"/>
        <item m="1" x="1393"/>
        <item m="1" x="1388"/>
        <item x="386"/>
        <item x="387"/>
        <item x="388"/>
        <item m="1" x="1296"/>
        <item m="1" x="1297"/>
        <item x="389"/>
        <item x="390"/>
        <item x="393"/>
        <item x="391"/>
        <item x="392"/>
        <item x="394"/>
        <item x="395"/>
        <item x="396"/>
        <item x="397"/>
        <item x="398"/>
        <item x="399"/>
        <item m="1" x="1298"/>
        <item x="400"/>
        <item x="401"/>
        <item x="402"/>
        <item x="403"/>
        <item x="404"/>
        <item x="405"/>
        <item m="1" x="1299"/>
        <item x="406"/>
        <item x="407"/>
        <item x="409"/>
        <item x="410"/>
        <item x="411"/>
        <item x="412"/>
        <item m="1" x="1327"/>
        <item x="413"/>
        <item x="414"/>
        <item x="415"/>
        <item x="408"/>
        <item x="416"/>
        <item m="1" x="1400"/>
        <item x="421"/>
        <item m="1" x="1371"/>
        <item x="417"/>
        <item x="418"/>
        <item x="420"/>
        <item m="1" x="1394"/>
        <item x="419"/>
        <item m="1" x="1328"/>
        <item x="422"/>
        <item x="423"/>
        <item x="424"/>
        <item x="425"/>
        <item x="426"/>
        <item x="427"/>
        <item x="428"/>
        <item x="429"/>
        <item x="430"/>
        <item x="431"/>
        <item x="432"/>
        <item x="433"/>
        <item x="434"/>
        <item x="435"/>
        <item x="436"/>
        <item x="437"/>
        <item x="438"/>
        <item x="439"/>
        <item x="440"/>
        <item x="441"/>
        <item x="442"/>
        <item x="443"/>
        <item m="1" x="1382"/>
        <item x="444"/>
        <item x="445"/>
        <item x="446"/>
        <item m="1" x="1381"/>
        <item x="447"/>
        <item m="1" x="1384"/>
        <item x="448"/>
        <item m="1" x="1396"/>
        <item x="449"/>
        <item x="450"/>
        <item m="1" x="1300"/>
        <item x="451"/>
        <item x="452"/>
        <item x="453"/>
        <item x="454"/>
        <item x="455"/>
        <item m="1" x="1329"/>
        <item x="456"/>
        <item x="457"/>
        <item x="458"/>
        <item x="459"/>
        <item x="460"/>
        <item x="461"/>
        <item x="462"/>
        <item m="1" x="1301"/>
        <item x="463"/>
        <item x="464"/>
        <item x="465"/>
        <item x="466"/>
        <item x="467"/>
        <item x="468"/>
        <item x="469"/>
        <item x="470"/>
        <item x="471"/>
        <item x="472"/>
        <item m="1" x="1350"/>
        <item x="473"/>
        <item x="474"/>
        <item x="475"/>
        <item x="476"/>
        <item x="477"/>
        <item m="1" x="1351"/>
        <item x="478"/>
        <item x="479"/>
        <item x="480"/>
        <item x="481"/>
        <item m="1" x="1330"/>
        <item x="482"/>
        <item x="483"/>
        <item x="484"/>
        <item x="485"/>
        <item x="486"/>
        <item x="487"/>
        <item x="488"/>
        <item x="489"/>
        <item x="490"/>
        <item x="491"/>
        <item x="492"/>
        <item x="493"/>
        <item x="494"/>
        <item x="495"/>
        <item x="496"/>
        <item m="1" x="1311"/>
        <item x="498"/>
        <item x="497"/>
        <item x="499"/>
        <item x="500"/>
        <item x="501"/>
        <item x="502"/>
        <item x="503"/>
        <item m="1" x="1312"/>
        <item x="505"/>
        <item x="506"/>
        <item x="507"/>
        <item x="508"/>
        <item x="509"/>
        <item x="510"/>
        <item x="511"/>
        <item m="1" x="1331"/>
        <item m="1" x="1332"/>
        <item m="1" x="1333"/>
        <item m="1" x="1334"/>
        <item m="1" x="1335"/>
        <item x="512"/>
        <item x="513"/>
        <item x="514"/>
        <item x="515"/>
        <item x="516"/>
        <item x="517"/>
        <item x="518"/>
        <item x="519"/>
        <item x="520"/>
        <item x="521"/>
        <item x="522"/>
        <item x="523"/>
        <item x="524"/>
        <item x="525"/>
        <item x="526"/>
        <item x="527"/>
        <item x="528"/>
        <item x="529"/>
        <item x="530"/>
        <item x="531"/>
        <item x="532"/>
        <item m="1" x="1336"/>
        <item x="538"/>
        <item x="533"/>
        <item x="534"/>
        <item x="535"/>
        <item x="536"/>
        <item x="537"/>
        <item x="542"/>
        <item x="539"/>
        <item x="540"/>
        <item x="541"/>
        <item x="543"/>
        <item x="544"/>
        <item x="545"/>
        <item x="546"/>
        <item x="547"/>
        <item x="549"/>
        <item x="550"/>
        <item x="551"/>
        <item x="552"/>
        <item x="553"/>
        <item x="554"/>
        <item x="555"/>
        <item m="1" x="135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3"/>
        <item x="607"/>
        <item x="611"/>
        <item x="612"/>
        <item x="613"/>
        <item x="614"/>
        <item x="608"/>
        <item x="609"/>
        <item x="610"/>
        <item x="615"/>
        <item x="616"/>
        <item m="1" x="1354"/>
        <item x="617"/>
        <item x="618"/>
        <item m="1" x="1355"/>
        <item x="619"/>
        <item x="620"/>
        <item x="621"/>
        <item m="1" x="1356"/>
        <item x="622"/>
        <item m="1" x="1357"/>
        <item x="624"/>
        <item x="623"/>
        <item x="625"/>
        <item x="627"/>
        <item x="629"/>
        <item x="630"/>
        <item x="631"/>
        <item x="632"/>
        <item x="633"/>
        <item x="634"/>
        <item m="1" x="1337"/>
        <item x="648"/>
        <item x="635"/>
        <item m="1" x="1313"/>
        <item m="1" x="1338"/>
        <item x="636"/>
        <item x="637"/>
        <item x="626"/>
        <item x="641"/>
        <item x="642"/>
        <item x="643"/>
        <item m="1" x="1339"/>
        <item x="628"/>
        <item x="644"/>
        <item x="645"/>
        <item x="646"/>
        <item m="1" x="1302"/>
        <item x="647"/>
        <item x="649"/>
        <item x="650"/>
        <item x="640"/>
        <item x="651"/>
        <item x="652"/>
        <item m="1" x="1390"/>
        <item x="653"/>
        <item m="1" x="1358"/>
        <item m="1" x="1359"/>
        <item m="1" x="1340"/>
        <item x="654"/>
        <item m="1" x="1341"/>
        <item x="655"/>
        <item x="656"/>
        <item x="657"/>
        <item x="658"/>
        <item x="659"/>
        <item x="639"/>
        <item x="660"/>
        <item x="662"/>
        <item x="665"/>
        <item x="663"/>
        <item x="664"/>
        <item x="638"/>
        <item x="661"/>
        <item x="666"/>
        <item x="667"/>
        <item x="668"/>
        <item x="669"/>
        <item x="670"/>
        <item x="671"/>
        <item x="672"/>
        <item x="673"/>
        <item x="674"/>
        <item m="1" x="1303"/>
        <item x="675"/>
        <item m="1" x="1304"/>
        <item x="679"/>
        <item x="676"/>
        <item x="677"/>
        <item x="678"/>
        <item x="680"/>
        <item m="1" x="1373"/>
        <item x="682"/>
        <item x="681"/>
        <item x="683"/>
        <item x="684"/>
        <item x="685"/>
        <item x="686"/>
        <item x="687"/>
        <item x="688"/>
        <item x="697"/>
        <item x="689"/>
        <item x="690"/>
        <item x="691"/>
        <item x="705"/>
        <item x="700"/>
        <item x="692"/>
        <item x="693"/>
        <item x="694"/>
        <item m="1" x="1375"/>
        <item x="695"/>
        <item x="696"/>
        <item x="698"/>
        <item x="699"/>
        <item x="701"/>
        <item m="1" x="1307"/>
        <item x="702"/>
        <item x="706"/>
        <item x="703"/>
        <item x="704"/>
        <item x="707"/>
        <item x="717"/>
        <item x="709"/>
        <item x="710"/>
        <item x="711"/>
        <item x="712"/>
        <item x="713"/>
        <item x="714"/>
        <item x="715"/>
        <item x="716"/>
        <item m="1" x="1342"/>
        <item x="718"/>
        <item x="719"/>
        <item x="720"/>
        <item m="1" x="1305"/>
        <item m="1" x="1306"/>
        <item m="1" x="1308"/>
        <item x="726"/>
        <item x="721"/>
        <item x="722"/>
        <item x="723"/>
        <item x="724"/>
        <item x="725"/>
        <item x="727"/>
        <item x="758"/>
        <item x="728"/>
        <item x="729"/>
        <item x="730"/>
        <item m="1" x="1389"/>
        <item m="1" x="1369"/>
        <item x="731"/>
        <item x="732"/>
        <item x="733"/>
        <item m="1" x="1378"/>
        <item x="734"/>
        <item x="735"/>
        <item x="736"/>
        <item x="737"/>
        <item x="738"/>
        <item x="739"/>
        <item x="740"/>
        <item x="741"/>
        <item x="742"/>
        <item x="765"/>
        <item x="743"/>
        <item x="744"/>
        <item x="745"/>
        <item x="746"/>
        <item x="753"/>
        <item x="747"/>
        <item m="1" x="1309"/>
        <item x="748"/>
        <item x="749"/>
        <item x="750"/>
        <item x="751"/>
        <item x="767"/>
        <item x="752"/>
        <item x="754"/>
        <item x="755"/>
        <item x="756"/>
        <item x="757"/>
        <item m="1" x="1343"/>
        <item x="759"/>
        <item m="1" x="1360"/>
        <item x="760"/>
        <item m="1" x="1344"/>
        <item x="761"/>
        <item x="762"/>
        <item m="1" x="1370"/>
        <item x="763"/>
        <item m="1" x="1368"/>
        <item x="764"/>
        <item x="766"/>
        <item x="768"/>
        <item m="1" x="1365"/>
        <item x="769"/>
        <item x="770"/>
        <item x="771"/>
        <item x="772"/>
        <item x="773"/>
        <item x="774"/>
        <item x="775"/>
        <item x="776"/>
        <item x="777"/>
        <item x="778"/>
        <item x="779"/>
        <item x="780"/>
        <item x="781"/>
        <item x="782"/>
        <item x="783"/>
        <item x="784"/>
        <item x="785"/>
        <item x="786"/>
        <item x="787"/>
        <item x="788"/>
        <item x="789"/>
        <item x="790"/>
        <item x="791"/>
        <item m="1" x="1345"/>
        <item x="792"/>
        <item m="1" x="1346"/>
        <item x="793"/>
        <item x="799"/>
        <item x="794"/>
        <item x="795"/>
        <item x="796"/>
        <item x="797"/>
        <item x="798"/>
        <item x="800"/>
        <item x="802"/>
        <item x="801"/>
        <item m="1" x="1347"/>
        <item x="803"/>
        <item x="804"/>
        <item x="805"/>
        <item x="809"/>
        <item x="811"/>
        <item x="810"/>
        <item m="1" x="1374"/>
        <item x="813"/>
        <item x="808"/>
        <item m="1" x="1372"/>
        <item x="820"/>
        <item m="1" x="1397"/>
        <item x="812"/>
        <item x="814"/>
        <item x="816"/>
        <item x="817"/>
        <item x="806"/>
        <item x="815"/>
        <item x="818"/>
        <item m="1" x="1314"/>
        <item x="822"/>
        <item x="823"/>
        <item m="1" x="1361"/>
        <item x="825"/>
        <item x="830"/>
        <item x="828"/>
        <item x="824"/>
        <item x="829"/>
        <item x="834"/>
        <item x="832"/>
        <item x="833"/>
        <item x="831"/>
        <item x="708"/>
        <item x="838"/>
        <item x="839"/>
        <item x="836"/>
        <item x="841"/>
        <item x="842"/>
        <item x="843"/>
        <item m="1" x="1395"/>
        <item x="835"/>
        <item m="1" x="1383"/>
        <item m="1" x="1315"/>
        <item x="821"/>
        <item x="837"/>
        <item x="840"/>
        <item x="847"/>
        <item x="846"/>
        <item x="848"/>
        <item x="845"/>
        <item m="1" x="1362"/>
        <item x="850"/>
        <item x="849"/>
        <item x="844"/>
        <item m="1" x="1399"/>
        <item x="851"/>
        <item x="853"/>
        <item x="854"/>
        <item x="855"/>
        <item x="857"/>
        <item x="858"/>
        <item x="852"/>
        <item x="859"/>
        <item x="860"/>
        <item x="807"/>
        <item x="819"/>
        <item x="856"/>
        <item x="827"/>
        <item x="861"/>
        <item x="863"/>
        <item x="862"/>
        <item x="864"/>
        <item x="865"/>
        <item x="866"/>
        <item x="869"/>
        <item x="867"/>
        <item x="868"/>
        <item x="871"/>
        <item x="872"/>
        <item x="873"/>
        <item x="875"/>
        <item m="1" x="1363"/>
        <item x="874"/>
        <item x="878"/>
        <item x="880"/>
        <item x="879"/>
        <item x="877"/>
        <item x="881"/>
        <item x="882"/>
        <item x="884"/>
        <item m="1" x="1364"/>
        <item x="876"/>
        <item x="883"/>
        <item x="885"/>
        <item x="887"/>
        <item x="888"/>
        <item x="886"/>
        <item x="826"/>
        <item x="889"/>
        <item x="890"/>
        <item x="891"/>
        <item x="892"/>
        <item m="1" x="1310"/>
        <item x="893"/>
        <item x="894"/>
        <item x="895"/>
        <item x="899"/>
        <item x="897"/>
        <item x="901"/>
        <item x="896"/>
        <item x="898"/>
        <item x="903"/>
        <item x="904"/>
        <item x="905"/>
        <item x="906"/>
        <item x="902"/>
        <item x="900"/>
        <item x="907"/>
        <item x="870"/>
        <item m="1" x="1348"/>
        <item x="909"/>
        <item x="908"/>
        <item x="910"/>
        <item m="1" x="134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8"/>
        <item x="1154"/>
        <item x="1152"/>
        <item x="1157"/>
        <item x="1156"/>
        <item x="1160"/>
        <item m="1" x="125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6"/>
        <item m="1" x="1253"/>
        <item m="1" x="1257"/>
        <item m="1" x="1249"/>
        <item m="1" x="1250"/>
        <item x="1209"/>
        <item x="1212"/>
        <item x="1204"/>
        <item x="1208"/>
        <item x="1210"/>
        <item x="1207"/>
        <item x="1203"/>
        <item x="1205"/>
        <item x="1213"/>
        <item x="1214"/>
        <item x="1206"/>
        <item x="1211"/>
        <item m="1" x="1251"/>
        <item x="1216"/>
        <item x="1220"/>
        <item x="1221"/>
        <item x="1223"/>
        <item m="1" x="1252"/>
        <item x="1218"/>
        <item x="1219"/>
        <item x="1222"/>
        <item x="1217"/>
        <item x="1226"/>
        <item x="1225"/>
        <item x="1228"/>
        <item x="1224"/>
        <item x="1227"/>
        <item x="1215"/>
        <item x="1230"/>
        <item x="1229"/>
        <item x="1231"/>
        <item x="1232"/>
        <item x="1234"/>
        <item x="1235"/>
        <item x="1236"/>
        <item x="1239"/>
        <item x="1240"/>
        <item x="1241"/>
        <item x="1242"/>
        <item x="1243"/>
        <item x="1238"/>
        <item x="1233"/>
        <item x="1237"/>
        <item x="1244"/>
        <item x="1245"/>
        <item x="1246"/>
        <item x="1247"/>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4"/>
        <item x="135"/>
        <item x="136"/>
        <item x="133"/>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9"/>
    </i>
    <i>
      <x v="66"/>
    </i>
    <i>
      <x v="22"/>
    </i>
    <i>
      <x v="4"/>
    </i>
    <i>
      <x v="78"/>
    </i>
    <i>
      <x v="45"/>
    </i>
    <i>
      <x v="7"/>
    </i>
    <i>
      <x v="13"/>
    </i>
    <i>
      <x v="77"/>
    </i>
    <i>
      <x v="14"/>
    </i>
    <i>
      <x v="20"/>
    </i>
    <i>
      <x v="11"/>
    </i>
    <i>
      <x v="10"/>
    </i>
    <i>
      <x v="59"/>
    </i>
    <i>
      <x v="53"/>
    </i>
    <i>
      <x v="64"/>
    </i>
    <i>
      <x v="12"/>
    </i>
    <i>
      <x v="54"/>
    </i>
    <i>
      <x v="19"/>
    </i>
    <i>
      <x v="63"/>
    </i>
    <i>
      <x v="5"/>
    </i>
    <i>
      <x v="65"/>
    </i>
    <i>
      <x v="18"/>
    </i>
    <i>
      <x v="71"/>
    </i>
    <i>
      <x v="74"/>
    </i>
    <i>
      <x v="75"/>
    </i>
    <i>
      <x v="6"/>
    </i>
    <i>
      <x v="8"/>
    </i>
    <i>
      <x v="23"/>
    </i>
    <i>
      <x v="44"/>
    </i>
    <i>
      <x v="52"/>
    </i>
    <i>
      <x v="60"/>
    </i>
    <i>
      <x v="30"/>
    </i>
    <i>
      <x v="73"/>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461">
      <pivotArea collapsedLevelsAreSubtotals="1" fieldPosition="0">
        <references count="1">
          <reference field="2" count="1">
            <x v="9"/>
          </reference>
        </references>
      </pivotArea>
    </format>
    <format dxfId="1460">
      <pivotArea collapsedLevelsAreSubtotals="1" fieldPosition="0">
        <references count="1">
          <reference field="2" count="1">
            <x v="4"/>
          </reference>
        </references>
      </pivotArea>
    </format>
    <format dxfId="1459">
      <pivotArea grandRow="1" outline="0" collapsedLevelsAreSubtotals="1" fieldPosition="0"/>
    </format>
    <format dxfId="1458">
      <pivotArea dataOnly="0" labelOnly="1" grandRow="1" outline="0" fieldPosition="0"/>
    </format>
    <format dxfId="1457">
      <pivotArea grandRow="1" outline="0" collapsedLevelsAreSubtotals="1" fieldPosition="0"/>
    </format>
    <format dxfId="1456">
      <pivotArea dataOnly="0" labelOnly="1" grandRow="1" outline="0" fieldPosition="0"/>
    </format>
    <format dxfId="1455">
      <pivotArea grandRow="1" outline="0" collapsedLevelsAreSubtotals="1" fieldPosition="0"/>
    </format>
    <format dxfId="1454">
      <pivotArea dataOnly="0" labelOnly="1" grandRow="1" outline="0" fieldPosition="0"/>
    </format>
    <format dxfId="1453">
      <pivotArea outline="0" collapsedLevelsAreSubtotals="1" fieldPosition="0">
        <references count="1">
          <reference field="4294967294" count="1" selected="0">
            <x v="0"/>
          </reference>
        </references>
      </pivotArea>
    </format>
    <format dxfId="1452">
      <pivotArea dataOnly="0" labelOnly="1" outline="0" fieldPosition="0">
        <references count="1">
          <reference field="0" count="0"/>
        </references>
      </pivotArea>
    </format>
    <format dxfId="1451">
      <pivotArea dataOnly="0" labelOnly="1" outline="0" fieldPosition="0">
        <references count="1">
          <reference field="4294967294" count="1">
            <x v="0"/>
          </reference>
        </references>
      </pivotArea>
    </format>
    <format dxfId="1450">
      <pivotArea outline="0" collapsedLevelsAreSubtotals="1" fieldPosition="0">
        <references count="1">
          <reference field="4294967294" count="1" selected="0">
            <x v="1"/>
          </reference>
        </references>
      </pivotArea>
    </format>
    <format dxfId="1449">
      <pivotArea dataOnly="0" labelOnly="1" outline="0" fieldPosition="0">
        <references count="1">
          <reference field="4294967294" count="1">
            <x v="1"/>
          </reference>
        </references>
      </pivotArea>
    </format>
    <format dxfId="1448">
      <pivotArea outline="0" collapsedLevelsAreSubtotals="1" fieldPosition="0">
        <references count="1">
          <reference field="4294967294" count="1" selected="0">
            <x v="2"/>
          </reference>
        </references>
      </pivotArea>
    </format>
    <format dxfId="1447">
      <pivotArea dataOnly="0" labelOnly="1" outline="0" fieldPosition="0">
        <references count="1">
          <reference field="4294967294" count="1">
            <x v="2"/>
          </reference>
        </references>
      </pivotArea>
    </format>
    <format dxfId="1446">
      <pivotArea grandRow="1" outline="0" collapsedLevelsAreSubtotals="1" fieldPosition="0"/>
    </format>
    <format dxfId="1445">
      <pivotArea dataOnly="0" labelOnly="1" grandRow="1" outline="0" fieldPosition="0"/>
    </format>
    <format dxfId="1444">
      <pivotArea type="all" dataOnly="0" outline="0" fieldPosition="0"/>
    </format>
    <format dxfId="1443">
      <pivotArea grandRow="1" outline="0" collapsedLevelsAreSubtotals="1" fieldPosition="0"/>
    </format>
    <format dxfId="1442">
      <pivotArea dataOnly="0" labelOnly="1" grandRow="1" outline="0" fieldPosition="0"/>
    </format>
    <format dxfId="1441">
      <pivotArea collapsedLevelsAreSubtotals="1" fieldPosition="0">
        <references count="2">
          <reference field="4294967294" count="1" selected="0">
            <x v="2"/>
          </reference>
          <reference field="1" count="1">
            <x v="22"/>
          </reference>
        </references>
      </pivotArea>
    </format>
    <format dxfId="1440">
      <pivotArea collapsedLevelsAreSubtotals="1" fieldPosition="0">
        <references count="3">
          <reference field="4294967294" count="1" selected="0">
            <x v="2"/>
          </reference>
          <reference field="1" count="1">
            <x v="22"/>
          </reference>
          <reference field="2" count="1" selected="0">
            <x v="7"/>
          </reference>
        </references>
      </pivotArea>
    </format>
    <format dxfId="1439">
      <pivotArea dataOnly="0" labelOnly="1" outline="0" fieldPosition="0">
        <references count="1">
          <reference field="4294967294" count="3">
            <x v="0"/>
            <x v="1"/>
            <x v="2"/>
          </reference>
        </references>
      </pivotArea>
    </format>
    <format dxfId="1438">
      <pivotArea dataOnly="0" labelOnly="1" outline="0" fieldPosition="0">
        <references count="1">
          <reference field="4294967294" count="1">
            <x v="0"/>
          </reference>
        </references>
      </pivotArea>
    </format>
    <format dxfId="1437">
      <pivotArea dataOnly="0" labelOnly="1" outline="0" fieldPosition="0">
        <references count="1">
          <reference field="4294967294" count="1">
            <x v="1"/>
          </reference>
        </references>
      </pivotArea>
    </format>
    <format dxfId="1436">
      <pivotArea dataOnly="0" labelOnly="1" outline="0" fieldPosition="0">
        <references count="1">
          <reference field="4294967294" count="1">
            <x v="1"/>
          </reference>
        </references>
      </pivotArea>
    </format>
    <format dxfId="1435">
      <pivotArea dataOnly="0" labelOnly="1" outline="0" fieldPosition="0">
        <references count="1">
          <reference field="4294967294" count="1">
            <x v="2"/>
          </reference>
        </references>
      </pivotArea>
    </format>
    <format dxfId="1434">
      <pivotArea dataOnly="0" labelOnly="1" fieldPosition="0">
        <references count="1">
          <reference field="2" count="0"/>
        </references>
      </pivotArea>
    </format>
    <format dxfId="1433">
      <pivotArea collapsedLevelsAreSubtotals="1" fieldPosition="0">
        <references count="2">
          <reference field="4294967294" count="1" selected="0">
            <x v="2"/>
          </reference>
          <reference field="2" count="1">
            <x v="4"/>
          </reference>
        </references>
      </pivotArea>
    </format>
    <format dxfId="1432">
      <pivotArea collapsedLevelsAreSubtotals="1" fieldPosition="0">
        <references count="2">
          <reference field="4294967294" count="1" selected="0">
            <x v="2"/>
          </reference>
          <reference field="2" count="1">
            <x v="9"/>
          </reference>
        </references>
      </pivotArea>
    </format>
    <format dxfId="1431">
      <pivotArea collapsedLevelsAreSubtotals="1" fieldPosition="0">
        <references count="2">
          <reference field="4294967294" count="1" selected="0">
            <x v="2"/>
          </reference>
          <reference field="2" count="1">
            <x v="14"/>
          </reference>
        </references>
      </pivotArea>
    </format>
    <format dxfId="1430">
      <pivotArea collapsedLevelsAreSubtotals="1" fieldPosition="0">
        <references count="3">
          <reference field="4294967294" count="1" selected="0">
            <x v="2"/>
          </reference>
          <reference field="1" count="3">
            <x v="3"/>
            <x v="37"/>
            <x v="41"/>
          </reference>
          <reference field="2" count="1" selected="0">
            <x v="14"/>
          </reference>
        </references>
      </pivotArea>
    </format>
    <format dxfId="1429">
      <pivotArea collapsedLevelsAreSubtotals="1" fieldPosition="0">
        <references count="3">
          <reference field="4294967294" count="1" selected="0">
            <x v="2"/>
          </reference>
          <reference field="1" count="1">
            <x v="6"/>
          </reference>
          <reference field="2" count="1" selected="0">
            <x v="14"/>
          </reference>
        </references>
      </pivotArea>
    </format>
    <format dxfId="1428">
      <pivotArea collapsedLevelsAreSubtotals="1" fieldPosition="0">
        <references count="3">
          <reference field="4294967294" count="1" selected="0">
            <x v="2"/>
          </reference>
          <reference field="1" count="1">
            <x v="27"/>
          </reference>
          <reference field="2" count="1" selected="0">
            <x v="14"/>
          </reference>
        </references>
      </pivotArea>
    </format>
    <format dxfId="1427">
      <pivotArea collapsedLevelsAreSubtotals="1" fieldPosition="0">
        <references count="1">
          <reference field="2" count="1">
            <x v="0"/>
          </reference>
        </references>
      </pivotArea>
    </format>
    <format dxfId="1426">
      <pivotArea collapsedLevelsAreSubtotals="1" fieldPosition="0">
        <references count="1">
          <reference field="2" count="1">
            <x v="14"/>
          </reference>
        </references>
      </pivotArea>
    </format>
    <format dxfId="1425">
      <pivotArea collapsedLevelsAreSubtotals="1" fieldPosition="0">
        <references count="1">
          <reference field="2" count="1">
            <x v="9"/>
          </reference>
        </references>
      </pivotArea>
    </format>
    <format dxfId="1424">
      <pivotArea collapsedLevelsAreSubtotals="1" fieldPosition="0">
        <references count="1">
          <reference field="2" count="1">
            <x v="5"/>
          </reference>
        </references>
      </pivotArea>
    </format>
    <format dxfId="1423">
      <pivotArea collapsedLevelsAreSubtotals="1" fieldPosition="0">
        <references count="1">
          <reference field="2" count="1">
            <x v="17"/>
          </reference>
        </references>
      </pivotArea>
    </format>
    <format dxfId="1422">
      <pivotArea collapsedLevelsAreSubtotals="1" fieldPosition="0">
        <references count="1">
          <reference field="2" count="1">
            <x v="2"/>
          </reference>
        </references>
      </pivotArea>
    </format>
    <format dxfId="1421">
      <pivotArea collapsedLevelsAreSubtotals="1" fieldPosition="0">
        <references count="1">
          <reference field="2" count="1">
            <x v="10"/>
          </reference>
        </references>
      </pivotArea>
    </format>
    <format dxfId="1420">
      <pivotArea collapsedLevelsAreSubtotals="1" fieldPosition="0">
        <references count="1">
          <reference field="2" count="1">
            <x v="1"/>
          </reference>
        </references>
      </pivotArea>
    </format>
    <format dxfId="1419">
      <pivotArea collapsedLevelsAreSubtotals="1" fieldPosition="0">
        <references count="1">
          <reference field="2" count="1">
            <x v="13"/>
          </reference>
        </references>
      </pivotArea>
    </format>
    <format dxfId="1418">
      <pivotArea collapsedLevelsAreSubtotals="1" fieldPosition="0">
        <references count="1">
          <reference field="2" count="1">
            <x v="4"/>
          </reference>
        </references>
      </pivotArea>
    </format>
    <format dxfId="1417">
      <pivotArea collapsedLevelsAreSubtotals="1" fieldPosition="0">
        <references count="1">
          <reference field="2" count="1">
            <x v="8"/>
          </reference>
        </references>
      </pivotArea>
    </format>
    <format dxfId="1416">
      <pivotArea collapsedLevelsAreSubtotals="1" fieldPosition="0">
        <references count="1">
          <reference field="2" count="1">
            <x v="3"/>
          </reference>
        </references>
      </pivotArea>
    </format>
    <format dxfId="1415">
      <pivotArea collapsedLevelsAreSubtotals="1" fieldPosition="0">
        <references count="1">
          <reference field="2" count="1">
            <x v="12"/>
          </reference>
        </references>
      </pivotArea>
    </format>
    <format dxfId="1414">
      <pivotArea collapsedLevelsAreSubtotals="1" fieldPosition="0">
        <references count="1">
          <reference field="2" count="1">
            <x v="6"/>
          </reference>
        </references>
      </pivotArea>
    </format>
    <format dxfId="1413">
      <pivotArea collapsedLevelsAreSubtotals="1" fieldPosition="0">
        <references count="1">
          <reference field="2" count="1">
            <x v="11"/>
          </reference>
        </references>
      </pivotArea>
    </format>
    <format dxfId="1412">
      <pivotArea collapsedLevelsAreSubtotals="1" fieldPosition="0">
        <references count="1">
          <reference field="2" count="1">
            <x v="20"/>
          </reference>
        </references>
      </pivotArea>
    </format>
    <format dxfId="1411">
      <pivotArea collapsedLevelsAreSubtotals="1" fieldPosition="0">
        <references count="2">
          <reference field="1" count="1">
            <x v="6"/>
          </reference>
          <reference field="2" count="1" selected="0">
            <x v="20"/>
          </reference>
        </references>
      </pivotArea>
    </format>
    <format dxfId="1410">
      <pivotArea collapsedLevelsAreSubtotals="1" fieldPosition="0">
        <references count="1">
          <reference field="2" count="1">
            <x v="7"/>
          </reference>
        </references>
      </pivotArea>
    </format>
    <format dxfId="1409">
      <pivotArea collapsedLevelsAreSubtotals="1" fieldPosition="0">
        <references count="1">
          <reference field="2" count="1">
            <x v="16"/>
          </reference>
        </references>
      </pivotArea>
    </format>
    <format dxfId="1408">
      <pivotArea collapsedLevelsAreSubtotals="1" fieldPosition="0">
        <references count="1">
          <reference field="2" count="1">
            <x v="19"/>
          </reference>
        </references>
      </pivotArea>
    </format>
    <format dxfId="1407">
      <pivotArea collapsedLevelsAreSubtotals="1" fieldPosition="0">
        <references count="1">
          <reference field="2" count="1">
            <x v="18"/>
          </reference>
        </references>
      </pivotArea>
    </format>
    <format dxfId="1406">
      <pivotArea collapsedLevelsAreSubtotals="1" fieldPosition="0">
        <references count="1">
          <reference field="2" count="1">
            <x v="15"/>
          </reference>
        </references>
      </pivotArea>
    </format>
    <format dxfId="1405">
      <pivotArea collapsedLevelsAreSubtotals="1" fieldPosition="0">
        <references count="1">
          <reference field="2" count="1">
            <x v="21"/>
          </reference>
        </references>
      </pivotArea>
    </format>
    <format dxfId="1404">
      <pivotArea collapsedLevelsAreSubtotals="1" fieldPosition="0">
        <references count="1">
          <reference field="2" count="1">
            <x v="22"/>
          </reference>
        </references>
      </pivotArea>
    </format>
    <format dxfId="1403">
      <pivotArea collapsedLevelsAreSubtotals="1" fieldPosition="0">
        <references count="1">
          <reference field="2" count="1">
            <x v="23"/>
          </reference>
        </references>
      </pivotArea>
    </format>
    <format dxfId="1402">
      <pivotArea collapsedLevelsAreSubtotals="1" fieldPosition="0">
        <references count="2">
          <reference field="4294967294" count="1" selected="0">
            <x v="2"/>
          </reference>
          <reference field="2" count="1">
            <x v="24"/>
          </reference>
        </references>
      </pivotArea>
    </format>
    <format dxfId="1401">
      <pivotArea collapsedLevelsAreSubtotals="1" fieldPosition="0">
        <references count="2">
          <reference field="4294967294" count="1" selected="0">
            <x v="2"/>
          </reference>
          <reference field="2" count="1">
            <x v="25"/>
          </reference>
        </references>
      </pivotArea>
    </format>
    <format dxfId="1400">
      <pivotArea collapsedLevelsAreSubtotals="1" fieldPosition="0">
        <references count="2">
          <reference field="4294967294" count="1" selected="0">
            <x v="2"/>
          </reference>
          <reference field="2" count="1">
            <x v="26"/>
          </reference>
        </references>
      </pivotArea>
    </format>
    <format dxfId="1399">
      <pivotArea collapsedLevelsAreSubtotals="1" fieldPosition="0">
        <references count="2">
          <reference field="4294967294" count="1" selected="0">
            <x v="2"/>
          </reference>
          <reference field="2" count="1">
            <x v="27"/>
          </reference>
        </references>
      </pivotArea>
    </format>
    <format dxfId="1398">
      <pivotArea collapsedLevelsAreSubtotals="1" fieldPosition="0">
        <references count="2">
          <reference field="4294967294" count="1" selected="0">
            <x v="2"/>
          </reference>
          <reference field="2" count="1">
            <x v="27"/>
          </reference>
        </references>
      </pivotArea>
    </format>
    <format dxfId="1397">
      <pivotArea collapsedLevelsAreSubtotals="1" fieldPosition="0">
        <references count="2">
          <reference field="4294967294" count="1" selected="0">
            <x v="2"/>
          </reference>
          <reference field="2" count="1">
            <x v="28"/>
          </reference>
        </references>
      </pivotArea>
    </format>
    <format dxfId="1396">
      <pivotArea collapsedLevelsAreSubtotals="1" fieldPosition="0">
        <references count="2">
          <reference field="4294967294" count="1" selected="0">
            <x v="2"/>
          </reference>
          <reference field="2" count="1">
            <x v="28"/>
          </reference>
        </references>
      </pivotArea>
    </format>
    <format dxfId="1395">
      <pivotArea collapsedLevelsAreSubtotals="1" fieldPosition="0">
        <references count="2">
          <reference field="4294967294" count="1" selected="0">
            <x v="2"/>
          </reference>
          <reference field="2" count="1">
            <x v="29"/>
          </reference>
        </references>
      </pivotArea>
    </format>
    <format dxfId="1394">
      <pivotArea collapsedLevelsAreSubtotals="1" fieldPosition="0">
        <references count="2">
          <reference field="4294967294" count="1" selected="0">
            <x v="2"/>
          </reference>
          <reference field="2" count="1">
            <x v="29"/>
          </reference>
        </references>
      </pivotArea>
    </format>
    <format dxfId="1393">
      <pivotArea collapsedLevelsAreSubtotals="1" fieldPosition="0">
        <references count="2">
          <reference field="4294967294" count="1" selected="0">
            <x v="2"/>
          </reference>
          <reference field="2" count="1">
            <x v="30"/>
          </reference>
        </references>
      </pivotArea>
    </format>
    <format dxfId="1392">
      <pivotArea collapsedLevelsAreSubtotals="1" fieldPosition="0">
        <references count="2">
          <reference field="4294967294" count="1" selected="0">
            <x v="2"/>
          </reference>
          <reference field="2" count="1">
            <x v="31"/>
          </reference>
        </references>
      </pivotArea>
    </format>
    <format dxfId="1391">
      <pivotArea collapsedLevelsAreSubtotals="1" fieldPosition="0">
        <references count="2">
          <reference field="4294967294" count="1" selected="0">
            <x v="2"/>
          </reference>
          <reference field="2" count="1">
            <x v="31"/>
          </reference>
        </references>
      </pivotArea>
    </format>
    <format dxfId="1390">
      <pivotArea collapsedLevelsAreSubtotals="1" fieldPosition="0">
        <references count="2">
          <reference field="4294967294" count="1" selected="0">
            <x v="2"/>
          </reference>
          <reference field="2" count="1">
            <x v="32"/>
          </reference>
        </references>
      </pivotArea>
    </format>
    <format dxfId="1389">
      <pivotArea collapsedLevelsAreSubtotals="1" fieldPosition="0">
        <references count="2">
          <reference field="4294967294" count="1" selected="0">
            <x v="2"/>
          </reference>
          <reference field="2" count="1">
            <x v="32"/>
          </reference>
        </references>
      </pivotArea>
    </format>
    <format dxfId="1388">
      <pivotArea collapsedLevelsAreSubtotals="1" fieldPosition="0">
        <references count="2">
          <reference field="4294967294" count="1" selected="0">
            <x v="2"/>
          </reference>
          <reference field="2" count="1">
            <x v="33"/>
          </reference>
        </references>
      </pivotArea>
    </format>
    <format dxfId="1387">
      <pivotArea collapsedLevelsAreSubtotals="1" fieldPosition="0">
        <references count="2">
          <reference field="4294967294" count="1" selected="0">
            <x v="2"/>
          </reference>
          <reference field="2" count="1">
            <x v="33"/>
          </reference>
        </references>
      </pivotArea>
    </format>
    <format dxfId="1386">
      <pivotArea collapsedLevelsAreSubtotals="1" fieldPosition="0">
        <references count="2">
          <reference field="4294967294" count="1" selected="0">
            <x v="2"/>
          </reference>
          <reference field="2" count="1">
            <x v="34"/>
          </reference>
        </references>
      </pivotArea>
    </format>
    <format dxfId="1385">
      <pivotArea collapsedLevelsAreSubtotals="1" fieldPosition="0">
        <references count="2">
          <reference field="4294967294" count="1" selected="0">
            <x v="2"/>
          </reference>
          <reference field="2" count="1">
            <x v="35"/>
          </reference>
        </references>
      </pivotArea>
    </format>
    <format dxfId="1384">
      <pivotArea collapsedLevelsAreSubtotals="1" fieldPosition="0">
        <references count="2">
          <reference field="4294967294" count="1" selected="0">
            <x v="2"/>
          </reference>
          <reference field="2" count="1">
            <x v="36"/>
          </reference>
        </references>
      </pivotArea>
    </format>
    <format dxfId="1383">
      <pivotArea collapsedLevelsAreSubtotals="1" fieldPosition="0">
        <references count="2">
          <reference field="4294967294" count="1" selected="0">
            <x v="2"/>
          </reference>
          <reference field="2" count="1">
            <x v="36"/>
          </reference>
        </references>
      </pivotArea>
    </format>
    <format dxfId="1382">
      <pivotArea collapsedLevelsAreSubtotals="1" fieldPosition="0">
        <references count="2">
          <reference field="4294967294" count="1" selected="0">
            <x v="2"/>
          </reference>
          <reference field="2" count="1">
            <x v="38"/>
          </reference>
        </references>
      </pivotArea>
    </format>
    <format dxfId="1381">
      <pivotArea collapsedLevelsAreSubtotals="1" fieldPosition="0">
        <references count="2">
          <reference field="4294967294" count="1" selected="0">
            <x v="2"/>
          </reference>
          <reference field="2" count="1">
            <x v="38"/>
          </reference>
        </references>
      </pivotArea>
    </format>
    <format dxfId="1380">
      <pivotArea collapsedLevelsAreSubtotals="1" fieldPosition="0">
        <references count="2">
          <reference field="4294967294" count="1" selected="0">
            <x v="2"/>
          </reference>
          <reference field="2" count="1">
            <x v="39"/>
          </reference>
        </references>
      </pivotArea>
    </format>
    <format dxfId="1379">
      <pivotArea collapsedLevelsAreSubtotals="1" fieldPosition="0">
        <references count="2">
          <reference field="4294967294" count="1" selected="0">
            <x v="2"/>
          </reference>
          <reference field="2" count="1">
            <x v="39"/>
          </reference>
        </references>
      </pivotArea>
    </format>
    <format dxfId="1378">
      <pivotArea collapsedLevelsAreSubtotals="1" fieldPosition="0">
        <references count="2">
          <reference field="4294967294" count="1" selected="0">
            <x v="2"/>
          </reference>
          <reference field="2" count="1">
            <x v="40"/>
          </reference>
        </references>
      </pivotArea>
    </format>
    <format dxfId="1377">
      <pivotArea collapsedLevelsAreSubtotals="1" fieldPosition="0">
        <references count="2">
          <reference field="4294967294" count="1" selected="0">
            <x v="2"/>
          </reference>
          <reference field="2" count="1">
            <x v="42"/>
          </reference>
        </references>
      </pivotArea>
    </format>
    <format dxfId="1376">
      <pivotArea collapsedLevelsAreSubtotals="1" fieldPosition="0">
        <references count="2">
          <reference field="4294967294" count="1" selected="0">
            <x v="2"/>
          </reference>
          <reference field="2" count="1">
            <x v="41"/>
          </reference>
        </references>
      </pivotArea>
    </format>
    <format dxfId="1375">
      <pivotArea collapsedLevelsAreSubtotals="1" fieldPosition="0">
        <references count="2">
          <reference field="4294967294" count="1" selected="0">
            <x v="2"/>
          </reference>
          <reference field="2" count="1">
            <x v="44"/>
          </reference>
        </references>
      </pivotArea>
    </format>
    <format dxfId="1374">
      <pivotArea collapsedLevelsAreSubtotals="1" fieldPosition="0">
        <references count="2">
          <reference field="4294967294" count="1" selected="0">
            <x v="2"/>
          </reference>
          <reference field="2" count="1">
            <x v="45"/>
          </reference>
        </references>
      </pivotArea>
    </format>
    <format dxfId="1373">
      <pivotArea collapsedLevelsAreSubtotals="1" fieldPosition="0">
        <references count="2">
          <reference field="4294967294" count="1" selected="0">
            <x v="2"/>
          </reference>
          <reference field="2" count="1">
            <x v="46"/>
          </reference>
        </references>
      </pivotArea>
    </format>
    <format dxfId="1372">
      <pivotArea collapsedLevelsAreSubtotals="1" fieldPosition="0">
        <references count="2">
          <reference field="4294967294" count="1" selected="0">
            <x v="2"/>
          </reference>
          <reference field="2" count="1">
            <x v="47"/>
          </reference>
        </references>
      </pivotArea>
    </format>
    <format dxfId="1371">
      <pivotArea collapsedLevelsAreSubtotals="1" fieldPosition="0">
        <references count="2">
          <reference field="4294967294" count="1" selected="0">
            <x v="2"/>
          </reference>
          <reference field="2" count="1">
            <x v="48"/>
          </reference>
        </references>
      </pivotArea>
    </format>
    <format dxfId="1370">
      <pivotArea collapsedLevelsAreSubtotals="1" fieldPosition="0">
        <references count="2">
          <reference field="4294967294" count="1" selected="0">
            <x v="2"/>
          </reference>
          <reference field="2" count="1">
            <x v="49"/>
          </reference>
        </references>
      </pivotArea>
    </format>
    <format dxfId="1369">
      <pivotArea collapsedLevelsAreSubtotals="1" fieldPosition="0">
        <references count="2">
          <reference field="4294967294" count="1" selected="0">
            <x v="2"/>
          </reference>
          <reference field="2" count="1">
            <x v="49"/>
          </reference>
        </references>
      </pivotArea>
    </format>
    <format dxfId="1368">
      <pivotArea collapsedLevelsAreSubtotals="1" fieldPosition="0">
        <references count="2">
          <reference field="4294967294" count="1" selected="0">
            <x v="2"/>
          </reference>
          <reference field="2" count="1">
            <x v="50"/>
          </reference>
        </references>
      </pivotArea>
    </format>
    <format dxfId="1367">
      <pivotArea collapsedLevelsAreSubtotals="1" fieldPosition="0">
        <references count="3">
          <reference field="4294967294" count="1" selected="0">
            <x v="2"/>
          </reference>
          <reference field="1" count="1" selected="0">
            <x v="95"/>
          </reference>
          <reference field="2" count="1">
            <x v="51"/>
          </reference>
        </references>
      </pivotArea>
    </format>
    <format dxfId="1366">
      <pivotArea collapsedLevelsAreSubtotals="1" fieldPosition="0">
        <references count="3">
          <reference field="4294967294" count="1" selected="0">
            <x v="2"/>
          </reference>
          <reference field="1" count="1" selected="0">
            <x v="95"/>
          </reference>
          <reference field="2" count="1">
            <x v="51"/>
          </reference>
        </references>
      </pivotArea>
    </format>
    <format dxfId="1365">
      <pivotArea collapsedLevelsAreSubtotals="1" fieldPosition="0">
        <references count="2">
          <reference field="4294967294" count="1" selected="0">
            <x v="2"/>
          </reference>
          <reference field="2" count="1">
            <x v="51"/>
          </reference>
        </references>
      </pivotArea>
    </format>
    <format dxfId="1364">
      <pivotArea collapsedLevelsAreSubtotals="1" fieldPosition="0">
        <references count="2">
          <reference field="4294967294" count="1" selected="0">
            <x v="2"/>
          </reference>
          <reference field="2" count="1">
            <x v="51"/>
          </reference>
        </references>
      </pivotArea>
    </format>
    <format dxfId="1363">
      <pivotArea collapsedLevelsAreSubtotals="1" fieldPosition="0">
        <references count="2">
          <reference field="4294967294" count="1" selected="0">
            <x v="2"/>
          </reference>
          <reference field="2" count="1">
            <x v="52"/>
          </reference>
        </references>
      </pivotArea>
    </format>
    <format dxfId="1362">
      <pivotArea collapsedLevelsAreSubtotals="1" fieldPosition="0">
        <references count="2">
          <reference field="4294967294" count="1" selected="0">
            <x v="2"/>
          </reference>
          <reference field="2" count="1">
            <x v="52"/>
          </reference>
        </references>
      </pivotArea>
    </format>
    <format dxfId="1361">
      <pivotArea collapsedLevelsAreSubtotals="1" fieldPosition="0">
        <references count="2">
          <reference field="4294967294" count="1" selected="0">
            <x v="2"/>
          </reference>
          <reference field="2" count="1">
            <x v="53"/>
          </reference>
        </references>
      </pivotArea>
    </format>
    <format dxfId="1360">
      <pivotArea collapsedLevelsAreSubtotals="1" fieldPosition="0">
        <references count="2">
          <reference field="4294967294" count="1" selected="0">
            <x v="2"/>
          </reference>
          <reference field="2" count="1">
            <x v="54"/>
          </reference>
        </references>
      </pivotArea>
    </format>
    <format dxfId="1359">
      <pivotArea collapsedLevelsAreSubtotals="1" fieldPosition="0">
        <references count="2">
          <reference field="4294967294" count="1" selected="0">
            <x v="2"/>
          </reference>
          <reference field="2" count="1">
            <x v="54"/>
          </reference>
        </references>
      </pivotArea>
    </format>
    <format dxfId="1358">
      <pivotArea collapsedLevelsAreSubtotals="1" fieldPosition="0">
        <references count="2">
          <reference field="4294967294" count="1" selected="0">
            <x v="2"/>
          </reference>
          <reference field="2" count="1">
            <x v="55"/>
          </reference>
        </references>
      </pivotArea>
    </format>
    <format dxfId="1357">
      <pivotArea collapsedLevelsAreSubtotals="1" fieldPosition="0">
        <references count="2">
          <reference field="4294967294" count="1" selected="0">
            <x v="2"/>
          </reference>
          <reference field="2" count="1">
            <x v="56"/>
          </reference>
        </references>
      </pivotArea>
    </format>
    <format dxfId="1356">
      <pivotArea type="all" dataOnly="0" outline="0" fieldPosition="0"/>
    </format>
    <format dxfId="1355">
      <pivotArea outline="0" collapsedLevelsAreSubtotals="1" fieldPosition="0"/>
    </format>
    <format dxfId="1354">
      <pivotArea dataOnly="0" labelOnly="1" fieldPosition="0">
        <references count="1">
          <reference field="2" count="0"/>
        </references>
      </pivotArea>
    </format>
    <format dxfId="1353">
      <pivotArea dataOnly="0" labelOnly="1" grandRow="1" outline="0" fieldPosition="0"/>
    </format>
    <format dxfId="1352">
      <pivotArea dataOnly="0" labelOnly="1" outline="0" fieldPosition="0">
        <references count="1">
          <reference field="4294967294" count="3">
            <x v="0"/>
            <x v="1"/>
            <x v="2"/>
          </reference>
        </references>
      </pivotArea>
    </format>
    <format dxfId="1351">
      <pivotArea collapsedLevelsAreSubtotals="1" fieldPosition="0">
        <references count="2">
          <reference field="4294967294" count="1" selected="0">
            <x v="2"/>
          </reference>
          <reference field="2" count="1">
            <x v="57"/>
          </reference>
        </references>
      </pivotArea>
    </format>
    <format dxfId="1350">
      <pivotArea collapsedLevelsAreSubtotals="1" fieldPosition="0">
        <references count="2">
          <reference field="4294967294" count="1" selected="0">
            <x v="2"/>
          </reference>
          <reference field="2" count="1">
            <x v="53"/>
          </reference>
        </references>
      </pivotArea>
    </format>
    <format dxfId="1349">
      <pivotArea collapsedLevelsAreSubtotals="1" fieldPosition="0">
        <references count="2">
          <reference field="4294967294" count="1" selected="0">
            <x v="2"/>
          </reference>
          <reference field="2" count="1">
            <x v="58"/>
          </reference>
        </references>
      </pivotArea>
    </format>
    <format dxfId="1348">
      <pivotArea collapsedLevelsAreSubtotals="1" fieldPosition="0">
        <references count="2">
          <reference field="4294967294" count="1" selected="0">
            <x v="2"/>
          </reference>
          <reference field="2" count="1">
            <x v="37"/>
          </reference>
        </references>
      </pivotArea>
    </format>
    <format dxfId="1347">
      <pivotArea collapsedLevelsAreSubtotals="1" fieldPosition="0">
        <references count="2">
          <reference field="4294967294" count="1" selected="0">
            <x v="2"/>
          </reference>
          <reference field="2" count="1">
            <x v="59"/>
          </reference>
        </references>
      </pivotArea>
    </format>
    <format dxfId="1346">
      <pivotArea collapsedLevelsAreSubtotals="1" fieldPosition="0">
        <references count="2">
          <reference field="4294967294" count="1" selected="0">
            <x v="2"/>
          </reference>
          <reference field="2" count="1">
            <x v="64"/>
          </reference>
        </references>
      </pivotArea>
    </format>
    <format dxfId="1345">
      <pivotArea collapsedLevelsAreSubtotals="1" fieldPosition="0">
        <references count="2">
          <reference field="4294967294" count="1" selected="0">
            <x v="2"/>
          </reference>
          <reference field="2" count="1">
            <x v="65"/>
          </reference>
        </references>
      </pivotArea>
    </format>
    <format dxfId="1344">
      <pivotArea collapsedLevelsAreSubtotals="1" fieldPosition="0">
        <references count="2">
          <reference field="4294967294" count="1" selected="0">
            <x v="2"/>
          </reference>
          <reference field="2" count="1">
            <x v="59"/>
          </reference>
        </references>
      </pivotArea>
    </format>
    <format dxfId="1343">
      <pivotArea collapsedLevelsAreSubtotals="1" fieldPosition="0">
        <references count="2">
          <reference field="4294967294" count="1" selected="0">
            <x v="2"/>
          </reference>
          <reference field="2" count="1">
            <x v="64"/>
          </reference>
        </references>
      </pivotArea>
    </format>
    <format dxfId="1342">
      <pivotArea collapsedLevelsAreSubtotals="1" fieldPosition="0">
        <references count="2">
          <reference field="4294967294" count="1" selected="0">
            <x v="2"/>
          </reference>
          <reference field="2" count="1">
            <x v="65"/>
          </reference>
        </references>
      </pivotArea>
    </format>
    <format dxfId="1341">
      <pivotArea collapsedLevelsAreSubtotals="1" fieldPosition="0">
        <references count="2">
          <reference field="4294967294" count="1" selected="0">
            <x v="2"/>
          </reference>
          <reference field="2" count="1">
            <x v="63"/>
          </reference>
        </references>
      </pivotArea>
    </format>
    <format dxfId="1340">
      <pivotArea collapsedLevelsAreSubtotals="1" fieldPosition="0">
        <references count="2">
          <reference field="4294967294" count="1" selected="0">
            <x v="2"/>
          </reference>
          <reference field="2" count="1">
            <x v="61"/>
          </reference>
        </references>
      </pivotArea>
    </format>
    <format dxfId="1339">
      <pivotArea collapsedLevelsAreSubtotals="1" fieldPosition="0">
        <references count="2">
          <reference field="4294967294" count="1" selected="0">
            <x v="2"/>
          </reference>
          <reference field="2" count="1">
            <x v="62"/>
          </reference>
        </references>
      </pivotArea>
    </format>
    <format dxfId="1338">
      <pivotArea collapsedLevelsAreSubtotals="1" fieldPosition="0">
        <references count="2">
          <reference field="4294967294" count="1" selected="0">
            <x v="2"/>
          </reference>
          <reference field="2" count="1">
            <x v="66"/>
          </reference>
        </references>
      </pivotArea>
    </format>
    <format dxfId="1337">
      <pivotArea collapsedLevelsAreSubtotals="1" fieldPosition="0">
        <references count="2">
          <reference field="4294967294" count="1" selected="0">
            <x v="2"/>
          </reference>
          <reference field="2" count="1">
            <x v="66"/>
          </reference>
        </references>
      </pivotArea>
    </format>
    <format dxfId="1336">
      <pivotArea collapsedLevelsAreSubtotals="1" fieldPosition="0">
        <references count="2">
          <reference field="4294967294" count="1" selected="0">
            <x v="2"/>
          </reference>
          <reference field="2" count="1">
            <x v="67"/>
          </reference>
        </references>
      </pivotArea>
    </format>
    <format dxfId="1335">
      <pivotArea collapsedLevelsAreSubtotals="1" fieldPosition="0">
        <references count="2">
          <reference field="4294967294" count="1" selected="0">
            <x v="2"/>
          </reference>
          <reference field="2" count="1">
            <x v="68"/>
          </reference>
        </references>
      </pivotArea>
    </format>
    <format dxfId="1334">
      <pivotArea collapsedLevelsAreSubtotals="1" fieldPosition="0">
        <references count="2">
          <reference field="4294967294" count="1" selected="0">
            <x v="2"/>
          </reference>
          <reference field="2" count="1">
            <x v="71"/>
          </reference>
        </references>
      </pivotArea>
    </format>
    <format dxfId="1333">
      <pivotArea collapsedLevelsAreSubtotals="1" fieldPosition="0">
        <references count="2">
          <reference field="4294967294" count="1" selected="0">
            <x v="2"/>
          </reference>
          <reference field="2" count="1">
            <x v="72"/>
          </reference>
        </references>
      </pivotArea>
    </format>
    <format dxfId="1332">
      <pivotArea collapsedLevelsAreSubtotals="1" fieldPosition="0">
        <references count="2">
          <reference field="4294967294" count="1" selected="0">
            <x v="2"/>
          </reference>
          <reference field="2" count="1">
            <x v="60"/>
          </reference>
        </references>
      </pivotArea>
    </format>
    <format dxfId="1331">
      <pivotArea collapsedLevelsAreSubtotals="1" fieldPosition="0">
        <references count="2">
          <reference field="4294967294" count="1" selected="0">
            <x v="2"/>
          </reference>
          <reference field="2" count="1">
            <x v="70"/>
          </reference>
        </references>
      </pivotArea>
    </format>
    <format dxfId="1330">
      <pivotArea collapsedLevelsAreSubtotals="1" fieldPosition="0">
        <references count="2">
          <reference field="4294967294" count="1" selected="0">
            <x v="2"/>
          </reference>
          <reference field="2" count="1">
            <x v="73"/>
          </reference>
        </references>
      </pivotArea>
    </format>
    <format dxfId="1329">
      <pivotArea collapsedLevelsAreSubtotals="1" fieldPosition="0">
        <references count="2">
          <reference field="4294967294" count="1" selected="0">
            <x v="2"/>
          </reference>
          <reference field="2" count="1">
            <x v="74"/>
          </reference>
        </references>
      </pivotArea>
    </format>
    <format dxfId="1328">
      <pivotArea collapsedLevelsAreSubtotals="1" fieldPosition="0">
        <references count="2">
          <reference field="4294967294" count="1" selected="0">
            <x v="2"/>
          </reference>
          <reference field="2" count="1">
            <x v="75"/>
          </reference>
        </references>
      </pivotArea>
    </format>
    <format dxfId="1327">
      <pivotArea collapsedLevelsAreSubtotals="1" fieldPosition="0">
        <references count="2">
          <reference field="4294967294" count="1" selected="0">
            <x v="2"/>
          </reference>
          <reference field="2" count="1">
            <x v="76"/>
          </reference>
        </references>
      </pivotArea>
    </format>
    <format dxfId="1326">
      <pivotArea collapsedLevelsAreSubtotals="1" fieldPosition="0">
        <references count="2">
          <reference field="4294967294" count="1" selected="0">
            <x v="2"/>
          </reference>
          <reference field="2" count="1">
            <x v="77"/>
          </reference>
        </references>
      </pivotArea>
    </format>
    <format dxfId="1325">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87">
        <item x="249"/>
        <item m="1" x="2384"/>
        <item m="1" x="2339"/>
        <item m="1" x="2338"/>
        <item m="1" x="2352"/>
        <item m="1" x="2342"/>
        <item m="1" x="2304"/>
        <item m="1" x="2323"/>
        <item m="1" x="2330"/>
        <item m="1" x="2350"/>
        <item m="1" x="2329"/>
        <item m="1" x="2358"/>
        <item m="1" x="2366"/>
        <item m="1" x="2327"/>
        <item m="1" x="2373"/>
        <item m="1" x="2320"/>
        <item m="1" x="2378"/>
        <item m="1" x="2333"/>
        <item m="1" x="2293"/>
        <item m="1" x="2382"/>
        <item m="1" x="2385"/>
        <item m="1" x="2300"/>
        <item m="1" x="2341"/>
        <item m="1" x="2295"/>
        <item m="1" x="2296"/>
        <item m="1" x="2298"/>
        <item m="1" x="2312"/>
        <item m="1" x="2313"/>
        <item m="1" x="2359"/>
        <item m="1" x="2347"/>
        <item m="1" x="2348"/>
        <item m="1" x="2353"/>
        <item m="1" x="2364"/>
        <item m="1" x="2343"/>
        <item m="1" x="2305"/>
        <item m="1" x="2310"/>
        <item m="1" x="2317"/>
        <item m="1" x="2367"/>
        <item x="0"/>
        <item m="1" x="2354"/>
        <item m="1" x="2360"/>
        <item m="1" x="2318"/>
        <item x="1"/>
        <item m="1" x="2361"/>
        <item m="1" x="2380"/>
        <item x="2"/>
        <item x="3"/>
        <item m="1" x="2324"/>
        <item m="1" x="2375"/>
        <item m="1" x="2321"/>
        <item m="1" x="2371"/>
        <item m="1" x="2379"/>
        <item m="1" x="2383"/>
        <item x="4"/>
        <item m="1" x="2294"/>
        <item x="5"/>
        <item x="6"/>
        <item m="1" x="233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6"/>
        <item x="157"/>
        <item x="158"/>
        <item x="159"/>
        <item x="160"/>
        <item x="161"/>
        <item x="162"/>
        <item x="163"/>
        <item x="164"/>
        <item x="165"/>
        <item x="166"/>
        <item x="167"/>
        <item x="168"/>
        <item x="169"/>
        <item m="1" x="23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4"/>
        <item x="276"/>
        <item x="277"/>
        <item x="278"/>
        <item x="275"/>
        <item m="1" x="2331"/>
        <item x="279"/>
        <item x="280"/>
        <item x="281"/>
        <item x="282"/>
        <item x="283"/>
        <item x="284"/>
        <item x="285"/>
        <item x="286"/>
        <item x="287"/>
        <item x="288"/>
        <item x="289"/>
        <item x="290"/>
        <item x="291"/>
        <item x="292"/>
        <item x="293"/>
        <item x="294"/>
        <item x="295"/>
        <item x="296"/>
        <item m="1" x="2335"/>
        <item x="297"/>
        <item x="298"/>
        <item x="299"/>
        <item m="1" x="2337"/>
        <item x="300"/>
        <item x="302"/>
        <item x="303"/>
        <item x="301"/>
        <item x="304"/>
        <item x="305"/>
        <item x="306"/>
        <item x="307"/>
        <item x="308"/>
        <item x="309"/>
        <item x="310"/>
        <item x="311"/>
        <item x="312"/>
        <item m="1" x="2301"/>
        <item x="313"/>
        <item m="1" x="2303"/>
        <item x="314"/>
        <item x="315"/>
        <item x="316"/>
        <item x="317"/>
        <item x="318"/>
        <item x="319"/>
        <item x="320"/>
        <item x="321"/>
        <item m="1" x="2349"/>
        <item x="323"/>
        <item x="324"/>
        <item x="325"/>
        <item x="326"/>
        <item x="322"/>
        <item x="327"/>
        <item x="328"/>
        <item x="329"/>
        <item x="330"/>
        <item x="331"/>
        <item m="1" x="2340"/>
        <item x="332"/>
        <item m="1" x="2302"/>
        <item x="333"/>
        <item x="334"/>
        <item x="335"/>
        <item x="336"/>
        <item x="337"/>
        <item x="338"/>
        <item x="344"/>
        <item m="1" x="230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9"/>
        <item x="375"/>
        <item x="376"/>
        <item x="373"/>
        <item x="377"/>
        <item x="378"/>
        <item x="379"/>
        <item x="380"/>
        <item m="1" x="2344"/>
        <item x="381"/>
        <item x="382"/>
        <item x="383"/>
        <item x="384"/>
        <item x="385"/>
        <item x="386"/>
        <item x="387"/>
        <item x="388"/>
        <item x="389"/>
        <item x="390"/>
        <item x="391"/>
        <item x="392"/>
        <item x="393"/>
        <item x="394"/>
        <item x="395"/>
        <item x="396"/>
        <item x="397"/>
        <item x="399"/>
        <item x="400"/>
        <item x="401"/>
        <item x="398"/>
        <item x="402"/>
        <item m="1" x="2345"/>
        <item x="403"/>
        <item x="404"/>
        <item x="405"/>
        <item x="406"/>
        <item x="407"/>
        <item x="408"/>
        <item x="409"/>
        <item m="1" x="2311"/>
        <item x="410"/>
        <item x="411"/>
        <item x="421"/>
        <item x="412"/>
        <item x="413"/>
        <item x="414"/>
        <item x="415"/>
        <item x="416"/>
        <item x="417"/>
        <item m="1" x="2365"/>
        <item x="418"/>
        <item x="419"/>
        <item x="420"/>
        <item x="423"/>
        <item x="443"/>
        <item x="424"/>
        <item x="422"/>
        <item x="425"/>
        <item x="426"/>
        <item x="427"/>
        <item x="428"/>
        <item x="429"/>
        <item x="430"/>
        <item x="431"/>
        <item x="432"/>
        <item m="1" x="2357"/>
        <item x="433"/>
        <item x="434"/>
        <item x="435"/>
        <item x="436"/>
        <item x="438"/>
        <item x="437"/>
        <item x="439"/>
        <item x="440"/>
        <item x="442"/>
        <item x="441"/>
        <item x="445"/>
        <item x="446"/>
        <item x="447"/>
        <item x="444"/>
        <item x="448"/>
        <item x="449"/>
        <item x="450"/>
        <item x="451"/>
        <item x="452"/>
        <item x="453"/>
        <item x="454"/>
        <item x="455"/>
        <item x="456"/>
        <item x="457"/>
        <item m="1" x="2319"/>
        <item x="458"/>
        <item x="459"/>
        <item m="1" x="2368"/>
        <item x="460"/>
        <item x="461"/>
        <item x="462"/>
        <item x="463"/>
        <item m="1" x="2377"/>
        <item x="464"/>
        <item x="465"/>
        <item x="466"/>
        <item x="467"/>
        <item x="468"/>
        <item x="469"/>
        <item x="470"/>
        <item m="1" x="2356"/>
        <item x="471"/>
        <item x="472"/>
        <item x="473"/>
        <item x="474"/>
        <item x="475"/>
        <item x="476"/>
        <item x="477"/>
        <item x="478"/>
        <item x="479"/>
        <item x="480"/>
        <item x="481"/>
        <item x="482"/>
        <item x="483"/>
        <item x="484"/>
        <item m="1" x="2332"/>
        <item x="490"/>
        <item x="485"/>
        <item x="486"/>
        <item x="487"/>
        <item x="488"/>
        <item x="489"/>
        <item x="491"/>
        <item x="492"/>
        <item m="1" x="2325"/>
        <item m="1" x="2369"/>
        <item x="503"/>
        <item m="1" x="2372"/>
        <item x="493"/>
        <item x="494"/>
        <item x="504"/>
        <item x="495"/>
        <item x="496"/>
        <item x="497"/>
        <item x="498"/>
        <item x="499"/>
        <item x="500"/>
        <item x="501"/>
        <item x="502"/>
        <item x="505"/>
        <item x="506"/>
        <item x="507"/>
        <item x="508"/>
        <item m="1" x="232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1"/>
        <item x="564"/>
        <item x="565"/>
        <item x="566"/>
        <item x="567"/>
        <item x="568"/>
        <item x="569"/>
        <item x="570"/>
        <item x="571"/>
        <item x="572"/>
        <item x="573"/>
        <item x="574"/>
        <item m="1" x="229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8"/>
        <item x="698"/>
        <item x="708"/>
        <item x="709"/>
        <item x="710"/>
        <item x="699"/>
        <item x="700"/>
        <item x="701"/>
        <item x="702"/>
        <item x="703"/>
        <item x="704"/>
        <item x="705"/>
        <item x="706"/>
        <item x="707"/>
        <item x="711"/>
        <item x="726"/>
        <item x="727"/>
        <item x="734"/>
        <item x="712"/>
        <item x="728"/>
        <item x="729"/>
        <item m="1" x="235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4"/>
        <item x="753"/>
        <item m="1" x="2316"/>
        <item x="740"/>
        <item x="754"/>
        <item x="741"/>
        <item x="742"/>
        <item x="743"/>
        <item x="744"/>
        <item x="745"/>
        <item x="746"/>
        <item x="747"/>
        <item x="755"/>
        <item x="748"/>
        <item x="757"/>
        <item x="758"/>
        <item x="769"/>
        <item x="759"/>
        <item m="1" x="2363"/>
        <item x="760"/>
        <item x="761"/>
        <item x="770"/>
        <item m="1" x="2370"/>
        <item x="762"/>
        <item x="771"/>
        <item x="763"/>
        <item x="764"/>
        <item x="765"/>
        <item x="766"/>
        <item x="772"/>
        <item x="773"/>
        <item x="767"/>
        <item x="768"/>
        <item x="774"/>
        <item x="775"/>
        <item x="790"/>
        <item x="776"/>
        <item x="791"/>
        <item x="777"/>
        <item x="778"/>
        <item x="792"/>
        <item x="779"/>
        <item x="780"/>
        <item x="781"/>
        <item x="782"/>
        <item x="793"/>
        <item x="783"/>
        <item x="794"/>
        <item x="795"/>
        <item x="228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1"/>
        <item x="944"/>
        <item m="1" x="231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2"/>
        <item x="1583"/>
        <item x="1577"/>
        <item x="1578"/>
        <item x="1576"/>
        <item x="1579"/>
        <item x="1580"/>
        <item x="1586"/>
        <item x="1587"/>
        <item x="1581"/>
        <item x="1582"/>
        <item x="1588"/>
        <item x="1589"/>
        <item x="1590"/>
        <item x="1602"/>
        <item x="1612"/>
        <item m="1" x="230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t="default"/>
      </items>
    </pivotField>
    <pivotField axis="axisRow" showAll="0">
      <items count="257">
        <item sd="0" x="43"/>
        <item sd="0" x="46"/>
        <item sd="0" x="45"/>
        <item sd="0" x="35"/>
        <item sd="0" m="1" x="169"/>
        <item sd="0" x="44"/>
        <item sd="0" m="1" x="183"/>
        <item sd="0" m="1" x="205"/>
        <item sd="0" x="42"/>
        <item sd="0" x="41"/>
        <item sd="0" x="40"/>
        <item sd="0" x="39"/>
        <item sd="0" x="38"/>
        <item sd="0" x="37"/>
        <item sd="0" x="20"/>
        <item sd="0" x="36"/>
        <item sd="0" m="1" x="175"/>
        <item sd="0" x="15"/>
        <item sd="0" x="18"/>
        <item n="JPMC (Main Project)" sd="0" x="11"/>
        <item sd="0" x="32"/>
        <item sd="0" x="31"/>
        <item sd="0" x="33"/>
        <item sd="0" x="34"/>
        <item sd="0" x="27"/>
        <item sd="0" x="30"/>
        <item sd="0" x="29"/>
        <item sd="0" x="26"/>
        <item sd="0" x="24"/>
        <item sd="0" x="25"/>
        <item sd="0" x="0"/>
        <item sd="0" x="19"/>
        <item sd="0" x="22"/>
        <item sd="0" x="23"/>
        <item sd="0" m="1" x="153"/>
        <item sd="0" x="21"/>
        <item sd="0" m="1" x="223"/>
        <item sd="0" m="1" x="181"/>
        <item sd="0" m="1" x="188"/>
        <item sd="0" x="8"/>
        <item sd="0" x="9"/>
        <item sd="0" m="1" x="178"/>
        <item sd="0" m="1" x="148"/>
        <item sd="0" m="1" x="199"/>
        <item sd="0" m="1" x="143"/>
        <item sd="0" m="1" x="155"/>
        <item sd="0" m="1" x="184"/>
        <item sd="0" x="13"/>
        <item sd="0" m="1" x="253"/>
        <item sd="0" m="1" x="233"/>
        <item sd="0" m="1" x="225"/>
        <item sd="0" m="1" x="163"/>
        <item sd="0" m="1" x="160"/>
        <item sd="0" m="1" x="249"/>
        <item sd="0" m="1" x="227"/>
        <item sd="0" m="1" x="236"/>
        <item sd="0" m="1" x="221"/>
        <item sd="0" m="1" x="211"/>
        <item sd="0" m="1" x="146"/>
        <item sd="0" m="1" x="174"/>
        <item sd="0" x="17"/>
        <item sd="0" m="1" x="180"/>
        <item sd="0" m="1" x="194"/>
        <item sd="0" m="1" x="147"/>
        <item sd="0" x="14"/>
        <item sd="0" m="1" x="243"/>
        <item sd="0" x="86"/>
        <item sd="0" m="1" x="189"/>
        <item sd="0" m="1" x="246"/>
        <item sd="0" m="1" x="182"/>
        <item sd="0" m="1" x="203"/>
        <item sd="0" m="1" x="201"/>
        <item sd="0" m="1" x="154"/>
        <item sd="0" m="1" x="192"/>
        <item sd="0" m="1" x="158"/>
        <item sd="0" m="1" x="198"/>
        <item sd="0" m="1" x="235"/>
        <item sd="0" m="1" x="193"/>
        <item sd="0" m="1" x="206"/>
        <item sd="0" x="10"/>
        <item sd="0" m="1" x="209"/>
        <item sd="0" x="1"/>
        <item sd="0" m="1" x="156"/>
        <item sd="0" m="1" x="210"/>
        <item sd="0" m="1" x="179"/>
        <item sd="0" m="1" x="237"/>
        <item sd="0" m="1" x="240"/>
        <item sd="0" m="1" x="213"/>
        <item sd="0" m="1" x="141"/>
        <item sd="0" m="1" x="162"/>
        <item sd="0" m="1" x="204"/>
        <item sd="0" m="1" x="197"/>
        <item sd="0" m="1" x="151"/>
        <item sd="0" m="1" x="145"/>
        <item sd="0" m="1" x="231"/>
        <item sd="0" x="3"/>
        <item sd="0" m="1" x="170"/>
        <item sd="0" x="7"/>
        <item sd="0" m="1" x="185"/>
        <item sd="0" x="2"/>
        <item sd="0" m="1" x="234"/>
        <item sd="0" m="1" x="191"/>
        <item sd="0" x="12"/>
        <item sd="0" x="5"/>
        <item sd="0" m="1" x="173"/>
        <item sd="0" x="4"/>
        <item sd="0" m="1" x="252"/>
        <item sd="0" m="1" x="159"/>
        <item sd="0" m="1" x="167"/>
        <item sd="0" m="1" x="219"/>
        <item sd="0" x="116"/>
        <item sd="0" m="1" x="230"/>
        <item sd="0" m="1" x="150"/>
        <item sd="0" m="1" x="244"/>
        <item sd="0" m="1" x="161"/>
        <item sd="0" m="1" x="166"/>
        <item sd="0" x="6"/>
        <item sd="0" m="1" x="222"/>
        <item sd="0" m="1" x="226"/>
        <item sd="0" m="1" x="241"/>
        <item sd="0" m="1" x="247"/>
        <item sd="0" m="1" x="242"/>
        <item sd="0" x="16"/>
        <item sd="0" m="1" x="140"/>
        <item sd="0" m="1" x="215"/>
        <item sd="0" m="1" x="208"/>
        <item sd="0" m="1" x="224"/>
        <item sd="0" m="1" x="186"/>
        <item m="1" x="200"/>
        <item sd="0" m="1" x="164"/>
        <item sd="0" m="1" x="228"/>
        <item sd="0" m="1" x="187"/>
        <item sd="0" m="1" x="214"/>
        <item sd="0" m="1" x="239"/>
        <item sd="0" x="28"/>
        <item sd="0" m="1" x="202"/>
        <item sd="0" m="1" x="229"/>
        <item sd="0" m="1" x="255"/>
        <item sd="0" m="1" x="177"/>
        <item m="1" x="217"/>
        <item sd="0" m="1" x="216"/>
        <item sd="0" m="1" x="250"/>
        <item sd="0" m="1" x="172"/>
        <item m="1" x="238"/>
        <item sd="0" m="1" x="149"/>
        <item m="1" x="195"/>
        <item m="1" x="232"/>
        <item m="1" x="165"/>
        <item x="47"/>
        <item x="48"/>
        <item x="49"/>
        <item m="1" x="254"/>
        <item x="51"/>
        <item x="52"/>
        <item x="50"/>
        <item x="53"/>
        <item x="54"/>
        <item x="55"/>
        <item x="56"/>
        <item x="57"/>
        <item m="1" x="245"/>
        <item x="59"/>
        <item x="58"/>
        <item x="60"/>
        <item x="63"/>
        <item x="61"/>
        <item x="62"/>
        <item x="64"/>
        <item m="1" x="126"/>
        <item m="1" x="190"/>
        <item x="65"/>
        <item x="67"/>
        <item x="66"/>
        <item x="68"/>
        <item x="69"/>
        <item x="70"/>
        <item x="71"/>
        <item m="1" x="220"/>
        <item m="1" x="152"/>
        <item x="72"/>
        <item x="75"/>
        <item x="73"/>
        <item x="76"/>
        <item m="1" x="157"/>
        <item m="1" x="142"/>
        <item x="78"/>
        <item x="74"/>
        <item m="1" x="212"/>
        <item m="1" x="130"/>
        <item x="80"/>
        <item m="1" x="144"/>
        <item m="1" x="139"/>
        <item m="1" x="207"/>
        <item x="77"/>
        <item m="1" x="248"/>
        <item x="81"/>
        <item x="82"/>
        <item x="83"/>
        <item m="1" x="251"/>
        <item m="1" x="196"/>
        <item x="84"/>
        <item m="1" x="168"/>
        <item x="79"/>
        <item x="123"/>
        <item m="1" x="171"/>
        <item x="85"/>
        <item m="1" x="218"/>
        <item x="87"/>
        <item x="88"/>
        <item x="89"/>
        <item x="90"/>
        <item x="91"/>
        <item m="1" x="176"/>
        <item m="1" x="134"/>
        <item x="92"/>
        <item x="93"/>
        <item m="1" x="137"/>
        <item m="1" x="136"/>
        <item m="1" x="135"/>
        <item x="94"/>
        <item m="1" x="138"/>
        <item m="1" x="131"/>
        <item x="97"/>
        <item m="1" x="128"/>
        <item x="96"/>
        <item m="1" x="132"/>
        <item m="1" x="133"/>
        <item x="99"/>
        <item x="100"/>
        <item m="1" x="129"/>
        <item x="101"/>
        <item m="1" x="127"/>
        <item x="102"/>
        <item x="98"/>
        <item x="95"/>
        <item x="105"/>
        <item x="103"/>
        <item x="108"/>
        <item x="118"/>
        <item x="106"/>
        <item x="107"/>
        <item x="109"/>
        <item x="110"/>
        <item x="111"/>
        <item m="1" x="125"/>
        <item x="112"/>
        <item x="113"/>
        <item x="115"/>
        <item x="114"/>
        <item x="104"/>
        <item x="117"/>
        <item x="119"/>
        <item m="1" x="124"/>
        <item x="120"/>
        <item x="121"/>
        <item x="122"/>
        <item t="default"/>
      </items>
    </pivotField>
    <pivotField axis="axisRow" showAll="0" sortType="ascending">
      <items count="1127">
        <item h="1" sd="0" x="60"/>
        <item h="1" sd="0" x="149"/>
        <item h="1" x="755"/>
        <item h="1" sd="0" m="1" x="898"/>
        <item h="1" sd="0" x="724"/>
        <item h="1" sd="0" m="1" x="970"/>
        <item h="1" sd="0" x="572"/>
        <item h="1" sd="0" m="1" x="1067"/>
        <item h="1" sd="0" m="1" x="911"/>
        <item h="1" sd="0" x="464"/>
        <item h="1" sd="0" m="1" x="932"/>
        <item h="1" x="756"/>
        <item h="1" sd="0" x="18"/>
        <item h="1" sd="0" x="288"/>
        <item h="1" sd="0" m="1" x="1108"/>
        <item h="1" sd="0" x="146"/>
        <item h="1" sd="0" x="179"/>
        <item h="1" sd="0" x="490"/>
        <item h="1" sd="0" x="673"/>
        <item h="1" sd="0" m="1" x="1105"/>
        <item h="1" sd="0" x="641"/>
        <item h="1" sd="0" x="623"/>
        <item h="1" x="807"/>
        <item h="1" sd="0" x="100"/>
        <item h="1" sd="0" x="606"/>
        <item h="1" sd="0" m="1" x="917"/>
        <item h="1" sd="0" m="1" x="1071"/>
        <item h="1" sd="0" x="137"/>
        <item h="1" sd="0" m="1" x="1053"/>
        <item h="1" sd="0" x="231"/>
        <item h="1" sd="0" m="1" x="888"/>
        <item sd="0" x="758"/>
        <item h="1" x="833"/>
        <item h="1" sd="0" m="1" x="1058"/>
        <item h="1" sd="0" m="1" x="949"/>
        <item h="1" sd="0" x="363"/>
        <item h="1" sd="0" x="510"/>
        <item sd="0" x="563"/>
        <item h="1" sd="0" x="651"/>
        <item h="1" x="735"/>
        <item h="1" sd="0" x="375"/>
        <item h="1" sd="0" x="379"/>
        <item h="1" sd="0" m="1" x="946"/>
        <item h="1" sd="0" x="718"/>
        <item h="1" sd="0" m="1" x="924"/>
        <item h="1" sd="0" m="1" x="97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08"/>
        <item h="1" sd="0" x="325"/>
        <item h="1" sd="0" x="481"/>
        <item h="1" sd="0" m="1" x="1109"/>
        <item h="1" sd="0" m="1" x="1006"/>
        <item h="1" sd="0" x="528"/>
        <item h="1" sd="0" x="630"/>
        <item h="1" sd="0" x="223"/>
        <item h="1" sd="0" m="1" x="900"/>
        <item h="1" x="859"/>
        <item h="1" sd="0" x="239"/>
        <item h="1" sd="0" x="521"/>
        <item h="1" sd="0" x="135"/>
        <item h="1" sd="0" x="140"/>
        <item h="1" sd="0" x="479"/>
        <item h="1" sd="0" m="1" x="1082"/>
        <item h="1" sd="0" m="1" x="1012"/>
        <item h="1" sd="0" x="219"/>
        <item h="1" sd="0" m="1" x="1121"/>
        <item h="1" x="862"/>
        <item h="1" sd="0" x="562"/>
        <item h="1" x="743"/>
        <item h="1" x="760"/>
        <item h="1" sd="0" x="711"/>
        <item h="1" sd="0" x="683"/>
        <item h="1" x="801"/>
        <item h="1" sd="0" x="93"/>
        <item h="1" sd="0" m="1" x="1079"/>
        <item h="1" sd="0" x="399"/>
        <item h="1" sd="0" x="222"/>
        <item h="1" sd="0" m="1" x="913"/>
        <item h="1" sd="0" x="337"/>
        <item h="1" sd="0" x="207"/>
        <item h="1" sd="0" x="517"/>
        <item h="1" sd="0" x="489"/>
        <item h="1" sd="0" x="184"/>
        <item h="1" sd="0" x="152"/>
        <item h="1" sd="0" m="1" x="1092"/>
        <item h="1" sd="0" x="40"/>
        <item h="1" sd="0" x="281"/>
        <item h="1" sd="0" x="170"/>
        <item h="1" x="799"/>
        <item h="1" sd="0" x="317"/>
        <item h="1" sd="0" x="358"/>
        <item h="1" sd="0" x="214"/>
        <item h="1" sd="0" x="370"/>
        <item h="1" sd="0" x="378"/>
        <item h="1" sd="0" x="279"/>
        <item h="1" sd="0" m="1" x="950"/>
        <item h="1" sd="0" x="156"/>
        <item h="1" sd="0" x="700"/>
        <item h="1" sd="0" x="639"/>
        <item h="1" sd="0" x="253"/>
        <item h="1" sd="0" m="1" x="1068"/>
        <item h="1" sd="0" x="442"/>
        <item h="1" sd="0" m="1" x="879"/>
        <item h="1" sd="0" x="409"/>
        <item h="1" sd="0" x="365"/>
        <item h="1" sd="0" m="1" x="931"/>
        <item h="1" sd="0" m="1" x="896"/>
        <item sd="0" x="666"/>
        <item h="1" sd="0" x="556"/>
        <item h="1" sd="0" x="383"/>
        <item h="1" sd="0" x="259"/>
        <item h="1" sd="0" x="463"/>
        <item h="1" sd="0" x="252"/>
        <item h="1" sd="0" x="643"/>
        <item h="1" sd="0" x="537"/>
        <item h="1" sd="0" m="1" x="1011"/>
        <item h="1" sd="0" x="577"/>
        <item h="1" x="866"/>
        <item h="1" sd="0" x="597"/>
        <item h="1" sd="0" x="12"/>
        <item h="1" sd="0" x="571"/>
        <item h="1" sd="0" m="1" x="1081"/>
        <item h="1" sd="0" x="569"/>
        <item h="1" sd="0" x="352"/>
        <item h="1" sd="0" x="218"/>
        <item h="1" x="813"/>
        <item h="1" sd="0" x="371"/>
        <item h="1" sd="0" x="224"/>
        <item h="1" sd="0" x="63"/>
        <item h="1" sd="0" x="8"/>
        <item h="1" sd="0" x="102"/>
        <item h="1" sd="0" m="1" x="918"/>
        <item h="1" sd="0" m="1" x="1111"/>
        <item h="1" sd="0" x="550"/>
        <item h="1" sd="0" x="319"/>
        <item h="1" sd="0" m="1" x="923"/>
        <item h="1" sd="0" m="1" x="1122"/>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04"/>
        <item h="1" sd="0" m="1" x="897"/>
        <item h="1" sd="0" m="1" x="1097"/>
        <item h="1" sd="0" x="668"/>
        <item h="1" x="762"/>
        <item h="1" x="844"/>
        <item h="1" sd="0" x="681"/>
        <item h="1" sd="0" x="685"/>
        <item h="1" x="853"/>
        <item h="1" sd="0" x="46"/>
        <item h="1" sd="0" x="374"/>
        <item h="1" sd="0" m="1" x="906"/>
        <item h="1" sd="0" x="423"/>
        <item h="1" sd="0" x="574"/>
        <item h="1" sd="0" x="367"/>
        <item h="1" sd="0" x="270"/>
        <item h="1" sd="0" m="1" x="987"/>
        <item h="1" sd="0" m="1" x="952"/>
        <item h="1" sd="0" x="427"/>
        <item h="1" sd="0" x="411"/>
        <item h="1" sd="0" x="465"/>
        <item h="1" sd="0" m="1" x="988"/>
        <item h="1" sd="0" m="1" x="968"/>
        <item h="1" sd="0" m="1" x="1078"/>
        <item h="1" sd="0" m="1" x="1021"/>
        <item h="1" sd="0" m="1" x="984"/>
        <item h="1" sd="0" x="366"/>
        <item h="1" sd="0" x="437"/>
        <item h="1" sd="0" x="506"/>
        <item h="1" sd="0" x="632"/>
        <item h="1" sd="0" m="1" x="997"/>
        <item h="1" sd="0" x="567"/>
        <item h="1" sd="0" x="665"/>
        <item h="1" x="851"/>
        <item h="1" x="793"/>
        <item h="1" sd="0" x="534"/>
        <item h="1" sd="0" x="456"/>
        <item h="1" sd="0" x="318"/>
        <item h="1" x="854"/>
        <item h="1" sd="0" m="1" x="945"/>
        <item h="1" x="796"/>
        <item h="1" sd="0" x="697"/>
        <item h="1" sd="0" x="312"/>
        <item h="1" sd="0" x="273"/>
        <item h="1" sd="0" x="428"/>
        <item h="1" sd="0" x="519"/>
        <item h="1" sd="0" m="1" x="1043"/>
        <item h="1" sd="0" x="396"/>
        <item h="1" x="751"/>
        <item h="1" sd="0" x="605"/>
        <item h="1" sd="0" x="402"/>
        <item h="1" sd="0" x="710"/>
        <item h="1" sd="0" x="201"/>
        <item h="1" sd="0" m="1" x="972"/>
        <item h="1" x="778"/>
        <item h="1" sd="0" x="160"/>
        <item h="1" sd="0" x="443"/>
        <item h="1" sd="0" m="1" x="1075"/>
        <item h="1" x="865"/>
        <item h="1" sd="0" m="1" x="1035"/>
        <item h="1" sd="0" m="1" x="930"/>
        <item h="1" x="746"/>
        <item h="1" x="824"/>
        <item h="1" sd="0" x="451"/>
        <item h="1" sd="0" x="538"/>
        <item h="1" sd="0" x="414"/>
        <item h="1" sd="0" x="413"/>
        <item h="1" sd="0" x="277"/>
        <item h="1" sd="0" x="467"/>
        <item h="1" sd="0" m="1" x="1029"/>
        <item h="1" sd="0" x="225"/>
        <item h="1" sd="0" m="1" x="902"/>
        <item h="1" sd="0" m="1" x="905"/>
        <item h="1" sd="0" x="522"/>
        <item h="1" x="815"/>
        <item h="1" sd="0" x="468"/>
        <item h="1" sd="0" x="539"/>
        <item h="1" x="800"/>
        <item h="1" sd="0" x="633"/>
        <item h="1" sd="0" m="1" x="916"/>
        <item h="1" sd="0" x="292"/>
        <item h="1" sd="0" x="15"/>
        <item h="1" sd="0" m="1" x="943"/>
        <item h="1" sd="0" m="1" x="958"/>
        <item h="1" sd="0" x="662"/>
        <item h="1" sd="0" x="0"/>
        <item h="1" sd="0" x="232"/>
        <item h="1" sd="0" x="679"/>
        <item h="1" sd="0" x="213"/>
        <item h="1" sd="0" m="1" x="1077"/>
        <item h="1" sd="0" x="316"/>
        <item h="1" x="749"/>
        <item h="1" sd="0" x="702"/>
        <item h="1" x="848"/>
        <item h="1" sd="0" x="513"/>
        <item h="1" sd="0" x="436"/>
        <item h="1" sd="0" x="449"/>
        <item h="1" sd="0" m="1" x="887"/>
        <item h="1" sd="0" x="291"/>
        <item h="1" x="738"/>
        <item h="1" sd="0" x="391"/>
        <item h="1" sd="0" x="333"/>
        <item h="1" x="789"/>
        <item h="1" x="742"/>
        <item sd="0" x="339"/>
        <item h="1" sd="0" x="275"/>
        <item h="1" sd="0" m="1" x="919"/>
        <item sd="0" x="174"/>
        <item h="1" sd="0" x="171"/>
        <item h="1" sd="0" x="233"/>
        <item h="1" sd="0" x="78"/>
        <item h="1" sd="0" m="1" x="978"/>
        <item h="1" sd="0" x="236"/>
        <item h="1" sd="0" x="58"/>
        <item h="1" sd="0" m="1" x="1046"/>
        <item h="1" sd="0" x="474"/>
        <item h="1" sd="0" x="511"/>
        <item h="1" sd="0" x="408"/>
        <item h="1" x="808"/>
        <item h="1" sd="0" x="587"/>
        <item h="1" sd="0" x="240"/>
        <item h="1" sd="0" m="1" x="912"/>
        <item h="1" sd="0" x="182"/>
        <item h="1" x="802"/>
        <item h="1" sd="0" x="307"/>
        <item h="1" sd="0" x="780"/>
        <item h="1" x="823"/>
        <item h="1" sd="0" x="648"/>
        <item h="1" x="775"/>
        <item h="1" sd="0" x="290"/>
        <item h="1" sd="0" m="1" x="1003"/>
        <item h="1" sd="0" m="1" x="1064"/>
        <item h="1" sd="0" x="636"/>
        <item h="1" sd="0" x="499"/>
        <item h="1" sd="0" x="447"/>
        <item h="1" sd="0" x="132"/>
        <item h="1" sd="0" x="56"/>
        <item h="1" sd="0" x="126"/>
        <item h="1" sd="0" x="22"/>
        <item h="1" sd="0" x="187"/>
        <item h="1" sd="0" m="1" x="893"/>
        <item h="1" sd="0" m="1" x="1095"/>
        <item h="1" sd="0" m="1" x="899"/>
        <item h="1" sd="0" x="11"/>
        <item h="1" sd="0" x="670"/>
        <item h="1" sd="0" x="353"/>
        <item h="1" sd="0" x="542"/>
        <item h="1" sd="0" m="1" x="983"/>
        <item h="1" sd="0" x="124"/>
        <item h="1" sd="0" x="646"/>
        <item h="1" sd="0" m="1" x="1125"/>
        <item h="1" sd="0" x="77"/>
        <item h="1" sd="0" m="1" x="1007"/>
        <item h="1" sd="0" x="435"/>
        <item h="1" sd="0" x="92"/>
        <item h="1" sd="0" x="35"/>
        <item h="1" sd="0" x="196"/>
        <item h="1" sd="0" m="1" x="1104"/>
        <item h="1" sd="0" x="1"/>
        <item h="1" sd="0" x="180"/>
        <item h="1" sd="0" x="430"/>
        <item h="1" sd="0" x="285"/>
        <item h="1" x="747"/>
        <item h="1" sd="0" x="581"/>
        <item h="1" sd="0" m="1" x="1024"/>
        <item h="1" sd="0" x="42"/>
        <item h="1" sd="0" x="469"/>
        <item h="1" sd="0" x="440"/>
        <item h="1" sd="0" m="1" x="1045"/>
        <item h="1" sd="0" m="1" x="1015"/>
        <item h="1" sd="0" m="1" x="1032"/>
        <item h="1" sd="0" m="1" x="966"/>
        <item h="1" sd="0" x="84"/>
        <item h="1" sd="0" x="106"/>
        <item h="1" sd="0" x="727"/>
        <item h="1" sd="0" m="1" x="878"/>
        <item h="1" sd="0" x="526"/>
        <item h="1" sd="0" x="592"/>
        <item h="1" sd="0" x="484"/>
        <item h="1" sd="0" x="336"/>
        <item h="1" sd="0" x="659"/>
        <item h="1" sd="0" x="669"/>
        <item h="1" sd="0" m="1" x="1038"/>
        <item h="1" sd="0" x="560"/>
        <item h="1" sd="0" x="714"/>
        <item sd="0" x="709"/>
        <item h="1" x="791"/>
        <item sd="0" x="599"/>
        <item h="1" sd="0" m="1" x="880"/>
        <item h="1" sd="0" m="1" x="875"/>
        <item h="1" sd="0" m="1" x="1025"/>
        <item h="1" sd="0" m="1" x="908"/>
        <item h="1" sd="0" x="515"/>
        <item h="1" sd="0" x="715"/>
        <item h="1" sd="0" x="677"/>
        <item h="1" x="810"/>
        <item h="1" sd="0" x="698"/>
        <item h="1" sd="0" m="1" x="1055"/>
        <item h="1" x="781"/>
        <item h="1" x="798"/>
        <item h="1" sd="0" m="1" x="909"/>
        <item h="1" sd="0" x="16"/>
        <item h="1" sd="0" m="1" x="991"/>
        <item h="1" sd="0" x="407"/>
        <item h="1" sd="0" x="603"/>
        <item h="1" sd="0" m="1" x="1034"/>
        <item h="1" sd="0" m="1" x="948"/>
        <item h="1" sd="0" x="280"/>
        <item h="1" sd="0" x="104"/>
        <item h="1" sd="0" x="332"/>
        <item h="1" sd="0" m="1" x="971"/>
        <item h="1" sd="0" x="348"/>
        <item h="1" sd="0" x="23"/>
        <item sd="0" x="693"/>
        <item h="1" sd="0" m="1" x="925"/>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15"/>
        <item h="1" sd="0" m="1" x="1090"/>
        <item h="1" x="841"/>
        <item h="1" sd="0" x="87"/>
        <item h="1" sd="0" x="501"/>
        <item h="1" sd="0" x="690"/>
        <item h="1" sd="0" x="450"/>
        <item h="1" sd="0" x="33"/>
        <item h="1" x="817"/>
        <item h="1" sd="0" x="19"/>
        <item h="1" sd="0" x="389"/>
        <item h="1" x="834"/>
        <item h="1" sd="0" m="1" x="882"/>
        <item h="1" sd="0" x="403"/>
        <item h="1" sd="0" x="20"/>
        <item h="1" sd="0" m="1" x="894"/>
        <item h="1" sd="0" x="584"/>
        <item h="1" sd="0" x="96"/>
        <item h="1" sd="0" x="555"/>
        <item h="1" sd="0" x="438"/>
        <item h="1" sd="0" m="1" x="921"/>
        <item h="1" sd="0" m="1" x="1107"/>
        <item h="1" sd="0" m="1" x="1084"/>
        <item h="1" sd="0" m="1" x="959"/>
        <item h="1" sd="0" x="588"/>
        <item h="1" sd="0" x="120"/>
        <item h="1" sd="0" x="590"/>
        <item h="1" sd="0" x="131"/>
        <item h="1" sd="0" x="119"/>
        <item h="1" sd="0" m="1" x="1036"/>
        <item h="1" sd="0" m="1" x="1001"/>
        <item h="1" sd="0" m="1" x="1027"/>
        <item h="1" sd="0" m="1" x="892"/>
        <item h="1" sd="0" m="1" x="1013"/>
        <item h="1" sd="0" x="228"/>
        <item h="1" sd="0" x="39"/>
        <item h="1" sd="0" x="619"/>
        <item h="1" sd="0" x="108"/>
        <item h="1" sd="0" x="24"/>
        <item h="1" x="729"/>
        <item h="1" sd="0" x="139"/>
        <item h="1" sd="0" x="393"/>
        <item h="1" sd="0" m="1" x="1094"/>
        <item h="1" sd="0" x="613"/>
        <item h="1" sd="0" x="17"/>
        <item h="1" sd="0" x="461"/>
        <item h="1" x="741"/>
        <item h="1" x="795"/>
        <item h="1" x="768"/>
        <item h="1" sd="0" x="441"/>
        <item h="1" sd="0" x="248"/>
        <item h="1" sd="0" x="48"/>
        <item h="1" sd="0" m="1" x="1009"/>
        <item h="1" sd="0" m="1" x="1069"/>
        <item h="1" sd="0" x="134"/>
        <item h="1" sd="0" x="596"/>
        <item h="1" sd="0" m="1" x="980"/>
        <item h="1" sd="0" x="69"/>
        <item h="1" x="527"/>
        <item h="1" x="830"/>
        <item h="1" sd="0" x="654"/>
        <item h="1" sd="0" m="1" x="1042"/>
        <item h="1" sd="0" x="34"/>
        <item h="1" sd="0" x="206"/>
        <item h="1" sd="0" m="1" x="1110"/>
        <item h="1" sd="0" m="1" x="986"/>
        <item h="1" sd="0" m="1" x="1004"/>
        <item h="1" sd="0" m="1" x="947"/>
        <item h="1" x="784"/>
        <item h="1" sd="0" x="268"/>
        <item h="1" sd="0" x="376"/>
        <item h="1" sd="0" x="331"/>
        <item h="1" sd="0" m="1" x="939"/>
        <item h="1" x="820"/>
        <item h="1" sd="0" x="360"/>
        <item h="1" sd="0" m="1" x="1085"/>
        <item h="1" sd="0" x="89"/>
        <item h="1" sd="0" x="355"/>
        <item sd="0" x="642"/>
        <item h="1" sd="0" m="1" x="985"/>
        <item h="1" sd="0" x="168"/>
        <item h="1" sd="0" m="1" x="883"/>
        <item h="1" sd="0" m="1" x="876"/>
        <item h="1" sd="0" x="473"/>
        <item h="1" x="839"/>
        <item h="1" x="837"/>
        <item h="1" sd="0" x="272"/>
        <item h="1" sd="0" x="523"/>
        <item h="1" sd="0" x="51"/>
        <item h="1" sd="0" x="190"/>
        <item h="1" sd="0" x="625"/>
        <item h="1" sd="0" x="50"/>
        <item h="1" x="818"/>
        <item h="1" sd="0" x="79"/>
        <item h="1" sd="0" x="32"/>
        <item h="1" sd="0" m="1" x="1072"/>
        <item h="1" sd="0" x="667"/>
        <item h="1" sd="0" x="188"/>
        <item h="1" x="785"/>
        <item h="1" x="764"/>
        <item h="1" sd="0" x="110"/>
        <item h="1" sd="0" m="1" x="1091"/>
        <item h="1" x="774"/>
        <item h="1" sd="0" m="1" x="1088"/>
        <item h="1" sd="0" m="1" x="995"/>
        <item h="1" sd="0" m="1" x="941"/>
        <item h="1" sd="0" m="1" x="990"/>
        <item h="1" sd="0" m="1" x="962"/>
        <item h="1" sd="0" x="226"/>
        <item h="1" sd="0" x="57"/>
        <item h="1" sd="0" m="1" x="993"/>
        <item h="1" sd="0" x="530"/>
        <item h="1" sd="0" x="554"/>
        <item h="1" x="733"/>
        <item h="1" sd="0" x="340"/>
        <item h="1" sd="0" x="604"/>
        <item h="1" sd="0" x="265"/>
        <item h="1" sd="0" x="448"/>
        <item h="1" sd="0" x="628"/>
        <item h="1" m="1" x="869"/>
        <item h="1" sd="0" m="1" x="1030"/>
        <item h="1" sd="0" x="294"/>
        <item h="1" sd="0" m="1" x="1019"/>
        <item h="1" sd="0" x="585"/>
        <item h="1" sd="0" x="583"/>
        <item h="1" sd="0" x="62"/>
        <item h="1" sd="0" x="295"/>
        <item h="1" sd="0" x="3"/>
        <item h="1" sd="0" x="151"/>
        <item h="1" sd="0" x="415"/>
        <item h="1" sd="0" x="503"/>
        <item h="1" sd="0" x="210"/>
        <item h="1" x="855"/>
        <item h="1" sd="0" x="54"/>
        <item h="1" sd="0" m="1" x="1050"/>
        <item h="1" sd="0" m="1" x="1033"/>
        <item h="1" sd="0" x="387"/>
        <item h="1" sd="0" m="1" x="895"/>
        <item h="1" sd="0" x="323"/>
        <item h="1" sd="0" x="713"/>
        <item h="1" x="849"/>
        <item h="1" sd="0" x="678"/>
        <item h="1" sd="0" m="1" x="928"/>
        <item h="1" sd="0" x="75"/>
        <item h="1" sd="0" x="476"/>
        <item h="1" sd="0" m="1" x="870"/>
        <item h="1" sd="0" m="1" x="957"/>
        <item h="1" sd="0" x="186"/>
        <item h="1" x="864"/>
        <item h="1" sd="0" x="486"/>
        <item h="1" sd="0" x="674"/>
        <item h="1" sd="0" x="429"/>
        <item h="1" sd="0" x="361"/>
        <item h="1" sd="0" x="368"/>
        <item h="1" x="829"/>
        <item h="1" x="816"/>
        <item sd="0" x="721"/>
        <item sd="0" x="766"/>
        <item h="1" sd="0" x="327"/>
        <item h="1" sd="0" x="195"/>
        <item h="1" sd="0" x="687"/>
        <item h="1" x="773"/>
        <item h="1" sd="0" x="566"/>
        <item h="1" sd="0" m="1" x="1023"/>
        <item h="1" sd="0" m="1" x="1063"/>
        <item h="1" sd="0" x="123"/>
        <item h="1" sd="0" x="497"/>
        <item h="1" x="838"/>
        <item sd="0" x="719"/>
        <item h="1" sd="0" m="1" x="954"/>
        <item h="1" sd="0" x="194"/>
        <item h="1" sd="0" x="557"/>
        <item h="1" sd="0" x="663"/>
        <item h="1" sd="0" x="121"/>
        <item h="1" x="771"/>
        <item h="1" sd="0" x="53"/>
        <item h="1" x="845"/>
        <item h="1" sd="0" x="472"/>
        <item h="1" sd="0" x="549"/>
        <item h="1" sd="0" x="565"/>
        <item h="1" sd="0" m="1" x="1080"/>
        <item h="1" m="1" x="1005"/>
        <item h="1" sd="0" x="278"/>
        <item h="1" x="750"/>
        <item h="1" x="843"/>
        <item h="1" sd="0" x="212"/>
        <item h="1" sd="0" m="1" x="963"/>
        <item h="1" sd="0" m="1" x="1065"/>
        <item h="1" sd="0" m="1" x="1056"/>
        <item h="1" sd="0" x="631"/>
        <item h="1" x="860"/>
        <item h="1" sd="0" m="1" x="1123"/>
        <item h="1" sd="0" m="1" x="910"/>
        <item h="1" sd="0" x="675"/>
        <item h="1" sd="0" m="1" x="1117"/>
        <item h="1" sd="0" x="691"/>
        <item h="1" sd="0" x="117"/>
        <item h="1" sd="0" x="111"/>
        <item h="1" x="792"/>
        <item h="1" sd="0" x="671"/>
        <item h="1" sd="0" x="502"/>
        <item h="1" sd="0" x="417"/>
        <item h="1" sd="0" x="81"/>
        <item h="1" sd="0" x="7"/>
        <item h="1" sd="0" x="235"/>
        <item h="1" sd="0" x="434"/>
        <item h="1" sd="0" x="287"/>
        <item h="1" sd="0" m="1" x="1054"/>
        <item h="1" sd="0" m="1" x="1101"/>
        <item h="1" sd="0" x="491"/>
        <item h="1" sd="0" x="722"/>
        <item h="1" sd="0" x="2"/>
        <item h="1" sd="0" x="637"/>
        <item h="1" sd="0" m="1" x="1116"/>
        <item h="1" sd="0" m="1" x="976"/>
        <item h="1" sd="0" x="692"/>
        <item h="1" x="826"/>
        <item h="1" sd="0" x="536"/>
        <item h="1" x="842"/>
        <item h="1" x="814"/>
        <item h="1" sd="0" x="163"/>
        <item h="1" sd="0" x="431"/>
        <item h="1" sd="0" m="1" x="1048"/>
        <item h="1" sd="0" x="650"/>
        <item h="1" sd="0" x="680"/>
        <item h="1" sd="0" x="478"/>
        <item h="1" sd="0" x="602"/>
        <item h="1" x="840"/>
        <item h="1" sd="0" m="1" x="936"/>
        <item h="1" sd="0" x="445"/>
        <item h="1" sd="0" m="1" x="922"/>
        <item h="1" sd="0" m="1" x="1124"/>
        <item h="1" sd="0" m="1" x="889"/>
        <item h="1" sd="0" m="1" x="886"/>
        <item h="1" sd="0" x="130"/>
        <item h="1" sd="0" x="88"/>
        <item h="1" sd="0" m="1" x="1119"/>
        <item h="1" sd="0" x="204"/>
        <item h="1" sd="0" x="72"/>
        <item h="1" sd="0" x="73"/>
        <item h="1" sd="0" x="28"/>
        <item h="1" sd="0" x="47"/>
        <item h="1" sd="0" x="181"/>
        <item h="1" sd="0" x="26"/>
        <item h="1" sd="0" x="86"/>
        <item h="1" sd="0" x="230"/>
        <item h="1" x="822"/>
        <item h="1" sd="0" m="1" x="992"/>
        <item h="1" sd="0" m="1" x="975"/>
        <item h="1" x="736"/>
        <item h="1" sd="0" m="1" x="101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61"/>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35"/>
        <item h="1" sd="0" x="359"/>
        <item h="1" sd="0" m="1" x="1114"/>
        <item h="1" sd="0" x="425"/>
        <item h="1" sd="0" x="269"/>
        <item h="1" sd="0" x="215"/>
        <item h="1" sd="0" x="349"/>
        <item h="1" x="846"/>
        <item h="1" sd="0" x="283"/>
        <item h="1" sd="0" x="185"/>
        <item h="1" sd="0" x="460"/>
        <item h="1" sd="0" x="220"/>
        <item h="1" x="803"/>
        <item h="1" sd="0" x="703"/>
        <item h="1" sd="0" x="598"/>
        <item h="1" sd="0" x="644"/>
        <item h="1" x="753"/>
        <item h="1" sd="0" x="624"/>
        <item h="1" sd="0" x="547"/>
        <item h="1" sd="0" m="1" x="1102"/>
        <item h="1" sd="0" m="1" x="881"/>
        <item h="1" sd="0" x="4"/>
        <item h="1" sd="0" x="377"/>
        <item h="1" x="804"/>
        <item h="1" sd="0" x="262"/>
        <item h="1" sd="0" x="454"/>
        <item h="1" sd="0" x="326"/>
        <item h="1" sd="0" x="173"/>
        <item h="1" sd="0" x="200"/>
        <item h="1" x="805"/>
        <item h="1" x="783"/>
        <item h="1" sd="0" m="1" x="920"/>
        <item h="1" sd="0" x="725"/>
        <item h="1" x="794"/>
        <item h="1" sd="0" x="495"/>
        <item h="1" sd="0" x="345"/>
        <item h="1" sd="0" x="717"/>
        <item h="1" sd="0" x="568"/>
        <item h="1" sd="0" x="640"/>
        <item h="1" sd="0" x="482"/>
        <item h="1" sd="0" x="726"/>
        <item h="1" sd="0" x="30"/>
        <item h="1" sd="0" m="1" x="1051"/>
        <item h="1" sd="0" x="242"/>
        <item h="1" sd="0" x="591"/>
        <item h="1" sd="0" x="645"/>
        <item h="1" sd="0" m="1" x="982"/>
        <item h="1" sd="0" m="1" x="890"/>
        <item h="1" sd="0" x="694"/>
        <item h="1" sd="0" x="470"/>
        <item h="1" x="847"/>
        <item h="1" sd="0" x="243"/>
        <item h="1" sd="0" m="1" x="1096"/>
        <item h="1" sd="0" x="622"/>
        <item h="1" sd="0" x="398"/>
        <item h="1" sd="0" m="1" x="929"/>
        <item h="1" sd="0" m="1" x="1099"/>
        <item h="1" sd="0" m="1" x="999"/>
        <item h="1" sd="0" x="551"/>
        <item h="1" sd="0" x="303"/>
        <item h="1" sd="0" x="532"/>
        <item h="1" sd="0" x="37"/>
        <item h="1" sd="0" x="357"/>
        <item h="1" x="821"/>
        <item h="1" sd="0" x="487"/>
        <item h="1" sd="0" x="658"/>
        <item h="1" sd="0" x="686"/>
        <item h="1" sd="0" x="512"/>
        <item h="1" x="779"/>
        <item h="1" sd="0" m="1" x="994"/>
        <item h="1" sd="0" m="1" x="1044"/>
        <item h="1" x="825"/>
        <item h="1" sd="0" x="115"/>
        <item h="1" sd="0" m="1" x="1093"/>
        <item h="1" sd="0" m="1" x="901"/>
        <item h="1" sd="0" x="324"/>
        <item sd="0" x="518"/>
        <item h="1" sd="0" m="1" x="964"/>
        <item h="1" sd="0" x="128"/>
        <item h="1" sd="0" x="520"/>
        <item h="1" sd="0" m="1" x="1100"/>
        <item h="1" sd="0" m="1" x="1076"/>
        <item h="1" sd="0" x="255"/>
        <item h="1" sd="0" x="199"/>
        <item h="1" sd="0" x="329"/>
        <item h="1" sd="0" x="297"/>
        <item h="1" sd="0" x="310"/>
        <item h="1" x="740"/>
        <item h="1" sd="0" x="83"/>
        <item h="1" sd="0" m="1" x="1000"/>
        <item h="1" sd="0" x="600"/>
        <item h="1" sd="0" m="1" x="884"/>
        <item h="1" sd="0" x="80"/>
        <item h="1" sd="0" m="1" x="953"/>
        <item h="1" sd="0" m="1" x="1089"/>
        <item h="1" sd="0" x="97"/>
        <item h="1" sd="0" x="564"/>
        <item h="1" sd="0" x="289"/>
        <item h="1" sd="0" m="1" x="1039"/>
        <item h="1" sd="0" x="116"/>
        <item h="1" sd="0" x="209"/>
        <item h="1" sd="0" x="452"/>
        <item h="1" sd="0" x="684"/>
        <item h="1" sd="0" x="198"/>
        <item h="1" sd="0" x="401"/>
        <item h="1" sd="0" x="656"/>
        <item h="1" sd="0" x="150"/>
        <item h="1" sd="0" x="136"/>
        <item h="1" sd="0" m="1" x="981"/>
        <item h="1" sd="0" x="676"/>
        <item h="1" sd="0" m="1" x="914"/>
        <item h="1" sd="0" x="109"/>
        <item h="1" sd="0" x="397"/>
        <item sd="0" x="664"/>
        <item h="1" sd="0" x="498"/>
        <item h="1" sd="0" x="706"/>
        <item h="1" sd="0" x="649"/>
        <item h="1" sd="0" x="514"/>
        <item h="1" sd="0" x="558"/>
        <item h="1" sd="0" x="524"/>
        <item h="1" sd="0" m="1" x="960"/>
        <item h="1" x="857"/>
        <item h="1" x="835"/>
        <item h="1" sd="0" x="660"/>
        <item h="1" sd="0" m="1" x="1060"/>
        <item h="1" x="334"/>
        <item sd="0" x="757"/>
        <item h="1" sd="0" x="728"/>
        <item h="1" sd="0" x="284"/>
        <item h="1" sd="0" x="296"/>
        <item h="1" sd="0" x="211"/>
        <item h="1" sd="0" x="582"/>
        <item h="1" sd="0" x="45"/>
        <item h="1" sd="0" m="1" x="1040"/>
        <item h="1" x="856"/>
        <item h="1" sd="0" m="1" x="1031"/>
        <item h="1" sd="0" x="507"/>
        <item h="1" sd="0" x="155"/>
        <item h="1" sd="0" m="1" x="1061"/>
        <item h="1" sd="0" x="61"/>
        <item h="1" sd="0" x="129"/>
        <item h="1" sd="0" x="105"/>
        <item h="1" sd="0" x="614"/>
        <item sd="0" x="716"/>
        <item h="1" sd="0" m="1" x="907"/>
        <item h="1" sd="0" x="157"/>
        <item h="1" sd="0" x="14"/>
        <item h="1" sd="0" x="43"/>
        <item h="1" sd="0" x="250"/>
        <item h="1" sd="0" x="238"/>
        <item h="1" sd="0" x="103"/>
        <item h="1" sd="0" x="385"/>
        <item h="1" sd="0" x="70"/>
        <item h="1" sd="0" x="299"/>
        <item h="1" sd="0" x="127"/>
        <item h="1" sd="0" m="1" x="877"/>
        <item h="1" sd="0" x="193"/>
        <item h="1" x="827"/>
        <item h="1" sd="0" x="147"/>
        <item h="1" sd="0" m="1" x="996"/>
        <item h="1" sd="0" x="548"/>
        <item h="1" sd="0" m="1" x="1016"/>
        <item h="1" sd="0" x="610"/>
        <item h="1" sd="0" x="405"/>
        <item sd="0" x="748"/>
        <item h="1" sd="0" m="1" x="951"/>
        <item h="1" m="1" x="933"/>
        <item h="1" x="594"/>
        <item h="1" sd="0" x="99"/>
        <item h="1" sd="0" x="344"/>
        <item h="1" sd="0" x="541"/>
        <item h="1" sd="0" x="689"/>
        <item h="1" m="1" x="868"/>
        <item h="1" sd="0" x="612"/>
        <item h="1" sd="0" x="221"/>
        <item h="1" sd="0" x="607"/>
        <item h="1" sd="0" m="1" x="1113"/>
        <item h="1" sd="0" m="1" x="1118"/>
        <item h="1" sd="0" x="271"/>
        <item h="1" sd="0" m="1" x="1026"/>
        <item h="1" sd="0" x="166"/>
        <item h="1" sd="0" x="286"/>
        <item sd="0" x="611"/>
        <item h="1" sd="0" x="531"/>
        <item h="1" sd="0" x="621"/>
        <item h="1" sd="0" x="304"/>
        <item h="1" sd="0" m="1" x="989"/>
        <item h="1" sd="0" x="458"/>
        <item h="1" sd="0" x="439"/>
        <item h="1" sd="0" x="543"/>
        <item h="1" sd="0" x="609"/>
        <item h="1" sd="0" x="138"/>
        <item h="1" sd="0" x="41"/>
        <item h="1" sd="0" x="229"/>
        <item h="1" sd="0" x="420"/>
        <item h="1" sd="0" m="1" x="1047"/>
        <item h="1" sd="0" x="617"/>
        <item h="1" sd="0" x="71"/>
        <item h="1" sd="0" x="64"/>
        <item h="1" sd="0" x="492"/>
        <item h="1" sd="0" m="1" x="973"/>
        <item h="1" sd="0" m="1" x="967"/>
        <item h="1" x="731"/>
        <item h="1" sd="0" x="432"/>
        <item h="1" x="745"/>
        <item h="1" sd="0" x="540"/>
        <item h="1" sd="0" x="455"/>
        <item h="1" sd="0" x="44"/>
        <item h="1" sd="0" x="114"/>
        <item h="1" sd="0" x="52"/>
        <item h="1" sd="0" x="142"/>
        <item h="1" sd="0" x="579"/>
        <item h="1" sd="0" x="82"/>
        <item h="1" sd="0" x="245"/>
        <item h="1" sd="0" x="457"/>
        <item h="1" sd="0" x="314"/>
        <item h="1" sd="0" m="1" x="1086"/>
        <item h="1" sd="0" x="373"/>
        <item h="1" sd="0" m="1" x="1057"/>
        <item h="1" x="767"/>
        <item h="1" sd="0" x="720"/>
        <item h="1" sd="0" x="418"/>
        <item h="1" sd="0" x="308"/>
        <item h="1" sd="0" m="1" x="1017"/>
        <item h="1" sd="0" m="1" x="1083"/>
        <item h="1" sd="0" x="122"/>
        <item h="1" sd="0" x="118"/>
        <item h="1" sd="0" x="661"/>
        <item h="1" sd="0" m="1" x="1037"/>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22"/>
        <item h="1" sd="0" x="652"/>
        <item h="1" sd="0" x="647"/>
        <item h="1" sd="0" x="608"/>
        <item h="1" x="858"/>
        <item h="1" sd="0" x="328"/>
        <item h="1" sd="0" x="350"/>
        <item h="1" sd="0" x="254"/>
        <item h="1" sd="0" x="320"/>
        <item h="1" sd="0" x="620"/>
        <item h="1" x="819"/>
        <item h="1" sd="0" x="241"/>
        <item h="1" sd="0" x="158"/>
        <item h="1" sd="0" m="1" x="1014"/>
        <item h="1" sd="0" x="475"/>
        <item h="1" x="782"/>
        <item h="1" sd="0" x="416"/>
        <item h="1" sd="0" m="1" x="979"/>
        <item h="1" sd="0" m="1" x="1070"/>
        <item h="1" sd="0" m="1" x="885"/>
        <item h="1" sd="0" x="529"/>
        <item h="1" sd="0" m="1" x="873"/>
        <item h="1" sd="0" x="657"/>
        <item h="1" x="739"/>
        <item h="1" sd="0" m="1" x="937"/>
        <item h="1" sd="0" x="143"/>
        <item h="1" sd="0" m="1" x="872"/>
        <item h="1" sd="0" m="1" x="1074"/>
        <item h="1" sd="0" x="276"/>
        <item h="1" sd="0" x="298"/>
        <item h="1" sd="0" x="424"/>
        <item h="1" sd="0" x="696"/>
        <item h="1" sd="0" x="346"/>
        <item h="1" sd="0" x="485"/>
        <item h="1" sd="0" x="306"/>
        <item h="1" sd="0" x="561"/>
        <item h="1" sd="0" m="1" x="1098"/>
        <item h="1" sd="0" x="321"/>
        <item h="1" sd="0" x="313"/>
        <item h="1" sd="0" x="49"/>
        <item h="1" sd="0" x="384"/>
        <item h="1" x="836"/>
        <item h="1" sd="0" x="315"/>
        <item h="1" sd="0" x="466"/>
        <item h="1" sd="0" x="59"/>
        <item h="1" sd="0" x="183"/>
        <item h="1" sd="0" x="707"/>
        <item h="1" sd="0" x="330"/>
        <item h="1" sd="0" x="573"/>
        <item h="1" sd="0" x="274"/>
        <item h="1" sd="0" x="730"/>
        <item h="1" sd="0" m="1" x="867"/>
        <item h="1" sd="0" x="638"/>
        <item h="1" sd="0" x="504"/>
        <item h="1" sd="0" x="311"/>
        <item h="1" sd="0" x="249"/>
        <item h="1" sd="0" m="1" x="915"/>
        <item h="1" sd="0" m="1" x="1018"/>
        <item h="1" sd="0" x="578"/>
        <item h="1" sd="0" m="1" x="1120"/>
        <item h="1" x="861"/>
        <item h="1" sd="0" x="552"/>
        <item h="1" sd="0" m="1" x="974"/>
        <item h="1" sd="0" m="1" x="956"/>
        <item h="1" sd="0" m="1" x="955"/>
        <item h="1" sd="0" x="382"/>
        <item h="1" sd="0" x="90"/>
        <item h="1" sd="0" x="390"/>
        <item h="1" sd="0" x="202"/>
        <item h="1" sd="0" x="67"/>
        <item h="1" sd="0" m="1" x="1049"/>
        <item h="1" sd="0" x="701"/>
        <item h="1" sd="0" x="65"/>
        <item h="1" sd="0" x="247"/>
        <item h="1" sd="0" m="1" x="926"/>
        <item h="1" sd="0" x="712"/>
        <item h="1" sd="0" x="216"/>
        <item h="1" sd="0" m="1" x="938"/>
        <item h="1" sd="0" x="141"/>
        <item h="1" sd="0" x="177"/>
        <item h="1" sd="0" x="305"/>
        <item h="1" sd="0" m="1" x="934"/>
        <item h="1" sd="0" x="426"/>
        <item h="1" sd="0" x="404"/>
        <item sd="0" x="655"/>
        <item h="1" x="737"/>
        <item h="1" sd="0" x="400"/>
        <item h="1" sd="0" x="347"/>
        <item h="1" sd="0" m="1" x="1112"/>
        <item h="1" sd="0" m="1" x="998"/>
        <item h="1" sd="0" x="293"/>
        <item h="1" sd="0" x="148"/>
        <item h="1" sd="0" x="354"/>
        <item h="1" x="787"/>
        <item h="1" sd="0" m="1" x="1052"/>
        <item h="1" sd="0" x="27"/>
        <item h="1" sd="0" m="1" x="1062"/>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40"/>
        <item h="1" sd="0" x="586"/>
        <item h="1" sd="0" x="412"/>
        <item h="1" sd="0" x="516"/>
        <item h="1" x="832"/>
        <item h="1" sd="0" x="29"/>
        <item h="1" sd="0" m="1" x="1106"/>
        <item h="1" sd="0" x="9"/>
        <item h="1" x="761"/>
        <item h="1" sd="0" x="335"/>
        <item h="1" sd="0" m="1" x="1002"/>
        <item h="1" sd="0" m="1" x="1028"/>
        <item h="1" sd="0" m="1" x="969"/>
        <item h="1" sd="0" x="234"/>
        <item h="1" sd="0" x="162"/>
        <item h="1" sd="0" x="410"/>
        <item h="1" sd="0" m="1" x="942"/>
        <item h="1" sd="0" x="629"/>
        <item h="1" sd="0" m="1" x="1073"/>
        <item h="1" sd="0" m="1" x="1103"/>
        <item h="1" sd="0" x="477"/>
        <item h="1" sd="0" x="544"/>
        <item h="1" sd="0" x="546"/>
        <item h="1" sd="0" m="1" x="927"/>
        <item h="1" sd="0" x="615"/>
        <item h="1" sd="0" x="682"/>
        <item h="1" sd="0" m="1" x="1087"/>
        <item h="1" sd="0" x="300"/>
        <item h="1" sd="0" x="167"/>
        <item h="1" sd="0" x="76"/>
        <item h="1" sd="0" x="444"/>
        <item h="1" sd="0" m="1" x="1066"/>
        <item h="1" sd="0" x="342"/>
        <item sd="0" x="734"/>
        <item h="1" m="1" x="874"/>
        <item h="1" sd="0" x="341"/>
        <item h="1" x="769"/>
        <item h="1" sd="0" m="1" x="903"/>
        <item h="1" sd="0" m="1" x="965"/>
        <item h="1" sd="0" x="618"/>
        <item h="1" sd="0" m="1" x="1041"/>
        <item h="1" sd="0" m="1" x="1020"/>
        <item h="1" sd="0" x="380"/>
        <item h="1" m="1" x="871"/>
        <item h="1" sd="0" x="433"/>
        <item h="1" sd="0" m="1" x="1059"/>
        <item h="1" sd="0" x="113"/>
        <item h="1" x="770"/>
        <item h="1" sd="0" x="559"/>
        <item h="1" sd="0" x="251"/>
        <item h="1" sd="0" x="176"/>
        <item h="1" sd="0" x="446"/>
        <item h="1" sd="0" x="372"/>
        <item h="1" sd="0" x="246"/>
        <item h="1" x="732"/>
        <item h="1" sd="0" m="1" x="891"/>
        <item h="1" sd="0" x="257"/>
        <item h="1" sd="0" x="95"/>
        <item h="1" x="809"/>
        <item h="1" x="772"/>
        <item sd="0" x="338"/>
        <item h="1" sd="0" x="36"/>
        <item h="1" sd="0" m="1" x="944"/>
        <item h="1" sd="0" x="381"/>
        <item h="1" sd="0" x="21"/>
        <item t="default" sd="0"/>
      </items>
    </pivotField>
    <pivotField axis="axisPage" showAll="0">
      <items count="1040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01"/>
        <item x="10402"/>
        <item x="10341"/>
        <item x="10342"/>
        <item x="10343"/>
        <item x="10347"/>
        <item x="10349"/>
        <item x="10334"/>
        <item x="10335"/>
        <item x="10403"/>
        <item x="10350"/>
        <item x="10352"/>
        <item x="10353"/>
        <item x="10397"/>
        <item x="10279"/>
        <item x="10354"/>
        <item x="1039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398"/>
        <item x="10399"/>
        <item x="10404"/>
        <item x="10238"/>
        <item x="10380"/>
        <item x="10386"/>
        <item x="10387"/>
        <item x="10388"/>
        <item x="10389"/>
        <item x="10390"/>
        <item x="10391"/>
        <item x="10392"/>
        <item x="10393"/>
        <item x="10394"/>
        <item x="10400"/>
        <item x="10405"/>
        <item x="10248"/>
        <item x="10268"/>
        <item x="10269"/>
        <item x="10395"/>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5"/>
    </i>
    <i>
      <x v="276"/>
    </i>
    <i>
      <x v="279"/>
    </i>
    <i>
      <x v="357"/>
    </i>
    <i>
      <x v="359"/>
    </i>
    <i>
      <x v="385"/>
    </i>
    <i>
      <x v="483"/>
    </i>
    <i>
      <x v="561"/>
    </i>
    <i>
      <x v="562"/>
    </i>
    <i>
      <x v="573"/>
    </i>
    <i>
      <x v="686"/>
    </i>
    <i>
      <x v="692"/>
    </i>
    <i>
      <x v="769"/>
    </i>
    <i>
      <x v="806"/>
    </i>
    <i>
      <x v="819"/>
    </i>
    <i>
      <x v="836"/>
    </i>
    <i>
      <x v="857"/>
    </i>
    <i>
      <x v="875"/>
    </i>
    <i>
      <x v="1030"/>
    </i>
    <i>
      <x v="1053"/>
    </i>
    <i>
      <x v="1094"/>
    </i>
    <i>
      <x v="112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324">
      <pivotArea type="all" dataOnly="0" outline="0" fieldPosition="0"/>
    </format>
    <format dxfId="1323">
      <pivotArea outline="0" collapsedLevelsAreSubtotals="1" fieldPosition="0"/>
    </format>
    <format dxfId="1322">
      <pivotArea dataOnly="0" labelOnly="1" outline="0" fieldPosition="0">
        <references count="1">
          <reference field="4294967294" count="3">
            <x v="0"/>
            <x v="1"/>
            <x v="2"/>
          </reference>
        </references>
      </pivotArea>
    </format>
    <format dxfId="1321">
      <pivotArea type="all" dataOnly="0" outline="0" fieldPosition="0"/>
    </format>
    <format dxfId="1320">
      <pivotArea outline="0" collapsedLevelsAreSubtotals="1" fieldPosition="0"/>
    </format>
    <format dxfId="1319">
      <pivotArea field="1" type="button" dataOnly="0" labelOnly="1" outline="0" axis="axisRow" fieldPosition="1"/>
    </format>
    <format dxfId="13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16">
      <pivotArea dataOnly="0" labelOnly="1" grandRow="1" outline="0" fieldPosition="0"/>
    </format>
    <format dxfId="1315">
      <pivotArea dataOnly="0" labelOnly="1" outline="0" fieldPosition="0">
        <references count="1">
          <reference field="4294967294" count="3">
            <x v="0"/>
            <x v="1"/>
            <x v="2"/>
          </reference>
        </references>
      </pivotArea>
    </format>
    <format dxfId="1314">
      <pivotArea type="all" dataOnly="0" outline="0" fieldPosition="0"/>
    </format>
    <format dxfId="1313">
      <pivotArea outline="0" collapsedLevelsAreSubtotals="1" fieldPosition="0"/>
    </format>
    <format dxfId="1312">
      <pivotArea field="1" type="button" dataOnly="0" labelOnly="1" outline="0" axis="axisRow" fieldPosition="1"/>
    </format>
    <format dxfId="131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1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09">
      <pivotArea dataOnly="0" labelOnly="1" grandRow="1" outline="0" fieldPosition="0"/>
    </format>
    <format dxfId="1308">
      <pivotArea dataOnly="0" labelOnly="1" outline="0" fieldPosition="0">
        <references count="1">
          <reference field="4294967294" count="3">
            <x v="0"/>
            <x v="1"/>
            <x v="2"/>
          </reference>
        </references>
      </pivotArea>
    </format>
    <format dxfId="1307">
      <pivotArea type="all" dataOnly="0" outline="0" fieldPosition="0"/>
    </format>
    <format dxfId="1306">
      <pivotArea outline="0" collapsedLevelsAreSubtotals="1" fieldPosition="0"/>
    </format>
    <format dxfId="1305">
      <pivotArea field="1" type="button" dataOnly="0" labelOnly="1" outline="0" axis="axisRow" fieldPosition="1"/>
    </format>
    <format dxfId="130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0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302">
      <pivotArea dataOnly="0" labelOnly="1" grandRow="1" outline="0" fieldPosition="0"/>
    </format>
    <format dxfId="1301">
      <pivotArea dataOnly="0" labelOnly="1" outline="0" fieldPosition="0">
        <references count="1">
          <reference field="4294967294" count="3">
            <x v="0"/>
            <x v="1"/>
            <x v="2"/>
          </reference>
        </references>
      </pivotArea>
    </format>
    <format dxfId="1300">
      <pivotArea dataOnly="0" labelOnly="1" outline="0" fieldPosition="0">
        <references count="1">
          <reference field="4294967294" count="1">
            <x v="2"/>
          </reference>
        </references>
      </pivotArea>
    </format>
    <format dxfId="1299">
      <pivotArea dataOnly="0" labelOnly="1" outline="0" fieldPosition="0">
        <references count="1">
          <reference field="4294967294" count="1">
            <x v="2"/>
          </reference>
        </references>
      </pivotArea>
    </format>
    <format dxfId="1298">
      <pivotArea dataOnly="0" labelOnly="1" outline="0" fieldPosition="0">
        <references count="1">
          <reference field="4294967294" count="2">
            <x v="0"/>
            <x v="1"/>
          </reference>
        </references>
      </pivotArea>
    </format>
    <format dxfId="1297">
      <pivotArea dataOnly="0" labelOnly="1" outline="0" fieldPosition="0">
        <references count="1">
          <reference field="4294967294" count="2">
            <x v="0"/>
            <x v="1"/>
          </reference>
        </references>
      </pivotArea>
    </format>
    <format dxfId="1296">
      <pivotArea dataOnly="0" labelOnly="1" outline="0" fieldPosition="0">
        <references count="1">
          <reference field="4294967294" count="2">
            <x v="0"/>
            <x v="1"/>
          </reference>
        </references>
      </pivotArea>
    </format>
    <format dxfId="1295">
      <pivotArea dataOnly="0" labelOnly="1" outline="0" fieldPosition="0">
        <references count="1">
          <reference field="4294967294" count="2">
            <x v="0"/>
            <x v="1"/>
          </reference>
        </references>
      </pivotArea>
    </format>
    <format dxfId="1294">
      <pivotArea field="1" type="button" dataOnly="0" labelOnly="1" outline="0" axis="axisRow" fieldPosition="1"/>
    </format>
    <format dxfId="1293">
      <pivotArea field="1" type="button" dataOnly="0" labelOnly="1" outline="0" axis="axisRow" fieldPosition="1"/>
    </format>
    <format dxfId="1292">
      <pivotArea field="1" type="button" dataOnly="0" labelOnly="1" outline="0" axis="axisRow" fieldPosition="1"/>
    </format>
    <format dxfId="1291">
      <pivotArea dataOnly="0" labelOnly="1" outline="0" fieldPosition="0">
        <references count="1">
          <reference field="4294967294" count="3">
            <x v="0"/>
            <x v="1"/>
            <x v="2"/>
          </reference>
        </references>
      </pivotArea>
    </format>
    <format dxfId="1290">
      <pivotArea field="1" type="button" dataOnly="0" labelOnly="1" outline="0" axis="axisRow" fieldPosition="1"/>
    </format>
    <format dxfId="1289">
      <pivotArea dataOnly="0" labelOnly="1" outline="0" fieldPosition="0">
        <references count="1">
          <reference field="4294967294" count="3">
            <x v="0"/>
            <x v="1"/>
            <x v="2"/>
          </reference>
        </references>
      </pivotArea>
    </format>
    <format dxfId="1288">
      <pivotArea outline="0" collapsedLevelsAreSubtotals="1" fieldPosition="0"/>
    </format>
    <format dxfId="128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8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85">
      <pivotArea dataOnly="0" labelOnly="1" grandRow="1" outline="0" fieldPosition="0"/>
    </format>
    <format dxfId="1284">
      <pivotArea collapsedLevelsAreSubtotals="1" fieldPosition="0">
        <references count="1">
          <reference field="1" count="1">
            <x v="67"/>
          </reference>
        </references>
      </pivotArea>
    </format>
    <format dxfId="1283">
      <pivotArea collapsedLevelsAreSubtotals="1" fieldPosition="0">
        <references count="1">
          <reference field="1" count="1">
            <x v="68"/>
          </reference>
        </references>
      </pivotArea>
    </format>
    <format dxfId="1282">
      <pivotArea collapsedLevelsAreSubtotals="1" fieldPosition="0">
        <references count="1">
          <reference field="1" count="1">
            <x v="69"/>
          </reference>
        </references>
      </pivotArea>
    </format>
    <format dxfId="1281">
      <pivotArea collapsedLevelsAreSubtotals="1" fieldPosition="0">
        <references count="1">
          <reference field="1" count="1">
            <x v="70"/>
          </reference>
        </references>
      </pivotArea>
    </format>
    <format dxfId="1280">
      <pivotArea collapsedLevelsAreSubtotals="1" fieldPosition="0">
        <references count="1">
          <reference field="1" count="1">
            <x v="71"/>
          </reference>
        </references>
      </pivotArea>
    </format>
    <format dxfId="1279">
      <pivotArea collapsedLevelsAreSubtotals="1" fieldPosition="0">
        <references count="1">
          <reference field="1" count="1">
            <x v="72"/>
          </reference>
        </references>
      </pivotArea>
    </format>
    <format dxfId="1278">
      <pivotArea collapsedLevelsAreSubtotals="1" fieldPosition="0">
        <references count="1">
          <reference field="1" count="1">
            <x v="73"/>
          </reference>
        </references>
      </pivotArea>
    </format>
    <format dxfId="1277">
      <pivotArea collapsedLevelsAreSubtotals="1" fieldPosition="0">
        <references count="1">
          <reference field="1" count="1">
            <x v="74"/>
          </reference>
        </references>
      </pivotArea>
    </format>
    <format dxfId="1276">
      <pivotArea collapsedLevelsAreSubtotals="1" fieldPosition="0">
        <references count="1">
          <reference field="1" count="1">
            <x v="75"/>
          </reference>
        </references>
      </pivotArea>
    </format>
    <format dxfId="1275">
      <pivotArea collapsedLevelsAreSubtotals="1" fieldPosition="0">
        <references count="1">
          <reference field="1" count="1">
            <x v="76"/>
          </reference>
        </references>
      </pivotArea>
    </format>
    <format dxfId="1274">
      <pivotArea collapsedLevelsAreSubtotals="1" fieldPosition="0">
        <references count="1">
          <reference field="1" count="1">
            <x v="77"/>
          </reference>
        </references>
      </pivotArea>
    </format>
    <format dxfId="1273">
      <pivotArea collapsedLevelsAreSubtotals="1" fieldPosition="0">
        <references count="1">
          <reference field="1" count="1">
            <x v="78"/>
          </reference>
        </references>
      </pivotArea>
    </format>
    <format dxfId="1272">
      <pivotArea collapsedLevelsAreSubtotals="1" fieldPosition="0">
        <references count="1">
          <reference field="1" count="1">
            <x v="79"/>
          </reference>
        </references>
      </pivotArea>
    </format>
    <format dxfId="1271">
      <pivotArea collapsedLevelsAreSubtotals="1" fieldPosition="0">
        <references count="1">
          <reference field="1" count="1">
            <x v="80"/>
          </reference>
        </references>
      </pivotArea>
    </format>
    <format dxfId="1270">
      <pivotArea collapsedLevelsAreSubtotals="1" fieldPosition="0">
        <references count="1">
          <reference field="1" count="1">
            <x v="81"/>
          </reference>
        </references>
      </pivotArea>
    </format>
    <format dxfId="1269">
      <pivotArea collapsedLevelsAreSubtotals="1" fieldPosition="0">
        <references count="1">
          <reference field="1" count="1">
            <x v="82"/>
          </reference>
        </references>
      </pivotArea>
    </format>
    <format dxfId="1268">
      <pivotArea collapsedLevelsAreSubtotals="1" fieldPosition="0">
        <references count="1">
          <reference field="1" count="1">
            <x v="83"/>
          </reference>
        </references>
      </pivotArea>
    </format>
    <format dxfId="1267">
      <pivotArea collapsedLevelsAreSubtotals="1" fieldPosition="0">
        <references count="1">
          <reference field="1" count="1">
            <x v="84"/>
          </reference>
        </references>
      </pivotArea>
    </format>
    <format dxfId="1266">
      <pivotArea collapsedLevelsAreSubtotals="1" fieldPosition="0">
        <references count="1">
          <reference field="1" count="1">
            <x v="85"/>
          </reference>
        </references>
      </pivotArea>
    </format>
    <format dxfId="1265">
      <pivotArea collapsedLevelsAreSubtotals="1" fieldPosition="0">
        <references count="1">
          <reference field="1" count="1">
            <x v="86"/>
          </reference>
        </references>
      </pivotArea>
    </format>
    <format dxfId="1264">
      <pivotArea collapsedLevelsAreSubtotals="1" fieldPosition="0">
        <references count="1">
          <reference field="1" count="1">
            <x v="87"/>
          </reference>
        </references>
      </pivotArea>
    </format>
    <format dxfId="1263">
      <pivotArea collapsedLevelsAreSubtotals="1" fieldPosition="0">
        <references count="1">
          <reference field="1" count="1">
            <x v="88"/>
          </reference>
        </references>
      </pivotArea>
    </format>
    <format dxfId="1262">
      <pivotArea collapsedLevelsAreSubtotals="1" fieldPosition="0">
        <references count="1">
          <reference field="1" count="1">
            <x v="89"/>
          </reference>
        </references>
      </pivotArea>
    </format>
    <format dxfId="1261">
      <pivotArea collapsedLevelsAreSubtotals="1" fieldPosition="0">
        <references count="1">
          <reference field="1" count="1">
            <x v="90"/>
          </reference>
        </references>
      </pivotArea>
    </format>
    <format dxfId="1260">
      <pivotArea collapsedLevelsAreSubtotals="1" fieldPosition="0">
        <references count="1">
          <reference field="1" count="1">
            <x v="91"/>
          </reference>
        </references>
      </pivotArea>
    </format>
    <format dxfId="1259">
      <pivotArea collapsedLevelsAreSubtotals="1" fieldPosition="0">
        <references count="1">
          <reference field="1" count="1">
            <x v="92"/>
          </reference>
        </references>
      </pivotArea>
    </format>
    <format dxfId="1258">
      <pivotArea collapsedLevelsAreSubtotals="1" fieldPosition="0">
        <references count="1">
          <reference field="1" count="1">
            <x v="93"/>
          </reference>
        </references>
      </pivotArea>
    </format>
    <format dxfId="1257">
      <pivotArea collapsedLevelsAreSubtotals="1" fieldPosition="0">
        <references count="1">
          <reference field="1" count="1">
            <x v="94"/>
          </reference>
        </references>
      </pivotArea>
    </format>
    <format dxfId="1256">
      <pivotArea collapsedLevelsAreSubtotals="1" fieldPosition="0">
        <references count="1">
          <reference field="1" count="1">
            <x v="95"/>
          </reference>
        </references>
      </pivotArea>
    </format>
    <format dxfId="1255">
      <pivotArea collapsedLevelsAreSubtotals="1" fieldPosition="0">
        <references count="1">
          <reference field="1" count="1">
            <x v="96"/>
          </reference>
        </references>
      </pivotArea>
    </format>
    <format dxfId="1254">
      <pivotArea collapsedLevelsAreSubtotals="1" fieldPosition="0">
        <references count="1">
          <reference field="1" count="1">
            <x v="97"/>
          </reference>
        </references>
      </pivotArea>
    </format>
    <format dxfId="1253">
      <pivotArea collapsedLevelsAreSubtotals="1" fieldPosition="0">
        <references count="1">
          <reference field="1" count="1">
            <x v="98"/>
          </reference>
        </references>
      </pivotArea>
    </format>
    <format dxfId="1252">
      <pivotArea collapsedLevelsAreSubtotals="1" fieldPosition="0">
        <references count="1">
          <reference field="1" count="1">
            <x v="99"/>
          </reference>
        </references>
      </pivotArea>
    </format>
    <format dxfId="1251">
      <pivotArea collapsedLevelsAreSubtotals="1" fieldPosition="0">
        <references count="1">
          <reference field="1" count="1">
            <x v="100"/>
          </reference>
        </references>
      </pivotArea>
    </format>
    <format dxfId="1250">
      <pivotArea collapsedLevelsAreSubtotals="1" fieldPosition="0">
        <references count="1">
          <reference field="1" count="1">
            <x v="101"/>
          </reference>
        </references>
      </pivotArea>
    </format>
    <format dxfId="1249">
      <pivotArea collapsedLevelsAreSubtotals="1" fieldPosition="0">
        <references count="1">
          <reference field="1" count="1">
            <x v="102"/>
          </reference>
        </references>
      </pivotArea>
    </format>
    <format dxfId="1248">
      <pivotArea collapsedLevelsAreSubtotals="1" fieldPosition="0">
        <references count="1">
          <reference field="1" count="1">
            <x v="103"/>
          </reference>
        </references>
      </pivotArea>
    </format>
    <format dxfId="1247">
      <pivotArea collapsedLevelsAreSubtotals="1" fieldPosition="0">
        <references count="1">
          <reference field="1" count="1">
            <x v="104"/>
          </reference>
        </references>
      </pivotArea>
    </format>
    <format dxfId="1246">
      <pivotArea collapsedLevelsAreSubtotals="1" fieldPosition="0">
        <references count="1">
          <reference field="1" count="1">
            <x v="105"/>
          </reference>
        </references>
      </pivotArea>
    </format>
    <format dxfId="1245">
      <pivotArea collapsedLevelsAreSubtotals="1" fieldPosition="0">
        <references count="1">
          <reference field="1" count="1">
            <x v="106"/>
          </reference>
        </references>
      </pivotArea>
    </format>
    <format dxfId="1244">
      <pivotArea collapsedLevelsAreSubtotals="1" fieldPosition="0">
        <references count="1">
          <reference field="1" count="1">
            <x v="107"/>
          </reference>
        </references>
      </pivotArea>
    </format>
    <format dxfId="1243">
      <pivotArea collapsedLevelsAreSubtotals="1" fieldPosition="0">
        <references count="1">
          <reference field="1" count="1">
            <x v="108"/>
          </reference>
        </references>
      </pivotArea>
    </format>
    <format dxfId="1242">
      <pivotArea collapsedLevelsAreSubtotals="1" fieldPosition="0">
        <references count="1">
          <reference field="1" count="1">
            <x v="109"/>
          </reference>
        </references>
      </pivotArea>
    </format>
    <format dxfId="1241">
      <pivotArea collapsedLevelsAreSubtotals="1" fieldPosition="0">
        <references count="1">
          <reference field="1" count="1">
            <x v="110"/>
          </reference>
        </references>
      </pivotArea>
    </format>
    <format dxfId="1240">
      <pivotArea collapsedLevelsAreSubtotals="1" fieldPosition="0">
        <references count="1">
          <reference field="1" count="1">
            <x v="111"/>
          </reference>
        </references>
      </pivotArea>
    </format>
    <format dxfId="1239">
      <pivotArea collapsedLevelsAreSubtotals="1" fieldPosition="0">
        <references count="1">
          <reference field="1" count="1">
            <x v="112"/>
          </reference>
        </references>
      </pivotArea>
    </format>
    <format dxfId="1238">
      <pivotArea collapsedLevelsAreSubtotals="1" fieldPosition="0">
        <references count="1">
          <reference field="1" count="1">
            <x v="113"/>
          </reference>
        </references>
      </pivotArea>
    </format>
    <format dxfId="1237">
      <pivotArea collapsedLevelsAreSubtotals="1" fieldPosition="0">
        <references count="1">
          <reference field="1" count="1">
            <x v="114"/>
          </reference>
        </references>
      </pivotArea>
    </format>
    <format dxfId="1236">
      <pivotArea collapsedLevelsAreSubtotals="1" fieldPosition="0">
        <references count="1">
          <reference field="1" count="1">
            <x v="115"/>
          </reference>
        </references>
      </pivotArea>
    </format>
    <format dxfId="1235">
      <pivotArea collapsedLevelsAreSubtotals="1" fieldPosition="0">
        <references count="1">
          <reference field="1" count="1">
            <x v="116"/>
          </reference>
        </references>
      </pivotArea>
    </format>
    <format dxfId="1234">
      <pivotArea collapsedLevelsAreSubtotals="1" fieldPosition="0">
        <references count="1">
          <reference field="1" count="1">
            <x v="117"/>
          </reference>
        </references>
      </pivotArea>
    </format>
    <format dxfId="1233">
      <pivotArea collapsedLevelsAreSubtotals="1" fieldPosition="0">
        <references count="1">
          <reference field="1" count="1">
            <x v="118"/>
          </reference>
        </references>
      </pivotArea>
    </format>
    <format dxfId="1232">
      <pivotArea collapsedLevelsAreSubtotals="1" fieldPosition="0">
        <references count="1">
          <reference field="1" count="1">
            <x v="119"/>
          </reference>
        </references>
      </pivotArea>
    </format>
    <format dxfId="1231">
      <pivotArea collapsedLevelsAreSubtotals="1" fieldPosition="0">
        <references count="1">
          <reference field="1" count="1">
            <x v="120"/>
          </reference>
        </references>
      </pivotArea>
    </format>
    <format dxfId="1230">
      <pivotArea collapsedLevelsAreSubtotals="1" fieldPosition="0">
        <references count="1">
          <reference field="1" count="1">
            <x v="121"/>
          </reference>
        </references>
      </pivotArea>
    </format>
    <format dxfId="122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228">
      <pivotArea dataOnly="0" labelOnly="1" fieldPosition="0">
        <references count="1">
          <reference field="1" count="5">
            <x v="117"/>
            <x v="118"/>
            <x v="119"/>
            <x v="120"/>
            <x v="121"/>
          </reference>
        </references>
      </pivotArea>
    </format>
    <format dxfId="1227">
      <pivotArea dataOnly="0" labelOnly="1" outline="0" fieldPosition="0">
        <references count="1">
          <reference field="4294967294" count="1">
            <x v="2"/>
          </reference>
        </references>
      </pivotArea>
    </format>
    <format dxfId="1226">
      <pivotArea dataOnly="0" labelOnly="1" fieldPosition="0">
        <references count="1">
          <reference field="1" count="7">
            <x v="122"/>
            <x v="123"/>
            <x v="124"/>
            <x v="125"/>
            <x v="126"/>
            <x v="127"/>
            <x v="129"/>
          </reference>
        </references>
      </pivotArea>
    </format>
    <format dxfId="1225">
      <pivotArea dataOnly="0" labelOnly="1" fieldPosition="0">
        <references count="1">
          <reference field="1" count="7">
            <x v="122"/>
            <x v="123"/>
            <x v="124"/>
            <x v="125"/>
            <x v="126"/>
            <x v="127"/>
            <x v="129"/>
          </reference>
        </references>
      </pivotArea>
    </format>
    <format dxfId="1224">
      <pivotArea collapsedLevelsAreSubtotals="1" fieldPosition="0">
        <references count="1">
          <reference field="1" count="1">
            <x v="122"/>
          </reference>
        </references>
      </pivotArea>
    </format>
    <format dxfId="1223">
      <pivotArea collapsedLevelsAreSubtotals="1" fieldPosition="0">
        <references count="1">
          <reference field="1" count="1">
            <x v="123"/>
          </reference>
        </references>
      </pivotArea>
    </format>
    <format dxfId="1222">
      <pivotArea collapsedLevelsAreSubtotals="1" fieldPosition="0">
        <references count="1">
          <reference field="1" count="1">
            <x v="124"/>
          </reference>
        </references>
      </pivotArea>
    </format>
    <format dxfId="1221">
      <pivotArea collapsedLevelsAreSubtotals="1" fieldPosition="0">
        <references count="1">
          <reference field="1" count="1">
            <x v="125"/>
          </reference>
        </references>
      </pivotArea>
    </format>
    <format dxfId="1220">
      <pivotArea collapsedLevelsAreSubtotals="1" fieldPosition="0">
        <references count="1">
          <reference field="1" count="1">
            <x v="126"/>
          </reference>
        </references>
      </pivotArea>
    </format>
    <format dxfId="1219">
      <pivotArea collapsedLevelsAreSubtotals="1" fieldPosition="0">
        <references count="1">
          <reference field="1" count="1">
            <x v="127"/>
          </reference>
        </references>
      </pivotArea>
    </format>
    <format dxfId="1218">
      <pivotArea collapsedLevelsAreSubtotals="1" fieldPosition="0">
        <references count="1">
          <reference field="1" count="1">
            <x v="129"/>
          </reference>
        </references>
      </pivotArea>
    </format>
    <format dxfId="1217">
      <pivotArea dataOnly="0" labelOnly="1" fieldPosition="0">
        <references count="1">
          <reference field="1" count="4">
            <x v="18"/>
            <x v="19"/>
            <x v="30"/>
            <x v="31"/>
          </reference>
        </references>
      </pivotArea>
    </format>
    <format dxfId="1216">
      <pivotArea dataOnly="0" labelOnly="1" fieldPosition="0">
        <references count="1">
          <reference field="1" count="3">
            <x v="17"/>
            <x v="32"/>
            <x v="33"/>
          </reference>
        </references>
      </pivotArea>
    </format>
    <format dxfId="1215">
      <pivotArea dataOnly="0" labelOnly="1" fieldPosition="0">
        <references count="1">
          <reference field="1" count="2">
            <x v="18"/>
            <x v="19"/>
          </reference>
        </references>
      </pivotArea>
    </format>
    <format dxfId="1214">
      <pivotArea dataOnly="0" labelOnly="1" fieldPosition="0">
        <references count="1">
          <reference field="1" count="1">
            <x v="17"/>
          </reference>
        </references>
      </pivotArea>
    </format>
    <format dxfId="1213">
      <pivotArea collapsedLevelsAreSubtotals="1" fieldPosition="0">
        <references count="1">
          <reference field="1" count="1">
            <x v="37"/>
          </reference>
        </references>
      </pivotArea>
    </format>
    <format dxfId="1212">
      <pivotArea collapsedLevelsAreSubtotals="1" fieldPosition="0">
        <references count="1">
          <reference field="1" count="1">
            <x v="38"/>
          </reference>
        </references>
      </pivotArea>
    </format>
    <format dxfId="1211">
      <pivotArea collapsedLevelsAreSubtotals="1" fieldPosition="0">
        <references count="1">
          <reference field="1" count="1">
            <x v="39"/>
          </reference>
        </references>
      </pivotArea>
    </format>
    <format dxfId="1210">
      <pivotArea collapsedLevelsAreSubtotals="1" fieldPosition="0">
        <references count="1">
          <reference field="1" count="1">
            <x v="40"/>
          </reference>
        </references>
      </pivotArea>
    </format>
    <format dxfId="1209">
      <pivotArea collapsedLevelsAreSubtotals="1" fieldPosition="0">
        <references count="1">
          <reference field="1" count="1">
            <x v="41"/>
          </reference>
        </references>
      </pivotArea>
    </format>
    <format dxfId="1208">
      <pivotArea collapsedLevelsAreSubtotals="1" fieldPosition="0">
        <references count="1">
          <reference field="1" count="1">
            <x v="42"/>
          </reference>
        </references>
      </pivotArea>
    </format>
    <format dxfId="1207">
      <pivotArea collapsedLevelsAreSubtotals="1" fieldPosition="0">
        <references count="1">
          <reference field="1" count="1">
            <x v="43"/>
          </reference>
        </references>
      </pivotArea>
    </format>
    <format dxfId="1206">
      <pivotArea collapsedLevelsAreSubtotals="1" fieldPosition="0">
        <references count="1">
          <reference field="1" count="1">
            <x v="44"/>
          </reference>
        </references>
      </pivotArea>
    </format>
    <format dxfId="1205">
      <pivotArea collapsedLevelsAreSubtotals="1" fieldPosition="0">
        <references count="1">
          <reference field="1" count="1">
            <x v="45"/>
          </reference>
        </references>
      </pivotArea>
    </format>
    <format dxfId="1204">
      <pivotArea collapsedLevelsAreSubtotals="1" fieldPosition="0">
        <references count="1">
          <reference field="1" count="1">
            <x v="46"/>
          </reference>
        </references>
      </pivotArea>
    </format>
    <format dxfId="1203">
      <pivotArea collapsedLevelsAreSubtotals="1" fieldPosition="0">
        <references count="1">
          <reference field="1" count="1">
            <x v="47"/>
          </reference>
        </references>
      </pivotArea>
    </format>
    <format dxfId="1202">
      <pivotArea collapsedLevelsAreSubtotals="1" fieldPosition="0">
        <references count="1">
          <reference field="1" count="1">
            <x v="48"/>
          </reference>
        </references>
      </pivotArea>
    </format>
    <format dxfId="1201">
      <pivotArea collapsedLevelsAreSubtotals="1" fieldPosition="0">
        <references count="1">
          <reference field="1" count="1">
            <x v="49"/>
          </reference>
        </references>
      </pivotArea>
    </format>
    <format dxfId="1200">
      <pivotArea collapsedLevelsAreSubtotals="1" fieldPosition="0">
        <references count="1">
          <reference field="1" count="1">
            <x v="50"/>
          </reference>
        </references>
      </pivotArea>
    </format>
    <format dxfId="1199">
      <pivotArea collapsedLevelsAreSubtotals="1" fieldPosition="0">
        <references count="1">
          <reference field="1" count="1">
            <x v="51"/>
          </reference>
        </references>
      </pivotArea>
    </format>
    <format dxfId="1198">
      <pivotArea collapsedLevelsAreSubtotals="1" fieldPosition="0">
        <references count="1">
          <reference field="1" count="1">
            <x v="52"/>
          </reference>
        </references>
      </pivotArea>
    </format>
    <format dxfId="1197">
      <pivotArea collapsedLevelsAreSubtotals="1" fieldPosition="0">
        <references count="1">
          <reference field="1" count="1">
            <x v="53"/>
          </reference>
        </references>
      </pivotArea>
    </format>
    <format dxfId="1196">
      <pivotArea collapsedLevelsAreSubtotals="1" fieldPosition="0">
        <references count="1">
          <reference field="1" count="1">
            <x v="54"/>
          </reference>
        </references>
      </pivotArea>
    </format>
    <format dxfId="1195">
      <pivotArea collapsedLevelsAreSubtotals="1" fieldPosition="0">
        <references count="1">
          <reference field="1" count="1">
            <x v="55"/>
          </reference>
        </references>
      </pivotArea>
    </format>
    <format dxfId="1194">
      <pivotArea collapsedLevelsAreSubtotals="1" fieldPosition="0">
        <references count="1">
          <reference field="1" count="1">
            <x v="56"/>
          </reference>
        </references>
      </pivotArea>
    </format>
    <format dxfId="1193">
      <pivotArea collapsedLevelsAreSubtotals="1" fieldPosition="0">
        <references count="1">
          <reference field="1" count="1">
            <x v="57"/>
          </reference>
        </references>
      </pivotArea>
    </format>
    <format dxfId="1192">
      <pivotArea collapsedLevelsAreSubtotals="1" fieldPosition="0">
        <references count="1">
          <reference field="1" count="1">
            <x v="58"/>
          </reference>
        </references>
      </pivotArea>
    </format>
    <format dxfId="1191">
      <pivotArea collapsedLevelsAreSubtotals="1" fieldPosition="0">
        <references count="1">
          <reference field="1" count="1">
            <x v="59"/>
          </reference>
        </references>
      </pivotArea>
    </format>
    <format dxfId="1190">
      <pivotArea collapsedLevelsAreSubtotals="1" fieldPosition="0">
        <references count="1">
          <reference field="1" count="1">
            <x v="60"/>
          </reference>
        </references>
      </pivotArea>
    </format>
    <format dxfId="1189">
      <pivotArea collapsedLevelsAreSubtotals="1" fieldPosition="0">
        <references count="1">
          <reference field="1" count="1">
            <x v="61"/>
          </reference>
        </references>
      </pivotArea>
    </format>
    <format dxfId="1188">
      <pivotArea collapsedLevelsAreSubtotals="1" fieldPosition="0">
        <references count="1">
          <reference field="1" count="1">
            <x v="62"/>
          </reference>
        </references>
      </pivotArea>
    </format>
    <format dxfId="1187">
      <pivotArea collapsedLevelsAreSubtotals="1" fieldPosition="0">
        <references count="1">
          <reference field="1" count="1">
            <x v="63"/>
          </reference>
        </references>
      </pivotArea>
    </format>
    <format dxfId="1186">
      <pivotArea collapsedLevelsAreSubtotals="1" fieldPosition="0">
        <references count="1">
          <reference field="1" count="1">
            <x v="64"/>
          </reference>
        </references>
      </pivotArea>
    </format>
    <format dxfId="1185">
      <pivotArea collapsedLevelsAreSubtotals="1" fieldPosition="0">
        <references count="1">
          <reference field="1" count="1">
            <x v="65"/>
          </reference>
        </references>
      </pivotArea>
    </format>
    <format dxfId="1184">
      <pivotArea collapsedLevelsAreSubtotals="1" fieldPosition="0">
        <references count="1">
          <reference field="1" count="1">
            <x v="66"/>
          </reference>
        </references>
      </pivotArea>
    </format>
    <format dxfId="118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82">
      <pivotArea collapsedLevelsAreSubtotals="1" fieldPosition="0">
        <references count="2">
          <reference field="4294967294" count="2" selected="0">
            <x v="0"/>
            <x v="1"/>
          </reference>
          <reference field="1" count="1">
            <x v="130"/>
          </reference>
        </references>
      </pivotArea>
    </format>
    <format dxfId="1181">
      <pivotArea collapsedLevelsAreSubtotals="1" fieldPosition="0">
        <references count="2">
          <reference field="4294967294" count="2" selected="0">
            <x v="0"/>
            <x v="1"/>
          </reference>
          <reference field="1" count="1">
            <x v="131"/>
          </reference>
        </references>
      </pivotArea>
    </format>
    <format dxfId="1180">
      <pivotArea collapsedLevelsAreSubtotals="1" fieldPosition="0">
        <references count="2">
          <reference field="4294967294" count="2" selected="0">
            <x v="0"/>
            <x v="1"/>
          </reference>
          <reference field="1" count="1">
            <x v="134"/>
          </reference>
        </references>
      </pivotArea>
    </format>
    <format dxfId="1179">
      <pivotArea collapsedLevelsAreSubtotals="1" fieldPosition="0">
        <references count="2">
          <reference field="4294967294" count="2" selected="0">
            <x v="0"/>
            <x v="1"/>
          </reference>
          <reference field="1" count="1">
            <x v="135"/>
          </reference>
        </references>
      </pivotArea>
    </format>
    <format dxfId="1178">
      <pivotArea collapsedLevelsAreSubtotals="1" fieldPosition="0">
        <references count="2">
          <reference field="4294967294" count="2" selected="0">
            <x v="0"/>
            <x v="1"/>
          </reference>
          <reference field="1" count="1">
            <x v="136"/>
          </reference>
        </references>
      </pivotArea>
    </format>
    <format dxfId="1177">
      <pivotArea collapsedLevelsAreSubtotals="1" fieldPosition="0">
        <references count="2">
          <reference field="4294967294" count="2" selected="0">
            <x v="0"/>
            <x v="1"/>
          </reference>
          <reference field="1" count="1">
            <x v="137"/>
          </reference>
        </references>
      </pivotArea>
    </format>
    <format dxfId="1176">
      <pivotArea collapsedLevelsAreSubtotals="1" fieldPosition="0">
        <references count="2">
          <reference field="4294967294" count="2" selected="0">
            <x v="0"/>
            <x v="1"/>
          </reference>
          <reference field="1" count="1">
            <x v="138"/>
          </reference>
        </references>
      </pivotArea>
    </format>
    <format dxfId="1175">
      <pivotArea collapsedLevelsAreSubtotals="1" fieldPosition="0">
        <references count="2">
          <reference field="4294967294" count="2" selected="0">
            <x v="0"/>
            <x v="1"/>
          </reference>
          <reference field="1" count="1">
            <x v="141"/>
          </reference>
        </references>
      </pivotArea>
    </format>
    <format dxfId="1174">
      <pivotArea dataOnly="0" labelOnly="1" fieldPosition="0">
        <references count="1">
          <reference field="1" count="8">
            <x v="130"/>
            <x v="131"/>
            <x v="134"/>
            <x v="135"/>
            <x v="136"/>
            <x v="137"/>
            <x v="138"/>
            <x v="141"/>
          </reference>
        </references>
      </pivotArea>
    </format>
    <format dxfId="1173">
      <pivotArea collapsedLevelsAreSubtotals="1" fieldPosition="0">
        <references count="2">
          <reference field="4294967294" count="1" selected="0">
            <x v="2"/>
          </reference>
          <reference field="1" count="1">
            <x v="130"/>
          </reference>
        </references>
      </pivotArea>
    </format>
    <format dxfId="1172">
      <pivotArea collapsedLevelsAreSubtotals="1" fieldPosition="0">
        <references count="2">
          <reference field="4294967294" count="1" selected="0">
            <x v="2"/>
          </reference>
          <reference field="1" count="1">
            <x v="131"/>
          </reference>
        </references>
      </pivotArea>
    </format>
    <format dxfId="1171">
      <pivotArea collapsedLevelsAreSubtotals="1" fieldPosition="0">
        <references count="2">
          <reference field="4294967294" count="1" selected="0">
            <x v="2"/>
          </reference>
          <reference field="1" count="1">
            <x v="134"/>
          </reference>
        </references>
      </pivotArea>
    </format>
    <format dxfId="1170">
      <pivotArea collapsedLevelsAreSubtotals="1" fieldPosition="0">
        <references count="2">
          <reference field="4294967294" count="1" selected="0">
            <x v="2"/>
          </reference>
          <reference field="1" count="1">
            <x v="135"/>
          </reference>
        </references>
      </pivotArea>
    </format>
    <format dxfId="1169">
      <pivotArea collapsedLevelsAreSubtotals="1" fieldPosition="0">
        <references count="2">
          <reference field="4294967294" count="1" selected="0">
            <x v="2"/>
          </reference>
          <reference field="1" count="1">
            <x v="136"/>
          </reference>
        </references>
      </pivotArea>
    </format>
    <format dxfId="1168">
      <pivotArea collapsedLevelsAreSubtotals="1" fieldPosition="0">
        <references count="2">
          <reference field="4294967294" count="1" selected="0">
            <x v="2"/>
          </reference>
          <reference field="1" count="1">
            <x v="137"/>
          </reference>
        </references>
      </pivotArea>
    </format>
    <format dxfId="1167">
      <pivotArea collapsedLevelsAreSubtotals="1" fieldPosition="0">
        <references count="2">
          <reference field="4294967294" count="1" selected="0">
            <x v="2"/>
          </reference>
          <reference field="1" count="1">
            <x v="138"/>
          </reference>
        </references>
      </pivotArea>
    </format>
    <format dxfId="1166">
      <pivotArea collapsedLevelsAreSubtotals="1" fieldPosition="0">
        <references count="2">
          <reference field="4294967294" count="1" selected="0">
            <x v="2"/>
          </reference>
          <reference field="1" count="1">
            <x v="141"/>
          </reference>
        </references>
      </pivotArea>
    </format>
    <format dxfId="1165">
      <pivotArea collapsedLevelsAreSubtotals="1" fieldPosition="0">
        <references count="2">
          <reference field="1" count="2">
            <x v="39"/>
            <x v="103"/>
          </reference>
          <reference field="2" count="1" selected="0">
            <x v="769"/>
          </reference>
        </references>
      </pivotArea>
    </format>
    <format dxfId="1164">
      <pivotArea dataOnly="0" labelOnly="1" fieldPosition="0">
        <references count="2">
          <reference field="1" count="2">
            <x v="39"/>
            <x v="103"/>
          </reference>
          <reference field="2" count="1" selected="0">
            <x v="769"/>
          </reference>
        </references>
      </pivotArea>
    </format>
    <format dxfId="1163">
      <pivotArea dataOnly="0" labelOnly="1" fieldPosition="0">
        <references count="2">
          <reference field="1" count="9">
            <x v="0"/>
            <x v="1"/>
            <x v="2"/>
            <x v="3"/>
            <x v="17"/>
            <x v="25"/>
            <x v="33"/>
            <x v="39"/>
            <x v="103"/>
          </reference>
          <reference field="2" count="1" selected="0">
            <x v="76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7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403">
        <item x="0"/>
        <item x="1"/>
        <item x="2"/>
        <item x="4"/>
        <item x="5"/>
        <item x="7"/>
        <item x="8"/>
        <item x="9"/>
        <item m="1" x="1254"/>
        <item x="10"/>
        <item x="11"/>
        <item m="1" x="1258"/>
        <item x="12"/>
        <item x="13"/>
        <item x="14"/>
        <item x="16"/>
        <item x="18"/>
        <item x="3"/>
        <item x="6"/>
        <item x="17"/>
        <item x="15"/>
        <item m="1" x="1260"/>
        <item m="1" x="1259"/>
        <item x="21"/>
        <item x="19"/>
        <item x="23"/>
        <item m="1" x="1261"/>
        <item x="24"/>
        <item x="20"/>
        <item x="28"/>
        <item m="1" x="1262"/>
        <item x="22"/>
        <item x="39"/>
        <item x="25"/>
        <item x="29"/>
        <item x="35"/>
        <item x="26"/>
        <item x="27"/>
        <item x="38"/>
        <item x="30"/>
        <item x="31"/>
        <item x="32"/>
        <item m="1" x="1263"/>
        <item x="37"/>
        <item m="1" x="1264"/>
        <item m="1" x="1265"/>
        <item x="44"/>
        <item x="34"/>
        <item x="40"/>
        <item x="33"/>
        <item x="36"/>
        <item x="60"/>
        <item x="42"/>
        <item m="1" x="1267"/>
        <item x="41"/>
        <item x="47"/>
        <item x="43"/>
        <item m="1" x="1266"/>
        <item x="50"/>
        <item x="45"/>
        <item x="46"/>
        <item x="52"/>
        <item m="1" x="1268"/>
        <item x="53"/>
        <item x="56"/>
        <item x="49"/>
        <item x="48"/>
        <item m="1" x="1269"/>
        <item x="51"/>
        <item m="1" x="1270"/>
        <item x="54"/>
        <item x="55"/>
        <item x="62"/>
        <item x="57"/>
        <item x="58"/>
        <item x="59"/>
        <item x="61"/>
        <item x="63"/>
        <item x="64"/>
        <item x="65"/>
        <item x="66"/>
        <item x="67"/>
        <item x="68"/>
        <item m="1" x="1271"/>
        <item m="1" x="1272"/>
        <item x="69"/>
        <item x="70"/>
        <item x="76"/>
        <item m="1" x="1273"/>
        <item m="1" x="1274"/>
        <item m="1" x="1275"/>
        <item x="71"/>
        <item x="72"/>
        <item x="73"/>
        <item x="74"/>
        <item x="75"/>
        <item x="77"/>
        <item x="78"/>
        <item x="79"/>
        <item m="1" x="1276"/>
        <item x="87"/>
        <item x="80"/>
        <item m="1" x="1277"/>
        <item x="81"/>
        <item x="82"/>
        <item x="83"/>
        <item x="84"/>
        <item x="85"/>
        <item x="86"/>
        <item x="88"/>
        <item x="89"/>
        <item x="90"/>
        <item x="91"/>
        <item m="1" x="1278"/>
        <item x="92"/>
        <item x="93"/>
        <item x="94"/>
        <item x="95"/>
        <item m="1" x="1279"/>
        <item x="96"/>
        <item m="1" x="1280"/>
        <item x="97"/>
        <item x="104"/>
        <item x="98"/>
        <item x="109"/>
        <item x="99"/>
        <item x="100"/>
        <item x="101"/>
        <item x="102"/>
        <item x="103"/>
        <item x="105"/>
        <item x="106"/>
        <item x="107"/>
        <item x="108"/>
        <item x="110"/>
        <item x="111"/>
        <item m="1" x="128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2"/>
        <item m="1" x="1283"/>
        <item x="140"/>
        <item x="166"/>
        <item x="145"/>
        <item x="142"/>
        <item x="190"/>
        <item x="143"/>
        <item m="1" x="128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5"/>
        <item x="178"/>
        <item x="179"/>
        <item x="180"/>
        <item x="181"/>
        <item x="141"/>
        <item x="154"/>
        <item x="168"/>
        <item x="182"/>
        <item x="184"/>
        <item x="216"/>
        <item m="1" x="1286"/>
        <item x="186"/>
        <item x="185"/>
        <item x="187"/>
        <item x="188"/>
        <item x="191"/>
        <item x="192"/>
        <item x="193"/>
        <item x="194"/>
        <item x="195"/>
        <item x="196"/>
        <item x="197"/>
        <item x="199"/>
        <item x="200"/>
        <item x="201"/>
        <item m="1" x="1366"/>
        <item m="1" x="1367"/>
        <item m="1" x="1391"/>
        <item m="1" x="1320"/>
        <item x="204"/>
        <item x="202"/>
        <item x="203"/>
        <item x="205"/>
        <item x="206"/>
        <item x="183"/>
        <item x="207"/>
        <item x="208"/>
        <item x="209"/>
        <item x="210"/>
        <item x="211"/>
        <item m="1" x="1321"/>
        <item m="1" x="1322"/>
        <item m="1" x="1323"/>
        <item m="1" x="1324"/>
        <item x="222"/>
        <item x="212"/>
        <item x="213"/>
        <item x="214"/>
        <item x="215"/>
        <item x="217"/>
        <item m="1" x="1392"/>
        <item x="218"/>
        <item x="219"/>
        <item x="220"/>
        <item m="1" x="1287"/>
        <item m="1" x="1288"/>
        <item x="221"/>
        <item x="223"/>
        <item x="224"/>
        <item x="228"/>
        <item x="229"/>
        <item x="230"/>
        <item x="231"/>
        <item x="232"/>
        <item x="233"/>
        <item x="234"/>
        <item x="235"/>
        <item x="241"/>
        <item x="236"/>
        <item x="237"/>
        <item x="238"/>
        <item x="239"/>
        <item x="240"/>
        <item x="242"/>
        <item x="243"/>
        <item m="1" x="1289"/>
        <item x="244"/>
        <item x="245"/>
        <item m="1" x="137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5"/>
        <item x="373"/>
        <item x="114"/>
        <item x="279"/>
        <item x="280"/>
        <item x="226"/>
        <item m="1" x="1290"/>
        <item x="281"/>
        <item x="282"/>
        <item m="1" x="1380"/>
        <item x="283"/>
        <item x="284"/>
        <item x="285"/>
        <item x="286"/>
        <item x="287"/>
        <item x="288"/>
        <item x="135"/>
        <item x="289"/>
        <item x="290"/>
        <item x="291"/>
        <item x="292"/>
        <item x="293"/>
        <item x="294"/>
        <item x="295"/>
        <item x="296"/>
        <item x="370"/>
        <item x="297"/>
        <item x="298"/>
        <item x="299"/>
        <item x="300"/>
        <item x="301"/>
        <item m="1" x="1385"/>
        <item x="303"/>
        <item x="302"/>
        <item x="304"/>
        <item m="1" x="1376"/>
        <item x="312"/>
        <item x="309"/>
        <item x="308"/>
        <item m="1" x="1398"/>
        <item x="305"/>
        <item x="311"/>
        <item x="306"/>
        <item x="307"/>
        <item x="227"/>
        <item x="310"/>
        <item x="313"/>
        <item x="314"/>
        <item x="315"/>
        <item x="316"/>
        <item x="321"/>
        <item x="317"/>
        <item x="318"/>
        <item x="320"/>
        <item x="319"/>
        <item x="322"/>
        <item x="323"/>
        <item x="324"/>
        <item x="325"/>
        <item x="326"/>
        <item x="327"/>
        <item x="328"/>
        <item m="1" x="1326"/>
        <item x="329"/>
        <item x="330"/>
        <item x="331"/>
        <item x="332"/>
        <item x="333"/>
        <item x="334"/>
        <item m="1" x="1316"/>
        <item m="1" x="1317"/>
        <item m="1" x="1318"/>
        <item m="1" x="1319"/>
        <item m="1" x="1379"/>
        <item x="336"/>
        <item x="335"/>
        <item x="337"/>
        <item x="338"/>
        <item x="339"/>
        <item x="351"/>
        <item x="340"/>
        <item x="341"/>
        <item x="342"/>
        <item m="1" x="1291"/>
        <item x="343"/>
        <item x="344"/>
        <item x="345"/>
        <item x="346"/>
        <item x="361"/>
        <item x="347"/>
        <item x="348"/>
        <item x="349"/>
        <item x="350"/>
        <item x="355"/>
        <item x="352"/>
        <item x="354"/>
        <item x="353"/>
        <item x="371"/>
        <item x="362"/>
        <item x="356"/>
        <item x="357"/>
        <item x="358"/>
        <item x="359"/>
        <item x="360"/>
        <item m="1" x="1292"/>
        <item x="363"/>
        <item x="364"/>
        <item x="365"/>
        <item x="366"/>
        <item x="367"/>
        <item x="368"/>
        <item x="369"/>
        <item m="1" x="1293"/>
        <item m="1" x="1386"/>
        <item m="1" x="1387"/>
        <item x="372"/>
        <item x="374"/>
        <item m="1" x="1294"/>
        <item x="378"/>
        <item x="381"/>
        <item x="375"/>
        <item x="376"/>
        <item x="377"/>
        <item m="1" x="1295"/>
        <item x="379"/>
        <item x="380"/>
        <item x="382"/>
        <item x="383"/>
        <item x="384"/>
        <item x="385"/>
        <item m="1" x="1393"/>
        <item m="1" x="1388"/>
        <item x="386"/>
        <item x="387"/>
        <item x="388"/>
        <item m="1" x="1296"/>
        <item m="1" x="1297"/>
        <item x="389"/>
        <item x="390"/>
        <item x="393"/>
        <item x="391"/>
        <item x="392"/>
        <item x="394"/>
        <item x="395"/>
        <item x="396"/>
        <item x="397"/>
        <item x="398"/>
        <item x="399"/>
        <item m="1" x="1298"/>
        <item x="400"/>
        <item x="401"/>
        <item x="402"/>
        <item x="403"/>
        <item x="404"/>
        <item x="405"/>
        <item m="1" x="1299"/>
        <item x="406"/>
        <item x="407"/>
        <item x="409"/>
        <item x="410"/>
        <item x="411"/>
        <item x="412"/>
        <item m="1" x="1327"/>
        <item x="413"/>
        <item x="414"/>
        <item x="415"/>
        <item x="408"/>
        <item x="416"/>
        <item m="1" x="1400"/>
        <item x="421"/>
        <item m="1" x="1371"/>
        <item x="417"/>
        <item x="418"/>
        <item x="420"/>
        <item m="1" x="1394"/>
        <item x="419"/>
        <item m="1" x="1328"/>
        <item x="422"/>
        <item x="423"/>
        <item x="424"/>
        <item x="425"/>
        <item x="426"/>
        <item x="427"/>
        <item x="428"/>
        <item x="429"/>
        <item x="430"/>
        <item x="431"/>
        <item x="432"/>
        <item x="433"/>
        <item x="434"/>
        <item x="435"/>
        <item x="436"/>
        <item x="437"/>
        <item x="438"/>
        <item x="439"/>
        <item x="440"/>
        <item x="441"/>
        <item x="442"/>
        <item x="443"/>
        <item m="1" x="1382"/>
        <item x="444"/>
        <item x="445"/>
        <item x="446"/>
        <item m="1" x="1381"/>
        <item x="447"/>
        <item m="1" x="1384"/>
        <item x="448"/>
        <item m="1" x="1396"/>
        <item x="449"/>
        <item x="450"/>
        <item m="1" x="1300"/>
        <item x="451"/>
        <item x="452"/>
        <item x="453"/>
        <item x="454"/>
        <item x="455"/>
        <item m="1" x="1329"/>
        <item x="456"/>
        <item x="457"/>
        <item x="458"/>
        <item x="459"/>
        <item x="460"/>
        <item x="461"/>
        <item x="462"/>
        <item m="1" x="1301"/>
        <item x="463"/>
        <item x="464"/>
        <item x="465"/>
        <item x="466"/>
        <item x="467"/>
        <item x="468"/>
        <item x="469"/>
        <item x="470"/>
        <item x="471"/>
        <item x="472"/>
        <item m="1" x="1350"/>
        <item x="473"/>
        <item x="474"/>
        <item x="475"/>
        <item x="476"/>
        <item x="477"/>
        <item m="1" x="1351"/>
        <item x="478"/>
        <item x="479"/>
        <item x="480"/>
        <item x="481"/>
        <item m="1" x="1330"/>
        <item x="482"/>
        <item x="483"/>
        <item x="484"/>
        <item x="485"/>
        <item x="486"/>
        <item x="487"/>
        <item x="488"/>
        <item x="489"/>
        <item x="490"/>
        <item x="491"/>
        <item x="492"/>
        <item x="493"/>
        <item x="494"/>
        <item x="495"/>
        <item x="496"/>
        <item m="1" x="1311"/>
        <item x="498"/>
        <item x="497"/>
        <item x="499"/>
        <item x="500"/>
        <item x="501"/>
        <item x="502"/>
        <item x="503"/>
        <item m="1" x="1312"/>
        <item x="505"/>
        <item x="506"/>
        <item x="507"/>
        <item x="508"/>
        <item x="509"/>
        <item x="510"/>
        <item x="511"/>
        <item m="1" x="1331"/>
        <item m="1" x="1332"/>
        <item m="1" x="1333"/>
        <item m="1" x="1334"/>
        <item m="1" x="1335"/>
        <item x="512"/>
        <item x="513"/>
        <item x="514"/>
        <item x="515"/>
        <item x="516"/>
        <item x="517"/>
        <item x="518"/>
        <item x="519"/>
        <item x="520"/>
        <item x="521"/>
        <item x="522"/>
        <item x="523"/>
        <item x="524"/>
        <item x="525"/>
        <item x="526"/>
        <item x="527"/>
        <item x="528"/>
        <item x="529"/>
        <item x="530"/>
        <item x="531"/>
        <item x="532"/>
        <item m="1" x="1336"/>
        <item x="538"/>
        <item x="533"/>
        <item x="534"/>
        <item x="535"/>
        <item x="536"/>
        <item x="537"/>
        <item x="542"/>
        <item x="539"/>
        <item x="540"/>
        <item x="541"/>
        <item x="543"/>
        <item x="544"/>
        <item x="545"/>
        <item x="546"/>
        <item x="547"/>
        <item x="549"/>
        <item x="550"/>
        <item x="551"/>
        <item x="552"/>
        <item x="553"/>
        <item x="554"/>
        <item x="555"/>
        <item m="1" x="135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3"/>
        <item x="607"/>
        <item x="611"/>
        <item x="612"/>
        <item x="613"/>
        <item x="614"/>
        <item x="608"/>
        <item x="609"/>
        <item x="610"/>
        <item x="615"/>
        <item x="616"/>
        <item m="1" x="1354"/>
        <item x="617"/>
        <item x="618"/>
        <item m="1" x="1355"/>
        <item x="619"/>
        <item x="620"/>
        <item x="621"/>
        <item m="1" x="1356"/>
        <item x="622"/>
        <item m="1" x="1357"/>
        <item x="624"/>
        <item x="623"/>
        <item x="625"/>
        <item x="627"/>
        <item x="629"/>
        <item x="630"/>
        <item x="631"/>
        <item x="632"/>
        <item x="633"/>
        <item x="634"/>
        <item m="1" x="1337"/>
        <item x="648"/>
        <item x="635"/>
        <item m="1" x="1313"/>
        <item m="1" x="1338"/>
        <item x="636"/>
        <item x="637"/>
        <item x="626"/>
        <item x="641"/>
        <item x="642"/>
        <item x="643"/>
        <item m="1" x="1339"/>
        <item x="628"/>
        <item x="644"/>
        <item x="645"/>
        <item x="646"/>
        <item m="1" x="1302"/>
        <item x="647"/>
        <item x="649"/>
        <item x="650"/>
        <item x="640"/>
        <item x="651"/>
        <item x="652"/>
        <item m="1" x="1390"/>
        <item x="653"/>
        <item m="1" x="1358"/>
        <item m="1" x="1359"/>
        <item m="1" x="1340"/>
        <item x="654"/>
        <item m="1" x="1341"/>
        <item x="655"/>
        <item x="656"/>
        <item x="657"/>
        <item x="658"/>
        <item x="659"/>
        <item x="639"/>
        <item x="660"/>
        <item x="662"/>
        <item x="665"/>
        <item x="663"/>
        <item x="664"/>
        <item x="638"/>
        <item x="661"/>
        <item x="666"/>
        <item x="667"/>
        <item x="668"/>
        <item x="669"/>
        <item x="670"/>
        <item x="671"/>
        <item x="672"/>
        <item x="673"/>
        <item x="674"/>
        <item m="1" x="1303"/>
        <item x="675"/>
        <item m="1" x="1304"/>
        <item x="679"/>
        <item x="676"/>
        <item x="677"/>
        <item x="678"/>
        <item x="680"/>
        <item m="1" x="1373"/>
        <item x="682"/>
        <item x="681"/>
        <item x="683"/>
        <item x="684"/>
        <item x="685"/>
        <item x="686"/>
        <item x="687"/>
        <item x="688"/>
        <item x="697"/>
        <item x="689"/>
        <item x="690"/>
        <item x="691"/>
        <item x="705"/>
        <item x="700"/>
        <item x="692"/>
        <item x="693"/>
        <item x="694"/>
        <item m="1" x="1375"/>
        <item x="695"/>
        <item x="696"/>
        <item x="698"/>
        <item x="699"/>
        <item x="701"/>
        <item m="1" x="1307"/>
        <item x="702"/>
        <item x="706"/>
        <item x="703"/>
        <item x="704"/>
        <item x="707"/>
        <item x="717"/>
        <item x="709"/>
        <item x="710"/>
        <item x="711"/>
        <item x="712"/>
        <item x="713"/>
        <item x="714"/>
        <item x="715"/>
        <item x="716"/>
        <item m="1" x="1342"/>
        <item x="718"/>
        <item x="719"/>
        <item x="720"/>
        <item m="1" x="1305"/>
        <item m="1" x="1306"/>
        <item m="1" x="1308"/>
        <item x="726"/>
        <item x="721"/>
        <item x="722"/>
        <item x="723"/>
        <item x="724"/>
        <item x="725"/>
        <item x="727"/>
        <item x="758"/>
        <item x="728"/>
        <item x="729"/>
        <item x="730"/>
        <item m="1" x="1389"/>
        <item m="1" x="1369"/>
        <item x="731"/>
        <item x="732"/>
        <item x="733"/>
        <item m="1" x="1378"/>
        <item x="734"/>
        <item x="735"/>
        <item x="736"/>
        <item x="737"/>
        <item x="738"/>
        <item x="739"/>
        <item x="740"/>
        <item x="741"/>
        <item x="742"/>
        <item x="765"/>
        <item x="743"/>
        <item x="744"/>
        <item x="745"/>
        <item x="746"/>
        <item x="753"/>
        <item x="747"/>
        <item m="1" x="1309"/>
        <item x="748"/>
        <item x="749"/>
        <item x="750"/>
        <item x="751"/>
        <item x="767"/>
        <item x="752"/>
        <item x="754"/>
        <item x="755"/>
        <item x="756"/>
        <item x="757"/>
        <item m="1" x="1343"/>
        <item x="759"/>
        <item m="1" x="1360"/>
        <item x="760"/>
        <item m="1" x="1344"/>
        <item x="761"/>
        <item x="762"/>
        <item m="1" x="1370"/>
        <item x="763"/>
        <item m="1" x="1368"/>
        <item x="764"/>
        <item x="766"/>
        <item x="768"/>
        <item m="1" x="1365"/>
        <item x="769"/>
        <item x="770"/>
        <item x="771"/>
        <item x="772"/>
        <item x="773"/>
        <item x="774"/>
        <item x="775"/>
        <item x="776"/>
        <item x="777"/>
        <item x="778"/>
        <item x="779"/>
        <item x="780"/>
        <item x="781"/>
        <item x="782"/>
        <item x="783"/>
        <item x="784"/>
        <item x="785"/>
        <item x="786"/>
        <item x="787"/>
        <item x="788"/>
        <item x="789"/>
        <item x="790"/>
        <item x="791"/>
        <item m="1" x="1345"/>
        <item x="792"/>
        <item m="1" x="1346"/>
        <item x="793"/>
        <item x="799"/>
        <item x="794"/>
        <item x="795"/>
        <item x="796"/>
        <item x="797"/>
        <item x="798"/>
        <item x="800"/>
        <item x="802"/>
        <item x="801"/>
        <item m="1" x="1347"/>
        <item x="803"/>
        <item x="804"/>
        <item x="805"/>
        <item x="809"/>
        <item x="811"/>
        <item x="810"/>
        <item m="1" x="1374"/>
        <item x="813"/>
        <item x="808"/>
        <item m="1" x="1372"/>
        <item x="820"/>
        <item m="1" x="1397"/>
        <item x="812"/>
        <item x="814"/>
        <item x="816"/>
        <item x="817"/>
        <item x="806"/>
        <item x="815"/>
        <item x="818"/>
        <item m="1" x="1314"/>
        <item x="822"/>
        <item x="823"/>
        <item m="1" x="1361"/>
        <item x="825"/>
        <item x="830"/>
        <item x="828"/>
        <item x="824"/>
        <item x="829"/>
        <item x="834"/>
        <item x="832"/>
        <item x="833"/>
        <item x="831"/>
        <item x="708"/>
        <item x="838"/>
        <item x="839"/>
        <item x="836"/>
        <item x="841"/>
        <item x="842"/>
        <item x="843"/>
        <item m="1" x="1395"/>
        <item x="835"/>
        <item m="1" x="1383"/>
        <item m="1" x="1315"/>
        <item x="821"/>
        <item x="837"/>
        <item x="840"/>
        <item x="847"/>
        <item x="846"/>
        <item x="848"/>
        <item x="845"/>
        <item m="1" x="1362"/>
        <item x="850"/>
        <item x="849"/>
        <item x="844"/>
        <item m="1" x="1399"/>
        <item x="851"/>
        <item x="853"/>
        <item x="854"/>
        <item x="855"/>
        <item x="857"/>
        <item x="858"/>
        <item x="852"/>
        <item x="859"/>
        <item x="860"/>
        <item x="807"/>
        <item x="819"/>
        <item x="856"/>
        <item x="827"/>
        <item x="861"/>
        <item x="863"/>
        <item x="862"/>
        <item x="864"/>
        <item x="865"/>
        <item x="866"/>
        <item x="869"/>
        <item x="867"/>
        <item x="868"/>
        <item x="871"/>
        <item x="872"/>
        <item x="873"/>
        <item x="875"/>
        <item m="1" x="1363"/>
        <item x="874"/>
        <item x="878"/>
        <item x="880"/>
        <item x="879"/>
        <item x="877"/>
        <item x="881"/>
        <item x="882"/>
        <item x="884"/>
        <item m="1" x="1364"/>
        <item x="876"/>
        <item x="883"/>
        <item x="885"/>
        <item x="887"/>
        <item x="888"/>
        <item x="886"/>
        <item x="826"/>
        <item x="889"/>
        <item x="890"/>
        <item x="891"/>
        <item x="892"/>
        <item m="1" x="1310"/>
        <item x="893"/>
        <item x="894"/>
        <item x="895"/>
        <item x="899"/>
        <item x="897"/>
        <item x="901"/>
        <item x="896"/>
        <item x="898"/>
        <item x="903"/>
        <item x="904"/>
        <item x="905"/>
        <item x="906"/>
        <item x="902"/>
        <item x="900"/>
        <item x="907"/>
        <item x="870"/>
        <item m="1" x="1348"/>
        <item x="909"/>
        <item x="908"/>
        <item x="910"/>
        <item m="1" x="1349"/>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1"/>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8"/>
        <item x="1154"/>
        <item x="1152"/>
        <item x="1157"/>
        <item x="1156"/>
        <item x="1160"/>
        <item m="1" x="1255"/>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6"/>
        <item m="1" x="1253"/>
        <item m="1" x="1257"/>
        <item m="1" x="1249"/>
        <item m="1" x="1250"/>
        <item x="1209"/>
        <item x="1212"/>
        <item x="1204"/>
        <item x="1208"/>
        <item x="1210"/>
        <item x="1207"/>
        <item x="1203"/>
        <item x="1205"/>
        <item x="1213"/>
        <item x="1214"/>
        <item x="1206"/>
        <item x="1211"/>
        <item m="1" x="1251"/>
        <item x="1216"/>
        <item x="1220"/>
        <item x="1221"/>
        <item x="1223"/>
        <item m="1" x="1252"/>
        <item x="1218"/>
        <item x="1219"/>
        <item x="1222"/>
        <item x="1217"/>
        <item x="1226"/>
        <item x="1225"/>
        <item x="1228"/>
        <item x="1224"/>
        <item x="1227"/>
        <item x="1215"/>
        <item x="1230"/>
        <item x="1229"/>
        <item x="1231"/>
        <item x="1232"/>
        <item x="1234"/>
        <item x="1235"/>
        <item x="1236"/>
        <item x="1239"/>
        <item x="1240"/>
        <item x="1241"/>
        <item x="1242"/>
        <item x="1243"/>
        <item x="1238"/>
        <item x="1233"/>
        <item x="1237"/>
        <item x="1244"/>
        <item x="1245"/>
        <item x="1246"/>
        <item x="1247"/>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sd="0" x="105"/>
        <item sd="0" x="111"/>
        <item sd="0" x="109"/>
        <item sd="0" m="1" x="140"/>
        <item sd="0" x="123"/>
        <item m="1" x="139"/>
        <item sd="0" x="124"/>
        <item sd="0" x="125"/>
        <item sd="0" x="126"/>
        <item sd="0" x="127"/>
        <item sd="0" x="129"/>
        <item sd="0" x="128"/>
        <item sd="0" x="130"/>
        <item sd="0" x="132"/>
        <item m="1" x="138"/>
        <item sd="0" x="134"/>
        <item sd="0" x="135"/>
        <item x="136"/>
        <item sd="0" x="133"/>
        <item sd="0"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17"/>
    </i>
    <i>
      <x v="138"/>
    </i>
    <i>
      <x v="153"/>
    </i>
    <i>
      <x v="121"/>
    </i>
    <i>
      <x v="142"/>
    </i>
    <i>
      <x v="151"/>
    </i>
    <i>
      <x v="101"/>
    </i>
    <i>
      <x v="132"/>
    </i>
    <i>
      <x v="145"/>
    </i>
    <i>
      <x v="122"/>
    </i>
    <i>
      <x v="80"/>
    </i>
    <i>
      <x v="127"/>
    </i>
    <i>
      <x v="146"/>
    </i>
    <i>
      <x v="118"/>
    </i>
    <i>
      <x v="125"/>
    </i>
    <i>
      <x v="137"/>
    </i>
    <i>
      <x v="157"/>
    </i>
    <i>
      <x v="156"/>
    </i>
    <i>
      <x v="147"/>
    </i>
    <i>
      <x v="144"/>
    </i>
    <i>
      <x v="149"/>
    </i>
    <i>
      <x v="140"/>
    </i>
    <i>
      <x v="104"/>
    </i>
    <i>
      <x v="22"/>
    </i>
    <i>
      <x v="100"/>
    </i>
    <i>
      <x v="105"/>
    </i>
    <i>
      <x v="115"/>
    </i>
    <i>
      <x v="119"/>
    </i>
    <i>
      <x v="102"/>
    </i>
    <i>
      <x v="84"/>
    </i>
    <i>
      <x v="133"/>
    </i>
    <i>
      <x v="31"/>
    </i>
    <i>
      <x v="94"/>
    </i>
    <i>
      <x v="32"/>
    </i>
    <i>
      <x v="114"/>
    </i>
    <i>
      <x v="33"/>
    </i>
    <i>
      <x v="15"/>
    </i>
    <i>
      <x v="34"/>
    </i>
    <i>
      <x v="88"/>
    </i>
    <i>
      <x v="35"/>
    </i>
    <i>
      <x v="98"/>
    </i>
    <i>
      <x v="36"/>
    </i>
    <i>
      <x v="106"/>
    </i>
    <i>
      <x v="37"/>
    </i>
    <i>
      <x v="30"/>
    </i>
    <i>
      <x v="38"/>
    </i>
    <i>
      <x v="12"/>
    </i>
    <i>
      <x v="39"/>
    </i>
    <i>
      <x v="18"/>
    </i>
    <i>
      <x v="40"/>
    </i>
    <i>
      <x v="86"/>
    </i>
    <i>
      <x v="41"/>
    </i>
    <i>
      <x v="91"/>
    </i>
    <i>
      <x v="42"/>
    </i>
    <i>
      <x v="96"/>
    </i>
    <i>
      <x v="43"/>
    </i>
    <i>
      <x v="25"/>
    </i>
    <i>
      <x v="44"/>
    </i>
    <i>
      <x v="26"/>
    </i>
    <i>
      <x v="45"/>
    </i>
    <i>
      <x v="111"/>
    </i>
    <i>
      <x v="47"/>
    </i>
    <i>
      <x v="116"/>
    </i>
    <i>
      <x v="48"/>
    </i>
    <i>
      <x v="131"/>
    </i>
    <i>
      <x v="50"/>
    </i>
    <i>
      <x v="136"/>
    </i>
    <i>
      <x v="51"/>
    </i>
    <i>
      <x v="23"/>
    </i>
    <i>
      <x v="52"/>
    </i>
    <i>
      <x v="24"/>
    </i>
    <i>
      <x v="54"/>
    </i>
    <i>
      <x v="19"/>
    </i>
    <i>
      <x v="55"/>
    </i>
    <i>
      <x v="85"/>
    </i>
    <i>
      <x v="56"/>
    </i>
    <i>
      <x v="87"/>
    </i>
    <i>
      <x v="57"/>
    </i>
    <i>
      <x v="89"/>
    </i>
    <i>
      <x v="58"/>
    </i>
    <i>
      <x v="92"/>
    </i>
    <i>
      <x v="59"/>
    </i>
    <i>
      <x v="95"/>
    </i>
    <i>
      <x v="60"/>
    </i>
    <i>
      <x v="97"/>
    </i>
    <i>
      <x v="61"/>
    </i>
    <i>
      <x v="99"/>
    </i>
    <i>
      <x v="62"/>
    </i>
    <i>
      <x v="3"/>
    </i>
    <i>
      <x v="63"/>
    </i>
    <i>
      <x v="103"/>
    </i>
    <i>
      <x v="64"/>
    </i>
    <i>
      <x v="28"/>
    </i>
    <i>
      <x v="65"/>
    </i>
    <i>
      <x v="110"/>
    </i>
    <i>
      <x v="5"/>
    </i>
    <i>
      <x v="113"/>
    </i>
    <i>
      <x v="6"/>
    </i>
    <i>
      <x v="29"/>
    </i>
    <i>
      <x v="124"/>
    </i>
    <i>
      <x v="4"/>
    </i>
    <i>
      <x v="126"/>
    </i>
    <i>
      <x v="128"/>
    </i>
    <i>
      <x v="66"/>
    </i>
    <i>
      <x v="7"/>
    </i>
    <i>
      <x v="67"/>
    </i>
    <i>
      <x v="8"/>
    </i>
    <i>
      <x v="68"/>
    </i>
    <i>
      <x v="9"/>
    </i>
    <i>
      <x v="69"/>
    </i>
    <i>
      <x v="130"/>
    </i>
    <i>
      <x v="155"/>
    </i>
    <i r="1">
      <x v="52"/>
    </i>
    <i>
      <x v="10"/>
    </i>
    <i>
      <x v="1"/>
    </i>
    <i>
      <x v="135"/>
    </i>
    <i>
      <x/>
    </i>
    <i>
      <x v="11"/>
    </i>
    <i>
      <x v="74"/>
    </i>
    <i>
      <x v="139"/>
    </i>
    <i>
      <x v="76"/>
    </i>
    <i>
      <x v="21"/>
    </i>
    <i>
      <x v="14"/>
    </i>
    <i>
      <x v="77"/>
    </i>
    <i>
      <x v="20"/>
    </i>
    <i>
      <x v="16"/>
    </i>
    <i>
      <x v="78"/>
    </i>
    <i>
      <x v="17"/>
    </i>
    <i>
      <x v="2"/>
    </i>
    <i>
      <x v="154"/>
    </i>
    <i>
      <x v="82"/>
    </i>
    <i>
      <x v="83"/>
    </i>
    <i>
      <x v="70"/>
    </i>
    <i>
      <x v="71"/>
    </i>
    <i>
      <x v="73"/>
    </i>
    <i>
      <x v="27"/>
    </i>
    <i>
      <x v="148"/>
    </i>
    <i>
      <x v="129"/>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162">
      <pivotArea collapsedLevelsAreSubtotals="1" fieldPosition="0">
        <references count="1">
          <reference field="2" count="1">
            <x v="9"/>
          </reference>
        </references>
      </pivotArea>
    </format>
    <format dxfId="1161">
      <pivotArea collapsedLevelsAreSubtotals="1" fieldPosition="0">
        <references count="1">
          <reference field="2" count="1">
            <x v="4"/>
          </reference>
        </references>
      </pivotArea>
    </format>
    <format dxfId="1160">
      <pivotArea grandRow="1" outline="0" collapsedLevelsAreSubtotals="1" fieldPosition="0"/>
    </format>
    <format dxfId="1159">
      <pivotArea dataOnly="0" labelOnly="1" grandRow="1" outline="0" fieldPosition="0"/>
    </format>
    <format dxfId="1158">
      <pivotArea grandRow="1" outline="0" collapsedLevelsAreSubtotals="1" fieldPosition="0"/>
    </format>
    <format dxfId="1157">
      <pivotArea dataOnly="0" labelOnly="1" grandRow="1" outline="0" fieldPosition="0"/>
    </format>
    <format dxfId="1156">
      <pivotArea grandRow="1" outline="0" collapsedLevelsAreSubtotals="1" fieldPosition="0"/>
    </format>
    <format dxfId="1155">
      <pivotArea dataOnly="0" labelOnly="1" grandRow="1" outline="0" fieldPosition="0"/>
    </format>
    <format dxfId="1154">
      <pivotArea outline="0" collapsedLevelsAreSubtotals="1" fieldPosition="0">
        <references count="1">
          <reference field="4294967294" count="1" selected="0">
            <x v="0"/>
          </reference>
        </references>
      </pivotArea>
    </format>
    <format dxfId="1153">
      <pivotArea dataOnly="0" labelOnly="1" outline="0" fieldPosition="0">
        <references count="1">
          <reference field="0" count="0"/>
        </references>
      </pivotArea>
    </format>
    <format dxfId="1152">
      <pivotArea dataOnly="0" labelOnly="1" outline="0" fieldPosition="0">
        <references count="1">
          <reference field="4294967294" count="1">
            <x v="0"/>
          </reference>
        </references>
      </pivotArea>
    </format>
    <format dxfId="1151">
      <pivotArea outline="0" collapsedLevelsAreSubtotals="1" fieldPosition="0">
        <references count="1">
          <reference field="4294967294" count="1" selected="0">
            <x v="1"/>
          </reference>
        </references>
      </pivotArea>
    </format>
    <format dxfId="1150">
      <pivotArea dataOnly="0" labelOnly="1" outline="0" fieldPosition="0">
        <references count="1">
          <reference field="4294967294" count="1">
            <x v="1"/>
          </reference>
        </references>
      </pivotArea>
    </format>
    <format dxfId="1149">
      <pivotArea outline="0" collapsedLevelsAreSubtotals="1" fieldPosition="0">
        <references count="1">
          <reference field="4294967294" count="1" selected="0">
            <x v="2"/>
          </reference>
        </references>
      </pivotArea>
    </format>
    <format dxfId="1148">
      <pivotArea dataOnly="0" labelOnly="1" outline="0" fieldPosition="0">
        <references count="1">
          <reference field="4294967294" count="1">
            <x v="2"/>
          </reference>
        </references>
      </pivotArea>
    </format>
    <format dxfId="1147">
      <pivotArea grandRow="1" outline="0" collapsedLevelsAreSubtotals="1" fieldPosition="0"/>
    </format>
    <format dxfId="1146">
      <pivotArea dataOnly="0" labelOnly="1" grandRow="1" outline="0" fieldPosition="0"/>
    </format>
    <format dxfId="1145">
      <pivotArea type="all" dataOnly="0" outline="0" fieldPosition="0"/>
    </format>
    <format dxfId="1144">
      <pivotArea grandRow="1" outline="0" collapsedLevelsAreSubtotals="1" fieldPosition="0"/>
    </format>
    <format dxfId="1143">
      <pivotArea dataOnly="0" labelOnly="1" grandRow="1" outline="0" fieldPosition="0"/>
    </format>
    <format dxfId="1142">
      <pivotArea collapsedLevelsAreSubtotals="1" fieldPosition="0">
        <references count="2">
          <reference field="4294967294" count="1" selected="0">
            <x v="2"/>
          </reference>
          <reference field="1" count="1">
            <x v="22"/>
          </reference>
        </references>
      </pivotArea>
    </format>
    <format dxfId="1141">
      <pivotArea collapsedLevelsAreSubtotals="1" fieldPosition="0">
        <references count="3">
          <reference field="4294967294" count="1" selected="0">
            <x v="2"/>
          </reference>
          <reference field="1" count="1">
            <x v="22"/>
          </reference>
          <reference field="2" count="1" selected="0">
            <x v="7"/>
          </reference>
        </references>
      </pivotArea>
    </format>
    <format dxfId="1140">
      <pivotArea dataOnly="0" labelOnly="1" outline="0" fieldPosition="0">
        <references count="1">
          <reference field="4294967294" count="3">
            <x v="0"/>
            <x v="1"/>
            <x v="2"/>
          </reference>
        </references>
      </pivotArea>
    </format>
    <format dxfId="1139">
      <pivotArea dataOnly="0" labelOnly="1" outline="0" fieldPosition="0">
        <references count="1">
          <reference field="4294967294" count="1">
            <x v="0"/>
          </reference>
        </references>
      </pivotArea>
    </format>
    <format dxfId="1138">
      <pivotArea dataOnly="0" labelOnly="1" outline="0" fieldPosition="0">
        <references count="1">
          <reference field="4294967294" count="1">
            <x v="1"/>
          </reference>
        </references>
      </pivotArea>
    </format>
    <format dxfId="1137">
      <pivotArea dataOnly="0" labelOnly="1" outline="0" fieldPosition="0">
        <references count="1">
          <reference field="4294967294" count="1">
            <x v="1"/>
          </reference>
        </references>
      </pivotArea>
    </format>
    <format dxfId="1136">
      <pivotArea dataOnly="0" labelOnly="1" outline="0" fieldPosition="0">
        <references count="1">
          <reference field="4294967294" count="1">
            <x v="2"/>
          </reference>
        </references>
      </pivotArea>
    </format>
    <format dxfId="1135">
      <pivotArea dataOnly="0" labelOnly="1" fieldPosition="0">
        <references count="1">
          <reference field="2" count="0"/>
        </references>
      </pivotArea>
    </format>
    <format dxfId="1134">
      <pivotArea collapsedLevelsAreSubtotals="1" fieldPosition="0">
        <references count="2">
          <reference field="4294967294" count="1" selected="0">
            <x v="2"/>
          </reference>
          <reference field="2" count="1">
            <x v="4"/>
          </reference>
        </references>
      </pivotArea>
    </format>
    <format dxfId="1133">
      <pivotArea collapsedLevelsAreSubtotals="1" fieldPosition="0">
        <references count="2">
          <reference field="4294967294" count="1" selected="0">
            <x v="2"/>
          </reference>
          <reference field="2" count="1">
            <x v="9"/>
          </reference>
        </references>
      </pivotArea>
    </format>
    <format dxfId="1132">
      <pivotArea collapsedLevelsAreSubtotals="1" fieldPosition="0">
        <references count="2">
          <reference field="4294967294" count="1" selected="0">
            <x v="2"/>
          </reference>
          <reference field="2" count="1">
            <x v="14"/>
          </reference>
        </references>
      </pivotArea>
    </format>
    <format dxfId="1131">
      <pivotArea collapsedLevelsAreSubtotals="1" fieldPosition="0">
        <references count="3">
          <reference field="4294967294" count="1" selected="0">
            <x v="2"/>
          </reference>
          <reference field="1" count="3">
            <x v="3"/>
            <x v="37"/>
            <x v="41"/>
          </reference>
          <reference field="2" count="1" selected="0">
            <x v="14"/>
          </reference>
        </references>
      </pivotArea>
    </format>
    <format dxfId="1130">
      <pivotArea collapsedLevelsAreSubtotals="1" fieldPosition="0">
        <references count="3">
          <reference field="4294967294" count="1" selected="0">
            <x v="2"/>
          </reference>
          <reference field="1" count="1">
            <x v="6"/>
          </reference>
          <reference field="2" count="1" selected="0">
            <x v="14"/>
          </reference>
        </references>
      </pivotArea>
    </format>
    <format dxfId="1129">
      <pivotArea collapsedLevelsAreSubtotals="1" fieldPosition="0">
        <references count="3">
          <reference field="4294967294" count="1" selected="0">
            <x v="2"/>
          </reference>
          <reference field="1" count="1">
            <x v="27"/>
          </reference>
          <reference field="2" count="1" selected="0">
            <x v="14"/>
          </reference>
        </references>
      </pivotArea>
    </format>
    <format dxfId="1128">
      <pivotArea collapsedLevelsAreSubtotals="1" fieldPosition="0">
        <references count="1">
          <reference field="2" count="1">
            <x v="0"/>
          </reference>
        </references>
      </pivotArea>
    </format>
    <format dxfId="1127">
      <pivotArea collapsedLevelsAreSubtotals="1" fieldPosition="0">
        <references count="1">
          <reference field="2" count="1">
            <x v="14"/>
          </reference>
        </references>
      </pivotArea>
    </format>
    <format dxfId="1126">
      <pivotArea collapsedLevelsAreSubtotals="1" fieldPosition="0">
        <references count="1">
          <reference field="2" count="1">
            <x v="9"/>
          </reference>
        </references>
      </pivotArea>
    </format>
    <format dxfId="1125">
      <pivotArea collapsedLevelsAreSubtotals="1" fieldPosition="0">
        <references count="1">
          <reference field="2" count="1">
            <x v="5"/>
          </reference>
        </references>
      </pivotArea>
    </format>
    <format dxfId="1124">
      <pivotArea collapsedLevelsAreSubtotals="1" fieldPosition="0">
        <references count="1">
          <reference field="2" count="1">
            <x v="17"/>
          </reference>
        </references>
      </pivotArea>
    </format>
    <format dxfId="1123">
      <pivotArea collapsedLevelsAreSubtotals="1" fieldPosition="0">
        <references count="1">
          <reference field="2" count="1">
            <x v="2"/>
          </reference>
        </references>
      </pivotArea>
    </format>
    <format dxfId="1122">
      <pivotArea collapsedLevelsAreSubtotals="1" fieldPosition="0">
        <references count="1">
          <reference field="2" count="1">
            <x v="10"/>
          </reference>
        </references>
      </pivotArea>
    </format>
    <format dxfId="1121">
      <pivotArea collapsedLevelsAreSubtotals="1" fieldPosition="0">
        <references count="1">
          <reference field="2" count="1">
            <x v="1"/>
          </reference>
        </references>
      </pivotArea>
    </format>
    <format dxfId="1120">
      <pivotArea collapsedLevelsAreSubtotals="1" fieldPosition="0">
        <references count="1">
          <reference field="2" count="1">
            <x v="13"/>
          </reference>
        </references>
      </pivotArea>
    </format>
    <format dxfId="1119">
      <pivotArea collapsedLevelsAreSubtotals="1" fieldPosition="0">
        <references count="1">
          <reference field="2" count="1">
            <x v="4"/>
          </reference>
        </references>
      </pivotArea>
    </format>
    <format dxfId="1118">
      <pivotArea collapsedLevelsAreSubtotals="1" fieldPosition="0">
        <references count="1">
          <reference field="2" count="1">
            <x v="8"/>
          </reference>
        </references>
      </pivotArea>
    </format>
    <format dxfId="1117">
      <pivotArea collapsedLevelsAreSubtotals="1" fieldPosition="0">
        <references count="1">
          <reference field="2" count="1">
            <x v="3"/>
          </reference>
        </references>
      </pivotArea>
    </format>
    <format dxfId="1116">
      <pivotArea collapsedLevelsAreSubtotals="1" fieldPosition="0">
        <references count="1">
          <reference field="2" count="1">
            <x v="12"/>
          </reference>
        </references>
      </pivotArea>
    </format>
    <format dxfId="1115">
      <pivotArea collapsedLevelsAreSubtotals="1" fieldPosition="0">
        <references count="1">
          <reference field="2" count="1">
            <x v="6"/>
          </reference>
        </references>
      </pivotArea>
    </format>
    <format dxfId="1114">
      <pivotArea collapsedLevelsAreSubtotals="1" fieldPosition="0">
        <references count="1">
          <reference field="2" count="1">
            <x v="11"/>
          </reference>
        </references>
      </pivotArea>
    </format>
    <format dxfId="1113">
      <pivotArea collapsedLevelsAreSubtotals="1" fieldPosition="0">
        <references count="1">
          <reference field="2" count="1">
            <x v="20"/>
          </reference>
        </references>
      </pivotArea>
    </format>
    <format dxfId="1112">
      <pivotArea collapsedLevelsAreSubtotals="1" fieldPosition="0">
        <references count="2">
          <reference field="1" count="1">
            <x v="6"/>
          </reference>
          <reference field="2" count="1" selected="0">
            <x v="20"/>
          </reference>
        </references>
      </pivotArea>
    </format>
    <format dxfId="1111">
      <pivotArea collapsedLevelsAreSubtotals="1" fieldPosition="0">
        <references count="1">
          <reference field="2" count="1">
            <x v="7"/>
          </reference>
        </references>
      </pivotArea>
    </format>
    <format dxfId="1110">
      <pivotArea collapsedLevelsAreSubtotals="1" fieldPosition="0">
        <references count="1">
          <reference field="2" count="1">
            <x v="16"/>
          </reference>
        </references>
      </pivotArea>
    </format>
    <format dxfId="1109">
      <pivotArea collapsedLevelsAreSubtotals="1" fieldPosition="0">
        <references count="1">
          <reference field="2" count="1">
            <x v="19"/>
          </reference>
        </references>
      </pivotArea>
    </format>
    <format dxfId="1108">
      <pivotArea collapsedLevelsAreSubtotals="1" fieldPosition="0">
        <references count="1">
          <reference field="2" count="1">
            <x v="18"/>
          </reference>
        </references>
      </pivotArea>
    </format>
    <format dxfId="1107">
      <pivotArea collapsedLevelsAreSubtotals="1" fieldPosition="0">
        <references count="1">
          <reference field="2" count="1">
            <x v="15"/>
          </reference>
        </references>
      </pivotArea>
    </format>
    <format dxfId="1106">
      <pivotArea collapsedLevelsAreSubtotals="1" fieldPosition="0">
        <references count="1">
          <reference field="2" count="1">
            <x v="21"/>
          </reference>
        </references>
      </pivotArea>
    </format>
    <format dxfId="110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10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103">
      <pivotArea dataOnly="0" labelOnly="1" fieldPosition="0">
        <references count="1">
          <reference field="1" count="1">
            <x v="79"/>
          </reference>
        </references>
      </pivotArea>
    </format>
    <format dxfId="1102">
      <pivotArea dataOnly="0" labelOnly="1" fieldPosition="0">
        <references count="1">
          <reference field="1" count="1">
            <x v="79"/>
          </reference>
        </references>
      </pivotArea>
    </format>
    <format dxfId="1101">
      <pivotArea type="all" dataOnly="0" outline="0" fieldPosition="0"/>
    </format>
    <format dxfId="1100">
      <pivotArea outline="0" collapsedLevelsAreSubtotals="1" fieldPosition="0"/>
    </format>
    <format dxfId="109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9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97">
      <pivotArea dataOnly="0" labelOnly="1" fieldPosition="0">
        <references count="1">
          <reference field="1" count="16">
            <x v="0"/>
            <x v="12"/>
            <x v="14"/>
            <x v="15"/>
            <x v="17"/>
            <x v="19"/>
            <x v="27"/>
            <x v="47"/>
            <x v="58"/>
            <x v="59"/>
            <x v="62"/>
            <x v="63"/>
            <x v="64"/>
            <x v="65"/>
            <x v="66"/>
            <x v="67"/>
          </reference>
        </references>
      </pivotArea>
    </format>
    <format dxfId="1096">
      <pivotArea dataOnly="0" labelOnly="1" grandRow="1" outline="0" fieldPosition="0"/>
    </format>
    <format dxfId="109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45493</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145"/>
  <sheetViews>
    <sheetView tabSelected="1" zoomScale="140" zoomScaleNormal="140" workbookViewId="0">
      <pane ySplit="1" topLeftCell="A20113" activePane="bottomLeft" state="frozen"/>
      <selection pane="bottomLeft" activeCell="D20122" sqref="D2012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2"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ht="36" x14ac:dyDescent="0.2">
      <c r="A19247" s="729">
        <v>45386</v>
      </c>
      <c r="B19247" s="90" t="s">
        <v>11717</v>
      </c>
      <c r="C19247" s="93" t="s">
        <v>558</v>
      </c>
      <c r="D19247" s="897" t="s">
        <v>12878</v>
      </c>
      <c r="E19247" s="642">
        <v>28000</v>
      </c>
      <c r="F19247" s="91"/>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400000</v>
      </c>
      <c r="G19262" s="175">
        <f t="shared" si="306"/>
        <v>400000</v>
      </c>
      <c r="H19262" s="701" t="s">
        <v>12804</v>
      </c>
    </row>
    <row r="19263" spans="1:8" ht="24" x14ac:dyDescent="0.2">
      <c r="A19263" s="729">
        <v>45406</v>
      </c>
      <c r="B19263" s="93" t="s">
        <v>10229</v>
      </c>
      <c r="C19263" s="93" t="s">
        <v>558</v>
      </c>
      <c r="D19263" s="801" t="s">
        <v>12896</v>
      </c>
      <c r="E19263" s="175"/>
      <c r="F19263" s="175">
        <v>463000</v>
      </c>
      <c r="G19263" s="175">
        <f t="shared" ref="G19263:G19326" si="307">F19263-E19263</f>
        <v>463000</v>
      </c>
      <c r="H19263" s="701" t="s">
        <v>12804</v>
      </c>
    </row>
    <row r="19264" spans="1:8" ht="24" x14ac:dyDescent="0.2">
      <c r="A19264" s="729">
        <v>45406</v>
      </c>
      <c r="B19264" s="93" t="s">
        <v>10229</v>
      </c>
      <c r="C19264" s="93" t="s">
        <v>558</v>
      </c>
      <c r="D19264" s="801" t="s">
        <v>12896</v>
      </c>
      <c r="E19264" s="175"/>
      <c r="F19264" s="175">
        <v>537000</v>
      </c>
      <c r="G19264" s="175">
        <f t="shared" si="307"/>
        <v>537000</v>
      </c>
      <c r="H19264" s="701" t="s">
        <v>12804</v>
      </c>
    </row>
    <row r="19265" spans="1:8" ht="24" x14ac:dyDescent="0.2">
      <c r="A19265" s="729">
        <v>45406</v>
      </c>
      <c r="B19265" s="93" t="s">
        <v>10229</v>
      </c>
      <c r="C19265" s="93" t="s">
        <v>558</v>
      </c>
      <c r="D19265" s="801" t="s">
        <v>12896</v>
      </c>
      <c r="E19265" s="175"/>
      <c r="F19265" s="175">
        <v>800000</v>
      </c>
      <c r="G19265" s="175">
        <f t="shared" si="307"/>
        <v>800000</v>
      </c>
      <c r="H19265" s="701" t="s">
        <v>12804</v>
      </c>
    </row>
    <row r="19266" spans="1:8" ht="24" x14ac:dyDescent="0.2">
      <c r="A19266" s="729">
        <v>45406</v>
      </c>
      <c r="B19266" s="93" t="s">
        <v>10229</v>
      </c>
      <c r="C19266" s="93" t="s">
        <v>558</v>
      </c>
      <c r="D19266" s="801" t="s">
        <v>12896</v>
      </c>
      <c r="E19266" s="175"/>
      <c r="F19266" s="175">
        <v>700000</v>
      </c>
      <c r="G19266" s="175">
        <f t="shared" si="307"/>
        <v>700000</v>
      </c>
      <c r="H19266" s="701" t="s">
        <v>12804</v>
      </c>
    </row>
    <row r="19267" spans="1:8" ht="24" x14ac:dyDescent="0.2">
      <c r="A19267" s="729">
        <v>45406</v>
      </c>
      <c r="B19267" s="93" t="s">
        <v>10229</v>
      </c>
      <c r="C19267" s="93" t="s">
        <v>558</v>
      </c>
      <c r="D19267" s="801" t="s">
        <v>12896</v>
      </c>
      <c r="E19267" s="175"/>
      <c r="F19267" s="175">
        <v>300000</v>
      </c>
      <c r="G19267" s="175">
        <f t="shared" si="307"/>
        <v>300000</v>
      </c>
      <c r="H19267" s="701" t="s">
        <v>12804</v>
      </c>
    </row>
    <row r="19268" spans="1:8" ht="15" x14ac:dyDescent="0.2">
      <c r="A19268" s="729">
        <v>45406</v>
      </c>
      <c r="B19268" s="93" t="s">
        <v>6503</v>
      </c>
      <c r="C19268" s="93" t="s">
        <v>558</v>
      </c>
      <c r="D19268" s="801" t="s">
        <v>12948</v>
      </c>
      <c r="E19268" s="175"/>
      <c r="F19268" s="175">
        <v>250000</v>
      </c>
      <c r="G19268" s="175">
        <f t="shared" si="307"/>
        <v>250000</v>
      </c>
      <c r="H19268" s="701" t="s">
        <v>12804</v>
      </c>
    </row>
    <row r="19269" spans="1:8" ht="15" x14ac:dyDescent="0.2">
      <c r="A19269" s="729">
        <v>45406</v>
      </c>
      <c r="B19269" s="93" t="s">
        <v>6503</v>
      </c>
      <c r="C19269" s="93" t="s">
        <v>558</v>
      </c>
      <c r="D19269" s="801" t="s">
        <v>12948</v>
      </c>
      <c r="E19269" s="175"/>
      <c r="F19269" s="175">
        <v>355000</v>
      </c>
      <c r="G19269" s="175">
        <f t="shared" si="307"/>
        <v>355000</v>
      </c>
      <c r="H19269" s="701" t="s">
        <v>12804</v>
      </c>
    </row>
    <row r="19270" spans="1:8" ht="15" x14ac:dyDescent="0.2">
      <c r="A19270" s="729">
        <v>45406</v>
      </c>
      <c r="B19270" s="93" t="s">
        <v>6503</v>
      </c>
      <c r="C19270" s="93" t="s">
        <v>558</v>
      </c>
      <c r="D19270" s="801" t="s">
        <v>12948</v>
      </c>
      <c r="E19270" s="175"/>
      <c r="F19270" s="175">
        <v>100000</v>
      </c>
      <c r="G19270" s="175">
        <f t="shared" si="307"/>
        <v>100000</v>
      </c>
      <c r="H19270" s="701" t="s">
        <v>12804</v>
      </c>
    </row>
    <row r="19271" spans="1:8" ht="15" x14ac:dyDescent="0.2">
      <c r="A19271" s="729">
        <v>45406</v>
      </c>
      <c r="B19271" s="93" t="s">
        <v>6503</v>
      </c>
      <c r="C19271" s="93" t="s">
        <v>558</v>
      </c>
      <c r="D19271" s="801" t="s">
        <v>12948</v>
      </c>
      <c r="E19271" s="175"/>
      <c r="F19271" s="175">
        <v>200000</v>
      </c>
      <c r="G19271" s="175">
        <f t="shared" si="307"/>
        <v>200000</v>
      </c>
      <c r="H19271" s="701" t="s">
        <v>12804</v>
      </c>
    </row>
    <row r="19272" spans="1:8" ht="15" x14ac:dyDescent="0.2">
      <c r="A19272" s="729">
        <v>45406</v>
      </c>
      <c r="B19272" s="93" t="s">
        <v>11077</v>
      </c>
      <c r="C19272" s="93" t="s">
        <v>558</v>
      </c>
      <c r="D19272" s="801" t="s">
        <v>12949</v>
      </c>
      <c r="E19272" s="175"/>
      <c r="F19272" s="175">
        <v>250000</v>
      </c>
      <c r="G19272" s="175">
        <f t="shared" si="307"/>
        <v>250000</v>
      </c>
      <c r="H19272" s="701" t="s">
        <v>12804</v>
      </c>
    </row>
    <row r="19273" spans="1:8" ht="15" x14ac:dyDescent="0.2">
      <c r="A19273" s="729">
        <v>45406</v>
      </c>
      <c r="B19273" s="93" t="s">
        <v>11077</v>
      </c>
      <c r="C19273" s="93" t="s">
        <v>558</v>
      </c>
      <c r="D19273" s="801" t="s">
        <v>12949</v>
      </c>
      <c r="E19273" s="175"/>
      <c r="F19273" s="175">
        <v>1000000</v>
      </c>
      <c r="G19273" s="175">
        <f t="shared" si="307"/>
        <v>1000000</v>
      </c>
      <c r="H19273" s="701" t="s">
        <v>12804</v>
      </c>
    </row>
    <row r="19274" spans="1:8" ht="15" x14ac:dyDescent="0.2">
      <c r="A19274" s="729">
        <v>45406</v>
      </c>
      <c r="B19274" s="93" t="s">
        <v>11077</v>
      </c>
      <c r="C19274" s="93" t="s">
        <v>558</v>
      </c>
      <c r="D19274" s="801" t="s">
        <v>12949</v>
      </c>
      <c r="E19274" s="175"/>
      <c r="F19274" s="175">
        <v>215000</v>
      </c>
      <c r="G19274" s="175">
        <f t="shared" si="307"/>
        <v>215000</v>
      </c>
      <c r="H19274" s="701" t="s">
        <v>12804</v>
      </c>
    </row>
    <row r="19275" spans="1:8" ht="15" x14ac:dyDescent="0.2">
      <c r="A19275" s="729">
        <v>45408</v>
      </c>
      <c r="B19275" s="90" t="s">
        <v>9353</v>
      </c>
      <c r="C19275" s="93" t="s">
        <v>558</v>
      </c>
      <c r="D19275" s="800" t="s">
        <v>12897</v>
      </c>
      <c r="E19275" s="91"/>
      <c r="F19275" s="91">
        <v>179360</v>
      </c>
      <c r="G19275" s="175">
        <f t="shared" si="307"/>
        <v>179360</v>
      </c>
      <c r="H19275" s="701" t="s">
        <v>12804</v>
      </c>
    </row>
    <row r="19276" spans="1:8" ht="15" x14ac:dyDescent="0.2">
      <c r="A19276" s="729">
        <v>45408</v>
      </c>
      <c r="B19276" s="90" t="s">
        <v>9353</v>
      </c>
      <c r="C19276" s="93" t="s">
        <v>558</v>
      </c>
      <c r="D19276" s="800" t="s">
        <v>12898</v>
      </c>
      <c r="E19276" s="91"/>
      <c r="F19276" s="91">
        <v>215940</v>
      </c>
      <c r="G19276" s="175">
        <f t="shared" si="307"/>
        <v>215940</v>
      </c>
      <c r="H19276" s="701" t="s">
        <v>12804</v>
      </c>
    </row>
    <row r="19277" spans="1:8" ht="15" x14ac:dyDescent="0.2">
      <c r="A19277" s="729">
        <v>45411</v>
      </c>
      <c r="B19277" s="90" t="s">
        <v>11596</v>
      </c>
      <c r="C19277" s="93" t="s">
        <v>558</v>
      </c>
      <c r="D19277" s="800" t="s">
        <v>12904</v>
      </c>
      <c r="E19277" s="91"/>
      <c r="F19277" s="91">
        <v>8254400</v>
      </c>
      <c r="G19277" s="91">
        <f t="shared" si="307"/>
        <v>8254400</v>
      </c>
      <c r="H19277" s="701" t="s">
        <v>12804</v>
      </c>
    </row>
    <row r="19278" spans="1:8" ht="15" x14ac:dyDescent="0.2">
      <c r="A19278" s="729">
        <v>45411</v>
      </c>
      <c r="B19278" s="90" t="s">
        <v>11596</v>
      </c>
      <c r="C19278" s="93" t="s">
        <v>558</v>
      </c>
      <c r="D19278" s="897" t="s">
        <v>13023</v>
      </c>
      <c r="E19278" s="642">
        <v>82544</v>
      </c>
      <c r="F19278" s="91"/>
      <c r="G19278" s="91">
        <f t="shared" si="307"/>
        <v>-82544</v>
      </c>
      <c r="H19278" s="701" t="s">
        <v>12804</v>
      </c>
    </row>
    <row r="19279" spans="1:8" ht="15" x14ac:dyDescent="0.2">
      <c r="A19279" s="733">
        <v>45414</v>
      </c>
      <c r="B19279" s="62" t="s">
        <v>13299</v>
      </c>
      <c r="C19279" s="62" t="s">
        <v>6475</v>
      </c>
      <c r="D19279" s="107" t="s">
        <v>10718</v>
      </c>
      <c r="E19279" s="57">
        <v>70000</v>
      </c>
      <c r="F19279" s="57"/>
      <c r="G19279" s="125">
        <f t="shared" si="307"/>
        <v>-70000</v>
      </c>
      <c r="H19279" s="704" t="s">
        <v>12939</v>
      </c>
    </row>
    <row r="19280" spans="1:8" ht="15" x14ac:dyDescent="0.2">
      <c r="A19280" s="733">
        <v>45414</v>
      </c>
      <c r="B19280" s="40" t="s">
        <v>11717</v>
      </c>
      <c r="C19280" s="62" t="s">
        <v>10981</v>
      </c>
      <c r="D19280" s="107" t="s">
        <v>6485</v>
      </c>
      <c r="E19280" s="57">
        <v>2520</v>
      </c>
      <c r="F19280" s="57"/>
      <c r="G19280" s="125">
        <f t="shared" si="307"/>
        <v>-2520</v>
      </c>
      <c r="H19280" s="704" t="s">
        <v>12939</v>
      </c>
    </row>
    <row r="19281" spans="1:8" ht="15" x14ac:dyDescent="0.2">
      <c r="A19281" s="733">
        <v>45414</v>
      </c>
      <c r="B19281" s="40" t="s">
        <v>103</v>
      </c>
      <c r="C19281" s="62" t="s">
        <v>103</v>
      </c>
      <c r="D19281" s="107" t="s">
        <v>12940</v>
      </c>
      <c r="E19281" s="57">
        <v>1300</v>
      </c>
      <c r="F19281" s="57"/>
      <c r="G19281" s="125">
        <f t="shared" si="307"/>
        <v>-1300</v>
      </c>
      <c r="H19281" s="704" t="s">
        <v>12939</v>
      </c>
    </row>
    <row r="19282" spans="1:8" ht="15" x14ac:dyDescent="0.2">
      <c r="A19282" s="733">
        <v>45414</v>
      </c>
      <c r="B19282" s="40" t="s">
        <v>11614</v>
      </c>
      <c r="C19282" s="62" t="s">
        <v>5740</v>
      </c>
      <c r="D19282" s="107" t="s">
        <v>5740</v>
      </c>
      <c r="E19282" s="57">
        <v>400</v>
      </c>
      <c r="F19282" s="57"/>
      <c r="G19282" s="125">
        <f t="shared" si="307"/>
        <v>-400</v>
      </c>
      <c r="H19282" s="704" t="s">
        <v>12939</v>
      </c>
    </row>
    <row r="19283" spans="1:8" ht="15" x14ac:dyDescent="0.2">
      <c r="A19283" s="733">
        <v>45414</v>
      </c>
      <c r="B19283" s="40" t="s">
        <v>103</v>
      </c>
      <c r="C19283" s="62" t="s">
        <v>103</v>
      </c>
      <c r="D19283" s="107" t="s">
        <v>12941</v>
      </c>
      <c r="E19283" s="57">
        <v>1500</v>
      </c>
      <c r="F19283" s="57"/>
      <c r="G19283" s="125">
        <f t="shared" si="307"/>
        <v>-1500</v>
      </c>
      <c r="H19283" s="704" t="s">
        <v>12939</v>
      </c>
    </row>
    <row r="19284" spans="1:8" ht="15" x14ac:dyDescent="0.2">
      <c r="A19284" s="733">
        <v>45414</v>
      </c>
      <c r="B19284" s="40" t="s">
        <v>11874</v>
      </c>
      <c r="C19284" s="62" t="s">
        <v>5740</v>
      </c>
      <c r="D19284" s="107" t="s">
        <v>12942</v>
      </c>
      <c r="E19284" s="57">
        <v>4000</v>
      </c>
      <c r="F19284" s="57"/>
      <c r="G19284" s="125">
        <f t="shared" si="307"/>
        <v>-4000</v>
      </c>
      <c r="H19284" s="704" t="s">
        <v>12939</v>
      </c>
    </row>
    <row r="19285" spans="1:8" ht="15" x14ac:dyDescent="0.2">
      <c r="A19285" s="733">
        <v>45414</v>
      </c>
      <c r="B19285" s="40" t="s">
        <v>11874</v>
      </c>
      <c r="C19285" s="62" t="s">
        <v>11875</v>
      </c>
      <c r="D19285" s="107" t="s">
        <v>12943</v>
      </c>
      <c r="E19285" s="57">
        <v>250000</v>
      </c>
      <c r="F19285" s="57"/>
      <c r="G19285" s="125">
        <f t="shared" si="307"/>
        <v>-250000</v>
      </c>
      <c r="H19285" s="704" t="s">
        <v>12939</v>
      </c>
    </row>
    <row r="19286" spans="1:8" ht="15" x14ac:dyDescent="0.2">
      <c r="A19286" s="733">
        <v>45414</v>
      </c>
      <c r="B19286" s="40" t="s">
        <v>11874</v>
      </c>
      <c r="C19286" s="62" t="s">
        <v>12777</v>
      </c>
      <c r="D19286" s="107" t="s">
        <v>12944</v>
      </c>
      <c r="E19286" s="57">
        <v>500000</v>
      </c>
      <c r="F19286" s="57"/>
      <c r="G19286" s="125">
        <f t="shared" si="307"/>
        <v>-500000</v>
      </c>
      <c r="H19286" s="704" t="s">
        <v>12939</v>
      </c>
    </row>
    <row r="19287" spans="1:8" ht="15" x14ac:dyDescent="0.2">
      <c r="A19287" s="733">
        <v>45414</v>
      </c>
      <c r="B19287" s="40" t="s">
        <v>11077</v>
      </c>
      <c r="C19287" s="62" t="s">
        <v>10981</v>
      </c>
      <c r="D19287" s="107" t="s">
        <v>12945</v>
      </c>
      <c r="E19287" s="57">
        <v>76000</v>
      </c>
      <c r="F19287" s="57"/>
      <c r="G19287" s="125">
        <f t="shared" si="307"/>
        <v>-76000</v>
      </c>
      <c r="H19287" s="704" t="s">
        <v>12939</v>
      </c>
    </row>
    <row r="19288" spans="1:8" ht="15" x14ac:dyDescent="0.2">
      <c r="A19288" s="733">
        <v>45414</v>
      </c>
      <c r="B19288" s="40" t="s">
        <v>11596</v>
      </c>
      <c r="C19288" s="62" t="s">
        <v>8089</v>
      </c>
      <c r="D19288" s="107" t="s">
        <v>12977</v>
      </c>
      <c r="E19288" s="57">
        <v>250000</v>
      </c>
      <c r="F19288" s="57"/>
      <c r="G19288" s="125">
        <f t="shared" si="307"/>
        <v>-250000</v>
      </c>
      <c r="H19288" s="704" t="s">
        <v>12939</v>
      </c>
    </row>
    <row r="19289" spans="1:8" ht="15" x14ac:dyDescent="0.2">
      <c r="A19289" s="733">
        <v>45415</v>
      </c>
      <c r="B19289" s="40" t="s">
        <v>103</v>
      </c>
      <c r="C19289" s="62" t="s">
        <v>103</v>
      </c>
      <c r="D19289" s="107" t="s">
        <v>12946</v>
      </c>
      <c r="E19289" s="57">
        <v>800</v>
      </c>
      <c r="F19289" s="57"/>
      <c r="G19289" s="125">
        <f t="shared" si="307"/>
        <v>-800</v>
      </c>
      <c r="H19289" s="704" t="s">
        <v>12939</v>
      </c>
    </row>
    <row r="19290" spans="1:8" ht="15" x14ac:dyDescent="0.2">
      <c r="A19290" s="733">
        <v>45415</v>
      </c>
      <c r="B19290" s="40" t="s">
        <v>11717</v>
      </c>
      <c r="C19290" s="62" t="s">
        <v>10981</v>
      </c>
      <c r="D19290" s="107" t="s">
        <v>12947</v>
      </c>
      <c r="E19290" s="57">
        <v>31000</v>
      </c>
      <c r="F19290" s="57"/>
      <c r="G19290" s="125">
        <f t="shared" si="307"/>
        <v>-31000</v>
      </c>
      <c r="H19290" s="704" t="s">
        <v>12939</v>
      </c>
    </row>
    <row r="19291" spans="1:8" ht="15" x14ac:dyDescent="0.2">
      <c r="A19291" s="733">
        <v>45415</v>
      </c>
      <c r="B19291" s="40" t="s">
        <v>11717</v>
      </c>
      <c r="C19291" s="62" t="s">
        <v>10981</v>
      </c>
      <c r="D19291" s="107" t="s">
        <v>12974</v>
      </c>
      <c r="E19291" s="57">
        <v>35300</v>
      </c>
      <c r="F19291" s="57"/>
      <c r="G19291" s="125">
        <f t="shared" si="307"/>
        <v>-35300</v>
      </c>
      <c r="H19291" s="704" t="s">
        <v>12939</v>
      </c>
    </row>
    <row r="19292" spans="1:8" ht="15" x14ac:dyDescent="0.2">
      <c r="A19292" s="733">
        <v>45415</v>
      </c>
      <c r="B19292" s="40" t="s">
        <v>103</v>
      </c>
      <c r="C19292" s="62" t="s">
        <v>103</v>
      </c>
      <c r="D19292" s="107" t="s">
        <v>10208</v>
      </c>
      <c r="E19292" s="57">
        <v>3000</v>
      </c>
      <c r="F19292" s="57"/>
      <c r="G19292" s="125">
        <f t="shared" si="307"/>
        <v>-3000</v>
      </c>
      <c r="H19292" s="704" t="s">
        <v>12939</v>
      </c>
    </row>
    <row r="19293" spans="1:8" ht="15" x14ac:dyDescent="0.2">
      <c r="A19293" s="733">
        <v>45415</v>
      </c>
      <c r="B19293" s="40" t="s">
        <v>12400</v>
      </c>
      <c r="C19293" s="550" t="s">
        <v>2189</v>
      </c>
      <c r="D19293" s="892" t="s">
        <v>12975</v>
      </c>
      <c r="E19293" s="582">
        <v>3500</v>
      </c>
      <c r="F19293" s="57"/>
      <c r="G19293" s="125">
        <f t="shared" si="307"/>
        <v>-3500</v>
      </c>
      <c r="H19293" s="704" t="s">
        <v>12939</v>
      </c>
    </row>
    <row r="19294" spans="1:8" ht="15" x14ac:dyDescent="0.2">
      <c r="A19294" s="733">
        <v>45415</v>
      </c>
      <c r="B19294" s="40" t="s">
        <v>11614</v>
      </c>
      <c r="C19294" s="550" t="s">
        <v>2189</v>
      </c>
      <c r="D19294" s="892" t="s">
        <v>12975</v>
      </c>
      <c r="E19294" s="582">
        <v>3500</v>
      </c>
      <c r="F19294" s="57"/>
      <c r="G19294" s="125">
        <f t="shared" si="307"/>
        <v>-3500</v>
      </c>
      <c r="H19294" s="704" t="s">
        <v>12939</v>
      </c>
    </row>
    <row r="19295" spans="1:8" ht="15" x14ac:dyDescent="0.2">
      <c r="A19295" s="733">
        <v>45415</v>
      </c>
      <c r="B19295" s="40" t="s">
        <v>10229</v>
      </c>
      <c r="C19295" s="550" t="s">
        <v>2189</v>
      </c>
      <c r="D19295" s="892" t="s">
        <v>12975</v>
      </c>
      <c r="E19295" s="582">
        <v>4000</v>
      </c>
      <c r="F19295" s="57"/>
      <c r="G19295" s="125">
        <f t="shared" si="307"/>
        <v>-4000</v>
      </c>
      <c r="H19295" s="704" t="s">
        <v>12939</v>
      </c>
    </row>
    <row r="19296" spans="1:8" ht="15" x14ac:dyDescent="0.2">
      <c r="A19296" s="733">
        <v>45415</v>
      </c>
      <c r="B19296" s="40" t="s">
        <v>11717</v>
      </c>
      <c r="C19296" s="62" t="s">
        <v>5740</v>
      </c>
      <c r="D19296" s="107" t="s">
        <v>369</v>
      </c>
      <c r="E19296" s="57">
        <v>1800</v>
      </c>
      <c r="F19296" s="57"/>
      <c r="G19296" s="125">
        <f t="shared" si="307"/>
        <v>-1800</v>
      </c>
      <c r="H19296" s="704" t="s">
        <v>12939</v>
      </c>
    </row>
    <row r="19297" spans="1:8" ht="15" x14ac:dyDescent="0.2">
      <c r="A19297" s="733">
        <v>45415</v>
      </c>
      <c r="B19297" s="40" t="s">
        <v>11874</v>
      </c>
      <c r="C19297" s="62" t="s">
        <v>391</v>
      </c>
      <c r="D19297" s="107" t="s">
        <v>12976</v>
      </c>
      <c r="E19297" s="57">
        <v>10120</v>
      </c>
      <c r="F19297" s="57"/>
      <c r="G19297" s="125">
        <f t="shared" si="307"/>
        <v>-10120</v>
      </c>
      <c r="H19297" s="704" t="s">
        <v>12939</v>
      </c>
    </row>
    <row r="19298" spans="1:8" ht="15" x14ac:dyDescent="0.2">
      <c r="A19298" s="733">
        <v>45415</v>
      </c>
      <c r="B19298" s="62" t="s">
        <v>13299</v>
      </c>
      <c r="C19298" s="62" t="s">
        <v>10981</v>
      </c>
      <c r="D19298" s="107" t="s">
        <v>12979</v>
      </c>
      <c r="E19298" s="57">
        <v>20400</v>
      </c>
      <c r="F19298" s="57"/>
      <c r="G19298" s="125">
        <f t="shared" si="307"/>
        <v>-20400</v>
      </c>
      <c r="H19298" s="704" t="s">
        <v>12939</v>
      </c>
    </row>
    <row r="19299" spans="1:8" ht="15" x14ac:dyDescent="0.2">
      <c r="A19299" s="733">
        <v>45415</v>
      </c>
      <c r="B19299" s="40" t="s">
        <v>12505</v>
      </c>
      <c r="C19299" s="62" t="s">
        <v>12532</v>
      </c>
      <c r="D19299" s="107" t="s">
        <v>12978</v>
      </c>
      <c r="E19299" s="57">
        <v>200000</v>
      </c>
      <c r="F19299" s="57"/>
      <c r="G19299" s="125">
        <f t="shared" si="307"/>
        <v>-200000</v>
      </c>
      <c r="H19299" s="704" t="s">
        <v>12939</v>
      </c>
    </row>
    <row r="19300" spans="1:8" ht="15" x14ac:dyDescent="0.2">
      <c r="A19300" s="733">
        <v>45416</v>
      </c>
      <c r="B19300" s="583" t="s">
        <v>4720</v>
      </c>
      <c r="C19300" s="669" t="s">
        <v>8391</v>
      </c>
      <c r="D19300" s="912" t="s">
        <v>13029</v>
      </c>
      <c r="E19300" s="584">
        <v>162620</v>
      </c>
      <c r="F19300" s="57"/>
      <c r="G19300" s="125">
        <f t="shared" si="307"/>
        <v>-162620</v>
      </c>
      <c r="H19300" s="704" t="s">
        <v>12939</v>
      </c>
    </row>
    <row r="19301" spans="1:8" ht="15" x14ac:dyDescent="0.2">
      <c r="A19301" s="733">
        <v>45416</v>
      </c>
      <c r="B19301" s="583" t="s">
        <v>8556</v>
      </c>
      <c r="C19301" s="669" t="s">
        <v>8391</v>
      </c>
      <c r="D19301" s="912" t="s">
        <v>13029</v>
      </c>
      <c r="E19301" s="584">
        <v>74242</v>
      </c>
      <c r="F19301" s="57"/>
      <c r="G19301" s="125">
        <f t="shared" si="307"/>
        <v>-74242</v>
      </c>
      <c r="H19301" s="704" t="s">
        <v>12939</v>
      </c>
    </row>
    <row r="19302" spans="1:8" ht="15" x14ac:dyDescent="0.2">
      <c r="A19302" s="733">
        <v>45416</v>
      </c>
      <c r="B19302" s="583" t="s">
        <v>10899</v>
      </c>
      <c r="C19302" s="669" t="s">
        <v>8391</v>
      </c>
      <c r="D19302" s="912" t="s">
        <v>13029</v>
      </c>
      <c r="E19302" s="584">
        <v>20637</v>
      </c>
      <c r="F19302" s="57"/>
      <c r="G19302" s="125">
        <f t="shared" si="307"/>
        <v>-20637</v>
      </c>
      <c r="H19302" s="704" t="s">
        <v>12939</v>
      </c>
    </row>
    <row r="19303" spans="1:8" ht="15" x14ac:dyDescent="0.2">
      <c r="A19303" s="733">
        <v>45416</v>
      </c>
      <c r="B19303" s="583" t="s">
        <v>11695</v>
      </c>
      <c r="C19303" s="669" t="s">
        <v>8391</v>
      </c>
      <c r="D19303" s="912" t="s">
        <v>13029</v>
      </c>
      <c r="E19303" s="584">
        <v>6768</v>
      </c>
      <c r="F19303" s="57"/>
      <c r="G19303" s="125">
        <f t="shared" si="307"/>
        <v>-6768</v>
      </c>
      <c r="H19303" s="704" t="s">
        <v>12939</v>
      </c>
    </row>
    <row r="19304" spans="1:8" ht="15" x14ac:dyDescent="0.2">
      <c r="A19304" s="733">
        <v>45416</v>
      </c>
      <c r="B19304" s="583" t="s">
        <v>11596</v>
      </c>
      <c r="C19304" s="669" t="s">
        <v>8391</v>
      </c>
      <c r="D19304" s="912" t="s">
        <v>13029</v>
      </c>
      <c r="E19304" s="584">
        <v>25632</v>
      </c>
      <c r="F19304" s="57"/>
      <c r="G19304" s="125">
        <f t="shared" si="307"/>
        <v>-25632</v>
      </c>
      <c r="H19304" s="704" t="s">
        <v>12939</v>
      </c>
    </row>
    <row r="19305" spans="1:8" ht="15" x14ac:dyDescent="0.2">
      <c r="A19305" s="733">
        <v>45416</v>
      </c>
      <c r="B19305" s="583" t="s">
        <v>12789</v>
      </c>
      <c r="C19305" s="669" t="s">
        <v>8391</v>
      </c>
      <c r="D19305" s="912" t="s">
        <v>13029</v>
      </c>
      <c r="E19305" s="584">
        <v>153139</v>
      </c>
      <c r="F19305" s="57"/>
      <c r="G19305" s="125">
        <f t="shared" si="307"/>
        <v>-153139</v>
      </c>
      <c r="H19305" s="704" t="s">
        <v>12939</v>
      </c>
    </row>
    <row r="19306" spans="1:8" ht="15" x14ac:dyDescent="0.2">
      <c r="A19306" s="733">
        <v>45416</v>
      </c>
      <c r="B19306" s="583" t="s">
        <v>11717</v>
      </c>
      <c r="C19306" s="669" t="s">
        <v>8391</v>
      </c>
      <c r="D19306" s="912" t="s">
        <v>13029</v>
      </c>
      <c r="E19306" s="584">
        <v>56962</v>
      </c>
      <c r="F19306" s="57"/>
      <c r="G19306" s="125">
        <f t="shared" si="307"/>
        <v>-56962</v>
      </c>
      <c r="H19306" s="704" t="s">
        <v>12939</v>
      </c>
    </row>
    <row r="19307" spans="1:8" ht="15" x14ac:dyDescent="0.2">
      <c r="A19307" s="733">
        <v>45415</v>
      </c>
      <c r="B19307" s="1071" t="s">
        <v>11077</v>
      </c>
      <c r="C19307" s="1049" t="s">
        <v>793</v>
      </c>
      <c r="D19307" s="1072" t="s">
        <v>12805</v>
      </c>
      <c r="E19307" s="1073">
        <v>50000</v>
      </c>
      <c r="F19307" s="57"/>
      <c r="G19307" s="125">
        <f t="shared" si="307"/>
        <v>-50000</v>
      </c>
      <c r="H19307" s="704" t="s">
        <v>12939</v>
      </c>
    </row>
    <row r="19308" spans="1:8" ht="15" x14ac:dyDescent="0.2">
      <c r="A19308" s="733">
        <v>45415</v>
      </c>
      <c r="B19308" s="1071" t="s">
        <v>10176</v>
      </c>
      <c r="C19308" s="1049" t="s">
        <v>793</v>
      </c>
      <c r="D19308" s="1072" t="s">
        <v>8428</v>
      </c>
      <c r="E19308" s="1073">
        <v>5000</v>
      </c>
      <c r="F19308" s="57"/>
      <c r="G19308" s="125">
        <f t="shared" si="307"/>
        <v>-5000</v>
      </c>
      <c r="H19308" s="704" t="s">
        <v>12939</v>
      </c>
    </row>
    <row r="19309" spans="1:8" ht="15" x14ac:dyDescent="0.2">
      <c r="A19309" s="733">
        <v>45415</v>
      </c>
      <c r="B19309" s="1071" t="s">
        <v>10229</v>
      </c>
      <c r="C19309" s="1049" t="s">
        <v>793</v>
      </c>
      <c r="D19309" s="1072" t="s">
        <v>12194</v>
      </c>
      <c r="E19309" s="1073">
        <v>50000</v>
      </c>
      <c r="F19309" s="57"/>
      <c r="G19309" s="125">
        <f t="shared" si="307"/>
        <v>-50000</v>
      </c>
      <c r="H19309" s="704" t="s">
        <v>12939</v>
      </c>
    </row>
    <row r="19310" spans="1:8" ht="15" x14ac:dyDescent="0.2">
      <c r="A19310" s="733">
        <v>45415</v>
      </c>
      <c r="B19310" s="1071" t="s">
        <v>103</v>
      </c>
      <c r="C19310" s="1049" t="s">
        <v>793</v>
      </c>
      <c r="D19310" s="1072" t="s">
        <v>12806</v>
      </c>
      <c r="E19310" s="1073">
        <v>105000</v>
      </c>
      <c r="F19310" s="57"/>
      <c r="G19310" s="125">
        <f t="shared" si="307"/>
        <v>-105000</v>
      </c>
      <c r="H19310" s="704" t="s">
        <v>12939</v>
      </c>
    </row>
    <row r="19311" spans="1:8" ht="15" x14ac:dyDescent="0.2">
      <c r="A19311" s="733">
        <v>45416</v>
      </c>
      <c r="B19311" s="1071" t="s">
        <v>103</v>
      </c>
      <c r="C19311" s="1049" t="s">
        <v>793</v>
      </c>
      <c r="D19311" s="1072" t="s">
        <v>12764</v>
      </c>
      <c r="E19311" s="1073">
        <v>6000</v>
      </c>
      <c r="F19311" s="57"/>
      <c r="G19311" s="125">
        <f t="shared" si="307"/>
        <v>-6000</v>
      </c>
      <c r="H19311" s="704" t="s">
        <v>12939</v>
      </c>
    </row>
    <row r="19312" spans="1:8" ht="15" x14ac:dyDescent="0.2">
      <c r="A19312" s="733">
        <v>45418</v>
      </c>
      <c r="B19312" s="1071" t="s">
        <v>103</v>
      </c>
      <c r="C19312" s="1049" t="s">
        <v>793</v>
      </c>
      <c r="D19312" s="1072" t="s">
        <v>10134</v>
      </c>
      <c r="E19312" s="1073">
        <v>264700</v>
      </c>
      <c r="F19312" s="57"/>
      <c r="G19312" s="125">
        <f t="shared" si="307"/>
        <v>-264700</v>
      </c>
      <c r="H19312" s="704" t="s">
        <v>12939</v>
      </c>
    </row>
    <row r="19313" spans="1:8" ht="15" x14ac:dyDescent="0.2">
      <c r="A19313" s="733">
        <v>45418</v>
      </c>
      <c r="B19313" s="1071" t="s">
        <v>11874</v>
      </c>
      <c r="C19313" s="1049" t="s">
        <v>793</v>
      </c>
      <c r="D19313" s="1072" t="s">
        <v>12987</v>
      </c>
      <c r="E19313" s="1073">
        <v>249550</v>
      </c>
      <c r="F19313" s="57"/>
      <c r="G19313" s="125">
        <f t="shared" si="307"/>
        <v>-249550</v>
      </c>
      <c r="H19313" s="704" t="s">
        <v>12939</v>
      </c>
    </row>
    <row r="19314" spans="1:8" ht="15" x14ac:dyDescent="0.2">
      <c r="A19314" s="733">
        <v>45418</v>
      </c>
      <c r="B19314" s="1071" t="s">
        <v>11077</v>
      </c>
      <c r="C19314" s="1049" t="s">
        <v>793</v>
      </c>
      <c r="D19314" s="1072" t="s">
        <v>12988</v>
      </c>
      <c r="E19314" s="1073">
        <v>65210</v>
      </c>
      <c r="F19314" s="57"/>
      <c r="G19314" s="125">
        <f t="shared" si="307"/>
        <v>-65210</v>
      </c>
      <c r="H19314" s="704" t="s">
        <v>12939</v>
      </c>
    </row>
    <row r="19315" spans="1:8" ht="15" x14ac:dyDescent="0.2">
      <c r="A19315" s="733">
        <v>45418</v>
      </c>
      <c r="B19315" s="1071" t="s">
        <v>11123</v>
      </c>
      <c r="C19315" s="1049" t="s">
        <v>793</v>
      </c>
      <c r="D19315" s="1072" t="s">
        <v>12822</v>
      </c>
      <c r="E19315" s="1073">
        <v>42250</v>
      </c>
      <c r="F19315" s="57"/>
      <c r="G19315" s="125">
        <f t="shared" si="307"/>
        <v>-42250</v>
      </c>
      <c r="H19315" s="704" t="s">
        <v>12939</v>
      </c>
    </row>
    <row r="19316" spans="1:8" ht="15" x14ac:dyDescent="0.2">
      <c r="A19316" s="733">
        <v>45418</v>
      </c>
      <c r="B19316" s="1071" t="s">
        <v>10229</v>
      </c>
      <c r="C19316" s="1049" t="s">
        <v>793</v>
      </c>
      <c r="D19316" s="1072" t="s">
        <v>12823</v>
      </c>
      <c r="E19316" s="1073">
        <v>65000</v>
      </c>
      <c r="F19316" s="57"/>
      <c r="G19316" s="125">
        <f t="shared" si="307"/>
        <v>-65000</v>
      </c>
      <c r="H19316" s="704" t="s">
        <v>12939</v>
      </c>
    </row>
    <row r="19317" spans="1:8" ht="15" x14ac:dyDescent="0.2">
      <c r="A19317" s="733">
        <v>45419</v>
      </c>
      <c r="B19317" s="1071" t="s">
        <v>37</v>
      </c>
      <c r="C19317" s="1049" t="s">
        <v>793</v>
      </c>
      <c r="D19317" s="1072" t="s">
        <v>11823</v>
      </c>
      <c r="E19317" s="1073">
        <v>194300</v>
      </c>
      <c r="F19317" s="57"/>
      <c r="G19317" s="125">
        <f t="shared" si="307"/>
        <v>-194300</v>
      </c>
      <c r="H19317" s="704" t="s">
        <v>12939</v>
      </c>
    </row>
    <row r="19318" spans="1:8" ht="15" x14ac:dyDescent="0.2">
      <c r="A19318" s="733">
        <v>45419</v>
      </c>
      <c r="B19318" s="1071" t="s">
        <v>11717</v>
      </c>
      <c r="C19318" s="1049" t="s">
        <v>793</v>
      </c>
      <c r="D19318" s="1072" t="s">
        <v>12385</v>
      </c>
      <c r="E19318" s="1073">
        <v>490650</v>
      </c>
      <c r="F19318" s="57"/>
      <c r="G19318" s="125">
        <f t="shared" si="307"/>
        <v>-490650</v>
      </c>
      <c r="H19318" s="704" t="s">
        <v>12939</v>
      </c>
    </row>
    <row r="19319" spans="1:8" ht="15" x14ac:dyDescent="0.2">
      <c r="A19319" s="733">
        <v>45420</v>
      </c>
      <c r="B19319" s="1071" t="s">
        <v>11123</v>
      </c>
      <c r="C19319" s="1049" t="s">
        <v>793</v>
      </c>
      <c r="D19319" s="1072" t="s">
        <v>11828</v>
      </c>
      <c r="E19319" s="1073">
        <v>51670</v>
      </c>
      <c r="F19319" s="57"/>
      <c r="G19319" s="125">
        <f t="shared" si="307"/>
        <v>-51670</v>
      </c>
      <c r="H19319" s="704" t="s">
        <v>12939</v>
      </c>
    </row>
    <row r="19320" spans="1:8" ht="15" x14ac:dyDescent="0.2">
      <c r="A19320" s="733">
        <v>45420</v>
      </c>
      <c r="B19320" s="1071" t="s">
        <v>12400</v>
      </c>
      <c r="C19320" s="1049" t="s">
        <v>793</v>
      </c>
      <c r="D19320" s="1072" t="s">
        <v>13009</v>
      </c>
      <c r="E19320" s="1073">
        <v>56000</v>
      </c>
      <c r="F19320" s="57"/>
      <c r="G19320" s="125">
        <f t="shared" si="307"/>
        <v>-56000</v>
      </c>
      <c r="H19320" s="704" t="s">
        <v>12939</v>
      </c>
    </row>
    <row r="19321" spans="1:8" ht="15" x14ac:dyDescent="0.2">
      <c r="A19321" s="733">
        <v>45420</v>
      </c>
      <c r="B19321" s="1071" t="s">
        <v>12400</v>
      </c>
      <c r="C19321" s="1049" t="s">
        <v>793</v>
      </c>
      <c r="D19321" s="1072" t="s">
        <v>11576</v>
      </c>
      <c r="E19321" s="1073">
        <v>43500</v>
      </c>
      <c r="F19321" s="57"/>
      <c r="G19321" s="125">
        <f t="shared" si="307"/>
        <v>-43500</v>
      </c>
      <c r="H19321" s="704" t="s">
        <v>12939</v>
      </c>
    </row>
    <row r="19322" spans="1:8" ht="15" x14ac:dyDescent="0.2">
      <c r="A19322" s="733">
        <v>45420</v>
      </c>
      <c r="B19322" s="1071" t="s">
        <v>12607</v>
      </c>
      <c r="C19322" s="1049" t="s">
        <v>793</v>
      </c>
      <c r="D19322" s="1072" t="s">
        <v>13010</v>
      </c>
      <c r="E19322" s="1073">
        <v>215020</v>
      </c>
      <c r="F19322" s="57"/>
      <c r="G19322" s="125">
        <f t="shared" si="307"/>
        <v>-215020</v>
      </c>
      <c r="H19322" s="704" t="s">
        <v>12939</v>
      </c>
    </row>
    <row r="19323" spans="1:8" ht="15" x14ac:dyDescent="0.2">
      <c r="A19323" s="733">
        <v>45420</v>
      </c>
      <c r="B19323" s="1071" t="s">
        <v>9353</v>
      </c>
      <c r="C19323" s="1049" t="s">
        <v>793</v>
      </c>
      <c r="D19323" s="1072" t="s">
        <v>13011</v>
      </c>
      <c r="E19323" s="1073">
        <v>68190</v>
      </c>
      <c r="F19323" s="57"/>
      <c r="G19323" s="125">
        <f t="shared" si="307"/>
        <v>-68190</v>
      </c>
      <c r="H19323" s="704" t="s">
        <v>12939</v>
      </c>
    </row>
    <row r="19324" spans="1:8" ht="15" x14ac:dyDescent="0.2">
      <c r="A19324" s="733">
        <v>45420</v>
      </c>
      <c r="B19324" s="1071" t="s">
        <v>11717</v>
      </c>
      <c r="C19324" s="1049" t="s">
        <v>793</v>
      </c>
      <c r="D19324" s="1072" t="s">
        <v>13012</v>
      </c>
      <c r="E19324" s="1073">
        <v>125300</v>
      </c>
      <c r="F19324" s="57"/>
      <c r="G19324" s="125">
        <f t="shared" si="307"/>
        <v>-125300</v>
      </c>
      <c r="H19324" s="704" t="s">
        <v>12939</v>
      </c>
    </row>
    <row r="19325" spans="1:8" ht="15" x14ac:dyDescent="0.2">
      <c r="A19325" s="733">
        <v>45420</v>
      </c>
      <c r="B19325" s="1071" t="s">
        <v>3945</v>
      </c>
      <c r="C19325" s="1071" t="s">
        <v>793</v>
      </c>
      <c r="D19325" s="1072" t="s">
        <v>12082</v>
      </c>
      <c r="E19325" s="1078">
        <v>148780</v>
      </c>
      <c r="G19325" s="125">
        <f t="shared" si="307"/>
        <v>-148780</v>
      </c>
      <c r="H19325" s="704" t="s">
        <v>12939</v>
      </c>
    </row>
    <row r="19326" spans="1:8" ht="15" x14ac:dyDescent="0.2">
      <c r="A19326" s="733">
        <v>45420</v>
      </c>
      <c r="B19326" s="1071" t="s">
        <v>3944</v>
      </c>
      <c r="C19326" s="1049" t="s">
        <v>793</v>
      </c>
      <c r="D19326" s="1072" t="s">
        <v>12389</v>
      </c>
      <c r="E19326" s="1073">
        <v>154872.91666666669</v>
      </c>
      <c r="F19326" s="57"/>
      <c r="G19326" s="125">
        <f t="shared" si="307"/>
        <v>-154872.91666666669</v>
      </c>
      <c r="H19326" s="704" t="s">
        <v>12939</v>
      </c>
    </row>
    <row r="19327" spans="1:8" ht="15" customHeight="1" x14ac:dyDescent="0.2">
      <c r="A19327" s="733">
        <v>45422</v>
      </c>
      <c r="B19327" s="1071" t="s">
        <v>3945</v>
      </c>
      <c r="C19327" s="1049" t="s">
        <v>793</v>
      </c>
      <c r="D19327" s="1072" t="s">
        <v>13043</v>
      </c>
      <c r="E19327" s="1073">
        <v>1250</v>
      </c>
      <c r="F19327" s="57"/>
      <c r="G19327" s="125">
        <f t="shared" ref="G19327:G19390" si="308">F19327-E19327</f>
        <v>-1250</v>
      </c>
      <c r="H19327" s="704" t="s">
        <v>12939</v>
      </c>
    </row>
    <row r="19328" spans="1:8" ht="15" x14ac:dyDescent="0.2">
      <c r="A19328" s="733">
        <v>45420</v>
      </c>
      <c r="B19328" s="1071" t="s">
        <v>11717</v>
      </c>
      <c r="C19328" s="1049" t="s">
        <v>793</v>
      </c>
      <c r="D19328" s="1072" t="s">
        <v>13037</v>
      </c>
      <c r="E19328" s="1073">
        <v>170000</v>
      </c>
      <c r="F19328" s="57"/>
      <c r="G19328" s="125">
        <f t="shared" si="308"/>
        <v>-170000</v>
      </c>
      <c r="H19328" s="704" t="s">
        <v>12939</v>
      </c>
    </row>
    <row r="19329" spans="1:8" ht="15" customHeight="1" x14ac:dyDescent="0.2">
      <c r="A19329" s="733">
        <v>45422</v>
      </c>
      <c r="B19329" s="1071" t="s">
        <v>3945</v>
      </c>
      <c r="C19329" s="1049" t="s">
        <v>793</v>
      </c>
      <c r="D19329" s="1072" t="s">
        <v>13045</v>
      </c>
      <c r="E19329" s="1073">
        <v>28000</v>
      </c>
      <c r="F19329" s="57"/>
      <c r="G19329" s="125">
        <f t="shared" si="308"/>
        <v>-28000</v>
      </c>
      <c r="H19329" s="704" t="s">
        <v>12939</v>
      </c>
    </row>
    <row r="19330" spans="1:8" ht="15" x14ac:dyDescent="0.2">
      <c r="A19330" s="733">
        <v>45416</v>
      </c>
      <c r="B19330" s="40" t="s">
        <v>12400</v>
      </c>
      <c r="C19330" s="62" t="s">
        <v>10981</v>
      </c>
      <c r="D19330" s="107" t="s">
        <v>12980</v>
      </c>
      <c r="E19330" s="57">
        <v>19500</v>
      </c>
      <c r="F19330" s="57"/>
      <c r="G19330" s="125">
        <f t="shared" si="308"/>
        <v>-19500</v>
      </c>
      <c r="H19330" s="704" t="s">
        <v>12939</v>
      </c>
    </row>
    <row r="19331" spans="1:8" ht="15" x14ac:dyDescent="0.2">
      <c r="A19331" s="733">
        <v>45416</v>
      </c>
      <c r="B19331" s="40" t="s">
        <v>11717</v>
      </c>
      <c r="C19331" s="62" t="s">
        <v>10981</v>
      </c>
      <c r="D19331" s="107" t="s">
        <v>10541</v>
      </c>
      <c r="E19331" s="57">
        <v>23020</v>
      </c>
      <c r="F19331" s="57"/>
      <c r="G19331" s="125">
        <f t="shared" si="308"/>
        <v>-23020</v>
      </c>
      <c r="H19331" s="704" t="s">
        <v>12939</v>
      </c>
    </row>
    <row r="19332" spans="1:8" ht="15" x14ac:dyDescent="0.2">
      <c r="A19332" s="733">
        <v>45416</v>
      </c>
      <c r="B19332" s="40" t="s">
        <v>11717</v>
      </c>
      <c r="C19332" s="62" t="s">
        <v>10981</v>
      </c>
      <c r="D19332" s="107" t="s">
        <v>9543</v>
      </c>
      <c r="E19332" s="57">
        <v>28695</v>
      </c>
      <c r="F19332" s="57"/>
      <c r="G19332" s="125">
        <f t="shared" si="308"/>
        <v>-28695</v>
      </c>
      <c r="H19332" s="704" t="s">
        <v>12939</v>
      </c>
    </row>
    <row r="19333" spans="1:8" ht="15" x14ac:dyDescent="0.2">
      <c r="A19333" s="733">
        <v>45416</v>
      </c>
      <c r="B19333" s="40" t="s">
        <v>12400</v>
      </c>
      <c r="C19333" s="62" t="s">
        <v>10981</v>
      </c>
      <c r="D19333" s="107" t="s">
        <v>12981</v>
      </c>
      <c r="E19333" s="57">
        <v>660</v>
      </c>
      <c r="F19333" s="57"/>
      <c r="G19333" s="125">
        <f t="shared" si="308"/>
        <v>-660</v>
      </c>
      <c r="H19333" s="704" t="s">
        <v>12939</v>
      </c>
    </row>
    <row r="19334" spans="1:8" ht="15" x14ac:dyDescent="0.2">
      <c r="A19334" s="733">
        <v>45416</v>
      </c>
      <c r="B19334" s="62" t="s">
        <v>12597</v>
      </c>
      <c r="C19334" s="62" t="s">
        <v>10981</v>
      </c>
      <c r="D19334" s="107" t="s">
        <v>10541</v>
      </c>
      <c r="E19334" s="57">
        <v>1200</v>
      </c>
      <c r="F19334" s="57"/>
      <c r="G19334" s="125">
        <f t="shared" si="308"/>
        <v>-1200</v>
      </c>
      <c r="H19334" s="704" t="s">
        <v>12939</v>
      </c>
    </row>
    <row r="19335" spans="1:8" ht="15" x14ac:dyDescent="0.2">
      <c r="A19335" s="733">
        <v>45416</v>
      </c>
      <c r="B19335" s="40" t="s">
        <v>11717</v>
      </c>
      <c r="C19335" s="62" t="s">
        <v>10981</v>
      </c>
      <c r="D19335" s="107" t="s">
        <v>12510</v>
      </c>
      <c r="E19335" s="57">
        <v>4500</v>
      </c>
      <c r="F19335" s="57"/>
      <c r="G19335" s="125">
        <f t="shared" si="308"/>
        <v>-4500</v>
      </c>
      <c r="H19335" s="704" t="s">
        <v>12939</v>
      </c>
    </row>
    <row r="19336" spans="1:8" ht="15" x14ac:dyDescent="0.2">
      <c r="A19336" s="733">
        <v>45416</v>
      </c>
      <c r="B19336" s="40" t="s">
        <v>11717</v>
      </c>
      <c r="C19336" s="62" t="s">
        <v>10981</v>
      </c>
      <c r="D19336" s="107" t="s">
        <v>12982</v>
      </c>
      <c r="E19336" s="57">
        <v>8500</v>
      </c>
      <c r="F19336" s="57"/>
      <c r="G19336" s="125">
        <f t="shared" si="308"/>
        <v>-8500</v>
      </c>
      <c r="H19336" s="704" t="s">
        <v>12939</v>
      </c>
    </row>
    <row r="19337" spans="1:8" ht="15" x14ac:dyDescent="0.2">
      <c r="A19337" s="733">
        <v>45416</v>
      </c>
      <c r="B19337" s="40" t="s">
        <v>12789</v>
      </c>
      <c r="C19337" s="62" t="s">
        <v>10981</v>
      </c>
      <c r="D19337" s="107" t="s">
        <v>3095</v>
      </c>
      <c r="E19337" s="57">
        <v>780</v>
      </c>
      <c r="F19337" s="57"/>
      <c r="G19337" s="125">
        <f t="shared" si="308"/>
        <v>-780</v>
      </c>
      <c r="H19337" s="704" t="s">
        <v>12939</v>
      </c>
    </row>
    <row r="19338" spans="1:8" ht="15" x14ac:dyDescent="0.2">
      <c r="A19338" s="733">
        <v>45416</v>
      </c>
      <c r="B19338" s="40" t="s">
        <v>12400</v>
      </c>
      <c r="C19338" s="62" t="s">
        <v>10981</v>
      </c>
      <c r="D19338" s="107" t="s">
        <v>10543</v>
      </c>
      <c r="E19338" s="57">
        <v>600</v>
      </c>
      <c r="F19338" s="57"/>
      <c r="G19338" s="125">
        <f t="shared" si="308"/>
        <v>-600</v>
      </c>
      <c r="H19338" s="704" t="s">
        <v>12939</v>
      </c>
    </row>
    <row r="19339" spans="1:8" ht="15" x14ac:dyDescent="0.2">
      <c r="A19339" s="733">
        <v>45416</v>
      </c>
      <c r="B19339" s="40" t="s">
        <v>11081</v>
      </c>
      <c r="C19339" s="62" t="s">
        <v>10981</v>
      </c>
      <c r="D19339" s="107" t="s">
        <v>12983</v>
      </c>
      <c r="E19339" s="57">
        <v>3186</v>
      </c>
      <c r="F19339" s="57"/>
      <c r="G19339" s="125">
        <f t="shared" si="308"/>
        <v>-3186</v>
      </c>
      <c r="H19339" s="704" t="s">
        <v>12939</v>
      </c>
    </row>
    <row r="19340" spans="1:8" ht="15" x14ac:dyDescent="0.2">
      <c r="A19340" s="733">
        <v>45416</v>
      </c>
      <c r="B19340" s="40" t="s">
        <v>103</v>
      </c>
      <c r="C19340" s="62" t="s">
        <v>103</v>
      </c>
      <c r="D19340" s="107" t="s">
        <v>10208</v>
      </c>
      <c r="E19340" s="57">
        <v>2000</v>
      </c>
      <c r="F19340" s="57"/>
      <c r="G19340" s="125">
        <f t="shared" si="308"/>
        <v>-2000</v>
      </c>
      <c r="H19340" s="704" t="s">
        <v>12939</v>
      </c>
    </row>
    <row r="19341" spans="1:8" ht="15" x14ac:dyDescent="0.2">
      <c r="A19341" s="733">
        <v>45416</v>
      </c>
      <c r="B19341" s="40" t="s">
        <v>11717</v>
      </c>
      <c r="C19341" s="62" t="s">
        <v>285</v>
      </c>
      <c r="D19341" s="107" t="s">
        <v>8660</v>
      </c>
      <c r="E19341" s="57">
        <v>1000</v>
      </c>
      <c r="F19341" s="57"/>
      <c r="G19341" s="125">
        <f t="shared" si="308"/>
        <v>-1000</v>
      </c>
      <c r="H19341" s="704" t="s">
        <v>12939</v>
      </c>
    </row>
    <row r="19342" spans="1:8" ht="15" x14ac:dyDescent="0.2">
      <c r="A19342" s="733">
        <v>45416</v>
      </c>
      <c r="B19342" s="40" t="s">
        <v>11717</v>
      </c>
      <c r="C19342" s="62" t="s">
        <v>10981</v>
      </c>
      <c r="D19342" s="107" t="s">
        <v>12984</v>
      </c>
      <c r="E19342" s="57">
        <v>500</v>
      </c>
      <c r="F19342" s="57"/>
      <c r="G19342" s="125">
        <f t="shared" si="308"/>
        <v>-500</v>
      </c>
      <c r="H19342" s="704" t="s">
        <v>12939</v>
      </c>
    </row>
    <row r="19343" spans="1:8" ht="15" x14ac:dyDescent="0.2">
      <c r="A19343" s="733">
        <v>45416</v>
      </c>
      <c r="B19343" s="40" t="s">
        <v>11874</v>
      </c>
      <c r="C19343" s="62" t="s">
        <v>5740</v>
      </c>
      <c r="D19343" s="107" t="s">
        <v>369</v>
      </c>
      <c r="E19343" s="57">
        <v>1000</v>
      </c>
      <c r="F19343" s="57"/>
      <c r="G19343" s="125">
        <f t="shared" si="308"/>
        <v>-1000</v>
      </c>
      <c r="H19343" s="704" t="s">
        <v>12939</v>
      </c>
    </row>
    <row r="19344" spans="1:8" ht="24" x14ac:dyDescent="0.2">
      <c r="A19344" s="733">
        <v>45416</v>
      </c>
      <c r="B19344" s="40" t="s">
        <v>25</v>
      </c>
      <c r="C19344" s="62" t="s">
        <v>7544</v>
      </c>
      <c r="D19344" s="128" t="s">
        <v>13015</v>
      </c>
      <c r="E19344" s="57">
        <v>100000</v>
      </c>
      <c r="F19344" s="57"/>
      <c r="G19344" s="125">
        <f t="shared" si="308"/>
        <v>-100000</v>
      </c>
      <c r="H19344" s="704" t="s">
        <v>12939</v>
      </c>
    </row>
    <row r="19345" spans="1:8" ht="15" x14ac:dyDescent="0.2">
      <c r="A19345" s="733">
        <v>45416</v>
      </c>
      <c r="B19345" s="40" t="s">
        <v>11014</v>
      </c>
      <c r="C19345" s="62" t="s">
        <v>10981</v>
      </c>
      <c r="D19345" s="128" t="s">
        <v>13080</v>
      </c>
      <c r="E19345" s="57">
        <v>19000</v>
      </c>
      <c r="F19345" s="57"/>
      <c r="G19345" s="125">
        <f t="shared" si="308"/>
        <v>-19000</v>
      </c>
      <c r="H19345" s="704" t="s">
        <v>12939</v>
      </c>
    </row>
    <row r="19346" spans="1:8" ht="15" x14ac:dyDescent="0.2">
      <c r="A19346" s="733">
        <v>45418</v>
      </c>
      <c r="B19346" s="40" t="s">
        <v>103</v>
      </c>
      <c r="C19346" s="62" t="s">
        <v>8148</v>
      </c>
      <c r="D19346" s="107" t="s">
        <v>6309</v>
      </c>
      <c r="E19346" s="57">
        <v>930</v>
      </c>
      <c r="F19346" s="57"/>
      <c r="G19346" s="125">
        <f t="shared" si="308"/>
        <v>-930</v>
      </c>
      <c r="H19346" s="704" t="s">
        <v>12939</v>
      </c>
    </row>
    <row r="19347" spans="1:8" ht="15" x14ac:dyDescent="0.2">
      <c r="A19347" s="733">
        <v>45418</v>
      </c>
      <c r="B19347" s="40" t="s">
        <v>12400</v>
      </c>
      <c r="C19347" s="62" t="s">
        <v>5740</v>
      </c>
      <c r="D19347" s="107" t="s">
        <v>369</v>
      </c>
      <c r="E19347" s="57">
        <v>800</v>
      </c>
      <c r="F19347" s="57"/>
      <c r="G19347" s="125">
        <f t="shared" si="308"/>
        <v>-800</v>
      </c>
      <c r="H19347" s="704" t="s">
        <v>12939</v>
      </c>
    </row>
    <row r="19348" spans="1:8" ht="15" x14ac:dyDescent="0.2">
      <c r="A19348" s="733">
        <v>45418</v>
      </c>
      <c r="B19348" s="40" t="s">
        <v>11717</v>
      </c>
      <c r="C19348" s="62" t="s">
        <v>10981</v>
      </c>
      <c r="D19348" s="107" t="s">
        <v>12985</v>
      </c>
      <c r="E19348" s="57">
        <v>4980</v>
      </c>
      <c r="F19348" s="57"/>
      <c r="G19348" s="125">
        <f t="shared" si="308"/>
        <v>-4980</v>
      </c>
      <c r="H19348" s="704" t="s">
        <v>12939</v>
      </c>
    </row>
    <row r="19349" spans="1:8" ht="15" x14ac:dyDescent="0.2">
      <c r="A19349" s="733">
        <v>45418</v>
      </c>
      <c r="B19349" s="40" t="s">
        <v>12986</v>
      </c>
      <c r="C19349" s="62" t="s">
        <v>5740</v>
      </c>
      <c r="D19349" s="107" t="s">
        <v>369</v>
      </c>
      <c r="E19349" s="57">
        <v>1000</v>
      </c>
      <c r="F19349" s="57"/>
      <c r="G19349" s="125">
        <f t="shared" si="308"/>
        <v>-1000</v>
      </c>
      <c r="H19349" s="704" t="s">
        <v>12939</v>
      </c>
    </row>
    <row r="19350" spans="1:8" ht="15" x14ac:dyDescent="0.2">
      <c r="A19350" s="733">
        <v>45418</v>
      </c>
      <c r="B19350" s="40" t="s">
        <v>11077</v>
      </c>
      <c r="C19350" s="62" t="s">
        <v>5740</v>
      </c>
      <c r="D19350" s="107" t="s">
        <v>369</v>
      </c>
      <c r="E19350" s="57">
        <v>2000</v>
      </c>
      <c r="F19350" s="57"/>
      <c r="G19350" s="125">
        <f t="shared" si="308"/>
        <v>-2000</v>
      </c>
      <c r="H19350" s="704" t="s">
        <v>12939</v>
      </c>
    </row>
    <row r="19351" spans="1:8" ht="15" x14ac:dyDescent="0.2">
      <c r="A19351" s="733">
        <v>45418</v>
      </c>
      <c r="B19351" s="40" t="s">
        <v>103</v>
      </c>
      <c r="C19351" s="62" t="s">
        <v>103</v>
      </c>
      <c r="D19351" s="107" t="s">
        <v>10976</v>
      </c>
      <c r="E19351" s="57">
        <v>1000</v>
      </c>
      <c r="F19351" s="57"/>
      <c r="G19351" s="125">
        <f t="shared" si="308"/>
        <v>-1000</v>
      </c>
      <c r="H19351" s="704" t="s">
        <v>12939</v>
      </c>
    </row>
    <row r="19352" spans="1:8" ht="15" x14ac:dyDescent="0.2">
      <c r="A19352" s="733">
        <v>45418</v>
      </c>
      <c r="B19352" s="40" t="s">
        <v>103</v>
      </c>
      <c r="C19352" s="62" t="s">
        <v>103</v>
      </c>
      <c r="D19352" s="107" t="s">
        <v>12989</v>
      </c>
      <c r="E19352" s="57">
        <v>800</v>
      </c>
      <c r="F19352" s="57"/>
      <c r="G19352" s="125">
        <f t="shared" si="308"/>
        <v>-800</v>
      </c>
      <c r="H19352" s="704" t="s">
        <v>12939</v>
      </c>
    </row>
    <row r="19353" spans="1:8" ht="15" x14ac:dyDescent="0.2">
      <c r="A19353" s="733">
        <v>45418</v>
      </c>
      <c r="B19353" s="40" t="s">
        <v>103</v>
      </c>
      <c r="C19353" s="62" t="s">
        <v>103</v>
      </c>
      <c r="D19353" s="107" t="s">
        <v>10208</v>
      </c>
      <c r="E19353" s="57">
        <v>3000</v>
      </c>
      <c r="F19353" s="57"/>
      <c r="G19353" s="125">
        <f t="shared" si="308"/>
        <v>-3000</v>
      </c>
      <c r="H19353" s="704" t="s">
        <v>12939</v>
      </c>
    </row>
    <row r="19354" spans="1:8" ht="15" x14ac:dyDescent="0.2">
      <c r="A19354" s="733">
        <v>45418</v>
      </c>
      <c r="B19354" s="40" t="s">
        <v>11874</v>
      </c>
      <c r="C19354" s="62" t="s">
        <v>12004</v>
      </c>
      <c r="D19354" s="107" t="s">
        <v>12990</v>
      </c>
      <c r="E19354" s="57">
        <v>200000</v>
      </c>
      <c r="F19354" s="57"/>
      <c r="G19354" s="125">
        <f t="shared" si="308"/>
        <v>-200000</v>
      </c>
      <c r="H19354" s="704" t="s">
        <v>12939</v>
      </c>
    </row>
    <row r="19355" spans="1:8" ht="15" x14ac:dyDescent="0.2">
      <c r="A19355" s="733">
        <v>45418</v>
      </c>
      <c r="B19355" s="40" t="s">
        <v>12986</v>
      </c>
      <c r="C19355" s="62" t="s">
        <v>12993</v>
      </c>
      <c r="D19355" s="107" t="s">
        <v>12991</v>
      </c>
      <c r="E19355" s="57">
        <v>27500</v>
      </c>
      <c r="F19355" s="57"/>
      <c r="G19355" s="125">
        <f t="shared" si="308"/>
        <v>-27500</v>
      </c>
      <c r="H19355" s="704" t="s">
        <v>12939</v>
      </c>
    </row>
    <row r="19356" spans="1:8" ht="15" x14ac:dyDescent="0.2">
      <c r="A19356" s="733">
        <v>45418</v>
      </c>
      <c r="B19356" s="40" t="s">
        <v>12986</v>
      </c>
      <c r="C19356" s="62" t="s">
        <v>12993</v>
      </c>
      <c r="D19356" s="107" t="s">
        <v>12991</v>
      </c>
      <c r="E19356" s="57">
        <v>7000</v>
      </c>
      <c r="F19356" s="57"/>
      <c r="G19356" s="125">
        <f t="shared" si="308"/>
        <v>-7000</v>
      </c>
      <c r="H19356" s="704" t="s">
        <v>12939</v>
      </c>
    </row>
    <row r="19357" spans="1:8" ht="15" x14ac:dyDescent="0.2">
      <c r="A19357" s="733">
        <v>45418</v>
      </c>
      <c r="B19357" s="40" t="s">
        <v>12400</v>
      </c>
      <c r="C19357" s="62" t="s">
        <v>11374</v>
      </c>
      <c r="D19357" s="107" t="s">
        <v>12992</v>
      </c>
      <c r="E19357" s="57">
        <v>100000</v>
      </c>
      <c r="F19357" s="57"/>
      <c r="G19357" s="125">
        <f t="shared" si="308"/>
        <v>-100000</v>
      </c>
      <c r="H19357" s="704" t="s">
        <v>12939</v>
      </c>
    </row>
    <row r="19358" spans="1:8" ht="15" x14ac:dyDescent="0.2">
      <c r="A19358" s="733">
        <v>45418</v>
      </c>
      <c r="B19358" s="62" t="s">
        <v>12597</v>
      </c>
      <c r="C19358" s="669" t="s">
        <v>11995</v>
      </c>
      <c r="D19358" s="912" t="s">
        <v>13024</v>
      </c>
      <c r="E19358" s="584">
        <v>15350</v>
      </c>
      <c r="F19358" s="57"/>
      <c r="G19358" s="125">
        <f t="shared" si="308"/>
        <v>-15350</v>
      </c>
      <c r="H19358" s="704" t="s">
        <v>12939</v>
      </c>
    </row>
    <row r="19359" spans="1:8" ht="15" x14ac:dyDescent="0.2">
      <c r="A19359" s="733">
        <v>45418</v>
      </c>
      <c r="B19359" s="40" t="s">
        <v>10573</v>
      </c>
      <c r="C19359" s="669" t="s">
        <v>11995</v>
      </c>
      <c r="D19359" s="912" t="s">
        <v>13024</v>
      </c>
      <c r="E19359" s="584">
        <v>46500</v>
      </c>
      <c r="F19359" s="57"/>
      <c r="G19359" s="125">
        <f t="shared" si="308"/>
        <v>-46500</v>
      </c>
      <c r="H19359" s="704" t="s">
        <v>12939</v>
      </c>
    </row>
    <row r="19360" spans="1:8" ht="15" x14ac:dyDescent="0.2">
      <c r="A19360" s="733">
        <v>45418</v>
      </c>
      <c r="B19360" s="40" t="s">
        <v>10899</v>
      </c>
      <c r="C19360" s="669" t="s">
        <v>11995</v>
      </c>
      <c r="D19360" s="912" t="s">
        <v>13024</v>
      </c>
      <c r="E19360" s="584">
        <v>80500</v>
      </c>
      <c r="F19360" s="57"/>
      <c r="G19360" s="125">
        <f t="shared" si="308"/>
        <v>-80500</v>
      </c>
      <c r="H19360" s="704" t="s">
        <v>12939</v>
      </c>
    </row>
    <row r="19361" spans="1:8" ht="15" x14ac:dyDescent="0.2">
      <c r="A19361" s="733">
        <v>45418</v>
      </c>
      <c r="B19361" s="40" t="s">
        <v>11874</v>
      </c>
      <c r="C19361" s="669" t="s">
        <v>11995</v>
      </c>
      <c r="D19361" s="912" t="s">
        <v>13024</v>
      </c>
      <c r="E19361" s="584">
        <v>157650</v>
      </c>
      <c r="F19361" s="57"/>
      <c r="G19361" s="125">
        <f t="shared" si="308"/>
        <v>-157650</v>
      </c>
      <c r="H19361" s="704" t="s">
        <v>12939</v>
      </c>
    </row>
    <row r="19362" spans="1:8" ht="15" x14ac:dyDescent="0.2">
      <c r="A19362" s="733">
        <v>45419</v>
      </c>
      <c r="B19362" s="40" t="s">
        <v>103</v>
      </c>
      <c r="C19362" s="62" t="s">
        <v>103</v>
      </c>
      <c r="D19362" s="107" t="s">
        <v>10208</v>
      </c>
      <c r="E19362" s="57">
        <v>3000</v>
      </c>
      <c r="F19362" s="57"/>
      <c r="G19362" s="125">
        <f t="shared" si="308"/>
        <v>-3000</v>
      </c>
      <c r="H19362" s="704" t="s">
        <v>12939</v>
      </c>
    </row>
    <row r="19363" spans="1:8" ht="15" x14ac:dyDescent="0.2">
      <c r="A19363" s="733">
        <v>45419</v>
      </c>
      <c r="B19363" s="40" t="s">
        <v>11874</v>
      </c>
      <c r="C19363" s="62" t="s">
        <v>12282</v>
      </c>
      <c r="D19363" s="107" t="s">
        <v>1156</v>
      </c>
      <c r="E19363" s="57">
        <v>50000</v>
      </c>
      <c r="F19363" s="57"/>
      <c r="G19363" s="125">
        <f t="shared" si="308"/>
        <v>-50000</v>
      </c>
      <c r="H19363" s="704" t="s">
        <v>12939</v>
      </c>
    </row>
    <row r="19364" spans="1:8" ht="15" x14ac:dyDescent="0.2">
      <c r="A19364" s="733">
        <v>45419</v>
      </c>
      <c r="B19364" s="40" t="s">
        <v>11717</v>
      </c>
      <c r="C19364" s="62" t="s">
        <v>10981</v>
      </c>
      <c r="D19364" s="107" t="s">
        <v>12994</v>
      </c>
      <c r="E19364" s="57">
        <v>23450</v>
      </c>
      <c r="F19364" s="57"/>
      <c r="G19364" s="125">
        <f t="shared" si="308"/>
        <v>-23450</v>
      </c>
      <c r="H19364" s="704" t="s">
        <v>12939</v>
      </c>
    </row>
    <row r="19365" spans="1:8" ht="15" x14ac:dyDescent="0.2">
      <c r="A19365" s="733">
        <v>45419</v>
      </c>
      <c r="B19365" s="40" t="s">
        <v>37</v>
      </c>
      <c r="C19365" s="62" t="s">
        <v>391</v>
      </c>
      <c r="D19365" s="107" t="s">
        <v>5754</v>
      </c>
      <c r="E19365" s="57">
        <v>3000</v>
      </c>
      <c r="F19365" s="57"/>
      <c r="G19365" s="125">
        <f t="shared" si="308"/>
        <v>-3000</v>
      </c>
      <c r="H19365" s="704" t="s">
        <v>12939</v>
      </c>
    </row>
    <row r="19366" spans="1:8" ht="15" x14ac:dyDescent="0.2">
      <c r="A19366" s="733">
        <v>45419</v>
      </c>
      <c r="B19366" s="40" t="s">
        <v>12986</v>
      </c>
      <c r="C19366" s="62" t="s">
        <v>5740</v>
      </c>
      <c r="D19366" s="107" t="s">
        <v>369</v>
      </c>
      <c r="E19366" s="57">
        <v>1000</v>
      </c>
      <c r="F19366" s="57"/>
      <c r="G19366" s="125">
        <f t="shared" si="308"/>
        <v>-1000</v>
      </c>
      <c r="H19366" s="704" t="s">
        <v>12939</v>
      </c>
    </row>
    <row r="19367" spans="1:8" ht="15" x14ac:dyDescent="0.2">
      <c r="A19367" s="733">
        <v>45419</v>
      </c>
      <c r="B19367" s="40" t="s">
        <v>11614</v>
      </c>
      <c r="C19367" s="62" t="s">
        <v>8369</v>
      </c>
      <c r="D19367" s="107" t="s">
        <v>369</v>
      </c>
      <c r="E19367" s="57">
        <v>1530</v>
      </c>
      <c r="F19367" s="57"/>
      <c r="G19367" s="125">
        <f t="shared" si="308"/>
        <v>-1530</v>
      </c>
      <c r="H19367" s="704" t="s">
        <v>12939</v>
      </c>
    </row>
    <row r="19368" spans="1:8" ht="15" x14ac:dyDescent="0.2">
      <c r="A19368" s="733">
        <v>45419</v>
      </c>
      <c r="B19368" s="40" t="s">
        <v>11614</v>
      </c>
      <c r="C19368" s="62" t="s">
        <v>285</v>
      </c>
      <c r="D19368" s="107" t="s">
        <v>8660</v>
      </c>
      <c r="E19368" s="57">
        <v>1000</v>
      </c>
      <c r="F19368" s="57"/>
      <c r="G19368" s="125">
        <f t="shared" si="308"/>
        <v>-1000</v>
      </c>
      <c r="H19368" s="704" t="s">
        <v>12939</v>
      </c>
    </row>
    <row r="19369" spans="1:8" ht="15" x14ac:dyDescent="0.2">
      <c r="A19369" s="733">
        <v>45419</v>
      </c>
      <c r="B19369" s="40" t="s">
        <v>12340</v>
      </c>
      <c r="C19369" s="62" t="s">
        <v>12995</v>
      </c>
      <c r="D19369" s="107" t="s">
        <v>12996</v>
      </c>
      <c r="E19369" s="57">
        <v>15000</v>
      </c>
      <c r="F19369" s="57"/>
      <c r="G19369" s="125">
        <f t="shared" si="308"/>
        <v>-15000</v>
      </c>
      <c r="H19369" s="704" t="s">
        <v>12939</v>
      </c>
    </row>
    <row r="19370" spans="1:8" ht="15" x14ac:dyDescent="0.2">
      <c r="A19370" s="733">
        <v>45419</v>
      </c>
      <c r="B19370" s="40" t="s">
        <v>11077</v>
      </c>
      <c r="C19370" s="62" t="s">
        <v>391</v>
      </c>
      <c r="D19370" s="107" t="s">
        <v>12826</v>
      </c>
      <c r="E19370" s="57">
        <v>1500</v>
      </c>
      <c r="F19370" s="57"/>
      <c r="G19370" s="125">
        <f t="shared" si="308"/>
        <v>-1500</v>
      </c>
      <c r="H19370" s="704" t="s">
        <v>12939</v>
      </c>
    </row>
    <row r="19371" spans="1:8" ht="15" x14ac:dyDescent="0.2">
      <c r="A19371" s="733">
        <v>45419</v>
      </c>
      <c r="B19371" s="40" t="s">
        <v>25</v>
      </c>
      <c r="C19371" s="62" t="s">
        <v>4064</v>
      </c>
      <c r="D19371" s="107" t="s">
        <v>12997</v>
      </c>
      <c r="E19371" s="57">
        <v>2450</v>
      </c>
      <c r="F19371" s="57"/>
      <c r="G19371" s="125">
        <f t="shared" si="308"/>
        <v>-2450</v>
      </c>
      <c r="H19371" s="704" t="s">
        <v>12939</v>
      </c>
    </row>
    <row r="19372" spans="1:8" ht="15" x14ac:dyDescent="0.2">
      <c r="A19372" s="733">
        <v>45419</v>
      </c>
      <c r="B19372" s="40" t="s">
        <v>11874</v>
      </c>
      <c r="C19372" s="62" t="s">
        <v>5740</v>
      </c>
      <c r="D19372" s="107" t="s">
        <v>369</v>
      </c>
      <c r="E19372" s="57">
        <v>200</v>
      </c>
      <c r="F19372" s="57"/>
      <c r="G19372" s="125">
        <f t="shared" si="308"/>
        <v>-200</v>
      </c>
      <c r="H19372" s="704" t="s">
        <v>12939</v>
      </c>
    </row>
    <row r="19373" spans="1:8" ht="15" x14ac:dyDescent="0.2">
      <c r="A19373" s="733">
        <v>45419</v>
      </c>
      <c r="B19373" s="40" t="s">
        <v>11596</v>
      </c>
      <c r="C19373" s="62" t="s">
        <v>12682</v>
      </c>
      <c r="D19373" s="107" t="s">
        <v>12999</v>
      </c>
      <c r="E19373" s="57">
        <v>130000</v>
      </c>
      <c r="F19373" s="57"/>
      <c r="G19373" s="125">
        <f t="shared" si="308"/>
        <v>-130000</v>
      </c>
      <c r="H19373" s="704" t="s">
        <v>12939</v>
      </c>
    </row>
    <row r="19374" spans="1:8" ht="15" x14ac:dyDescent="0.2">
      <c r="A19374" s="733">
        <v>45419</v>
      </c>
      <c r="B19374" s="40" t="s">
        <v>11014</v>
      </c>
      <c r="C19374" s="62" t="s">
        <v>7221</v>
      </c>
      <c r="D19374" s="107" t="s">
        <v>12998</v>
      </c>
      <c r="E19374" s="57">
        <v>250000</v>
      </c>
      <c r="F19374" s="57"/>
      <c r="G19374" s="125">
        <f t="shared" si="308"/>
        <v>-250000</v>
      </c>
      <c r="H19374" s="704" t="s">
        <v>12939</v>
      </c>
    </row>
    <row r="19375" spans="1:8" ht="15" x14ac:dyDescent="0.2">
      <c r="A19375" s="733">
        <v>45419</v>
      </c>
      <c r="B19375" s="40" t="s">
        <v>12505</v>
      </c>
      <c r="C19375" s="62" t="s">
        <v>6475</v>
      </c>
      <c r="D19375" s="107" t="s">
        <v>13000</v>
      </c>
      <c r="E19375" s="57">
        <v>65000</v>
      </c>
      <c r="F19375" s="57"/>
      <c r="G19375" s="125">
        <f t="shared" si="308"/>
        <v>-65000</v>
      </c>
      <c r="H19375" s="704" t="s">
        <v>12939</v>
      </c>
    </row>
    <row r="19376" spans="1:8" ht="15" x14ac:dyDescent="0.2">
      <c r="A19376" s="733">
        <v>45419</v>
      </c>
      <c r="B19376" s="40" t="s">
        <v>3945</v>
      </c>
      <c r="C19376" s="62" t="s">
        <v>437</v>
      </c>
      <c r="D19376" s="107" t="s">
        <v>13001</v>
      </c>
      <c r="E19376" s="57">
        <v>45000</v>
      </c>
      <c r="F19376" s="57"/>
      <c r="G19376" s="125">
        <f t="shared" si="308"/>
        <v>-45000</v>
      </c>
      <c r="H19376" s="704" t="s">
        <v>12939</v>
      </c>
    </row>
    <row r="19377" spans="1:8" ht="15" x14ac:dyDescent="0.2">
      <c r="A19377" s="733">
        <v>45419</v>
      </c>
      <c r="B19377" s="40" t="s">
        <v>12340</v>
      </c>
      <c r="C19377" s="62" t="s">
        <v>13003</v>
      </c>
      <c r="D19377" s="107" t="s">
        <v>13002</v>
      </c>
      <c r="E19377" s="57">
        <v>50000</v>
      </c>
      <c r="F19377" s="57"/>
      <c r="G19377" s="125">
        <f t="shared" si="308"/>
        <v>-50000</v>
      </c>
      <c r="H19377" s="704" t="s">
        <v>12939</v>
      </c>
    </row>
    <row r="19378" spans="1:8" ht="15" x14ac:dyDescent="0.2">
      <c r="A19378" s="733">
        <v>45420</v>
      </c>
      <c r="B19378" s="40" t="s">
        <v>25</v>
      </c>
      <c r="C19378" s="62" t="s">
        <v>8148</v>
      </c>
      <c r="D19378" s="107" t="s">
        <v>6309</v>
      </c>
      <c r="E19378" s="57">
        <v>865</v>
      </c>
      <c r="F19378" s="57"/>
      <c r="G19378" s="125">
        <f t="shared" si="308"/>
        <v>-865</v>
      </c>
      <c r="H19378" s="704" t="s">
        <v>12939</v>
      </c>
    </row>
    <row r="19379" spans="1:8" ht="15" x14ac:dyDescent="0.2">
      <c r="A19379" s="733">
        <v>45420</v>
      </c>
      <c r="B19379" s="40" t="s">
        <v>11717</v>
      </c>
      <c r="C19379" s="62" t="s">
        <v>5740</v>
      </c>
      <c r="D19379" s="107" t="s">
        <v>13004</v>
      </c>
      <c r="E19379" s="57">
        <v>1500</v>
      </c>
      <c r="F19379" s="57"/>
      <c r="G19379" s="125">
        <f t="shared" si="308"/>
        <v>-1500</v>
      </c>
      <c r="H19379" s="704" t="s">
        <v>12939</v>
      </c>
    </row>
    <row r="19380" spans="1:8" ht="15" x14ac:dyDescent="0.2">
      <c r="A19380" s="733">
        <v>45420</v>
      </c>
      <c r="B19380" s="40" t="s">
        <v>13005</v>
      </c>
      <c r="C19380" s="62" t="s">
        <v>11952</v>
      </c>
      <c r="D19380" s="107" t="s">
        <v>1156</v>
      </c>
      <c r="E19380" s="57">
        <v>5000</v>
      </c>
      <c r="F19380" s="57"/>
      <c r="G19380" s="125">
        <f t="shared" si="308"/>
        <v>-5000</v>
      </c>
      <c r="H19380" s="704" t="s">
        <v>12939</v>
      </c>
    </row>
    <row r="19381" spans="1:8" ht="15" x14ac:dyDescent="0.2">
      <c r="A19381" s="733">
        <v>45420</v>
      </c>
      <c r="B19381" s="40" t="s">
        <v>12340</v>
      </c>
      <c r="C19381" s="62" t="s">
        <v>10981</v>
      </c>
      <c r="D19381" s="107" t="s">
        <v>13006</v>
      </c>
      <c r="E19381" s="57">
        <v>17000</v>
      </c>
      <c r="F19381" s="57"/>
      <c r="G19381" s="125">
        <f t="shared" si="308"/>
        <v>-17000</v>
      </c>
      <c r="H19381" s="704" t="s">
        <v>12939</v>
      </c>
    </row>
    <row r="19382" spans="1:8" ht="15" x14ac:dyDescent="0.2">
      <c r="A19382" s="733">
        <v>45420</v>
      </c>
      <c r="B19382" s="40" t="s">
        <v>12340</v>
      </c>
      <c r="C19382" s="62" t="s">
        <v>10981</v>
      </c>
      <c r="D19382" s="107" t="s">
        <v>13007</v>
      </c>
      <c r="E19382" s="57">
        <v>42000</v>
      </c>
      <c r="F19382" s="57"/>
      <c r="G19382" s="125">
        <f t="shared" si="308"/>
        <v>-42000</v>
      </c>
      <c r="H19382" s="704" t="s">
        <v>12939</v>
      </c>
    </row>
    <row r="19383" spans="1:8" ht="15" x14ac:dyDescent="0.2">
      <c r="A19383" s="733">
        <v>45420</v>
      </c>
      <c r="B19383" s="40" t="s">
        <v>12340</v>
      </c>
      <c r="C19383" s="62" t="s">
        <v>10981</v>
      </c>
      <c r="D19383" s="107" t="s">
        <v>13008</v>
      </c>
      <c r="E19383" s="57">
        <v>31000</v>
      </c>
      <c r="F19383" s="57"/>
      <c r="G19383" s="125">
        <f t="shared" si="308"/>
        <v>-31000</v>
      </c>
      <c r="H19383" s="704" t="s">
        <v>12939</v>
      </c>
    </row>
    <row r="19384" spans="1:8" ht="15" x14ac:dyDescent="0.2">
      <c r="A19384" s="733">
        <v>45420</v>
      </c>
      <c r="B19384" s="40" t="s">
        <v>25</v>
      </c>
      <c r="C19384" s="62" t="s">
        <v>2427</v>
      </c>
      <c r="D19384" s="107" t="s">
        <v>2107</v>
      </c>
      <c r="E19384" s="57">
        <v>1500</v>
      </c>
      <c r="F19384" s="57"/>
      <c r="G19384" s="125">
        <f t="shared" si="308"/>
        <v>-1500</v>
      </c>
      <c r="H19384" s="704" t="s">
        <v>12939</v>
      </c>
    </row>
    <row r="19385" spans="1:8" ht="15" x14ac:dyDescent="0.2">
      <c r="A19385" s="733">
        <v>45420</v>
      </c>
      <c r="B19385" s="40" t="s">
        <v>12340</v>
      </c>
      <c r="C19385" s="62" t="s">
        <v>5740</v>
      </c>
      <c r="D19385" s="107" t="s">
        <v>369</v>
      </c>
      <c r="E19385" s="57">
        <v>900</v>
      </c>
      <c r="F19385" s="57"/>
      <c r="G19385" s="125">
        <f t="shared" si="308"/>
        <v>-900</v>
      </c>
      <c r="H19385" s="704" t="s">
        <v>12939</v>
      </c>
    </row>
    <row r="19386" spans="1:8" ht="15" x14ac:dyDescent="0.2">
      <c r="A19386" s="733">
        <v>45420</v>
      </c>
      <c r="B19386" s="40" t="s">
        <v>12400</v>
      </c>
      <c r="C19386" s="62" t="s">
        <v>10981</v>
      </c>
      <c r="D19386" s="107" t="s">
        <v>13041</v>
      </c>
      <c r="E19386" s="57">
        <v>18000</v>
      </c>
      <c r="F19386" s="57"/>
      <c r="G19386" s="125">
        <f t="shared" si="308"/>
        <v>-18000</v>
      </c>
      <c r="H19386" s="704" t="s">
        <v>12939</v>
      </c>
    </row>
    <row r="19387" spans="1:8" ht="15" x14ac:dyDescent="0.2">
      <c r="A19387" s="733">
        <v>45420</v>
      </c>
      <c r="B19387" s="40" t="s">
        <v>11077</v>
      </c>
      <c r="C19387" s="62" t="s">
        <v>391</v>
      </c>
      <c r="D19387" s="107" t="s">
        <v>13042</v>
      </c>
      <c r="E19387" s="57">
        <v>9950</v>
      </c>
      <c r="F19387" s="57"/>
      <c r="G19387" s="125">
        <f t="shared" si="308"/>
        <v>-9950</v>
      </c>
      <c r="H19387" s="704" t="s">
        <v>12939</v>
      </c>
    </row>
    <row r="19388" spans="1:8" ht="15" x14ac:dyDescent="0.2">
      <c r="A19388" s="733">
        <v>45420</v>
      </c>
      <c r="B19388" s="40" t="s">
        <v>103</v>
      </c>
      <c r="C19388" s="62" t="s">
        <v>103</v>
      </c>
      <c r="D19388" s="107" t="s">
        <v>10208</v>
      </c>
      <c r="E19388" s="57">
        <v>3000</v>
      </c>
      <c r="F19388" s="57"/>
      <c r="G19388" s="125">
        <f t="shared" si="308"/>
        <v>-3000</v>
      </c>
      <c r="H19388" s="704" t="s">
        <v>12939</v>
      </c>
    </row>
    <row r="19389" spans="1:8" ht="15" x14ac:dyDescent="0.2">
      <c r="A19389" s="733">
        <v>45420</v>
      </c>
      <c r="B19389" s="40" t="s">
        <v>3944</v>
      </c>
      <c r="C19389" s="62" t="s">
        <v>391</v>
      </c>
      <c r="D19389" s="107" t="s">
        <v>13013</v>
      </c>
      <c r="E19389" s="57">
        <v>700</v>
      </c>
      <c r="F19389" s="57"/>
      <c r="G19389" s="125">
        <f t="shared" si="308"/>
        <v>-700</v>
      </c>
      <c r="H19389" s="704" t="s">
        <v>12939</v>
      </c>
    </row>
    <row r="19390" spans="1:8" ht="15" x14ac:dyDescent="0.2">
      <c r="A19390" s="733">
        <v>45420</v>
      </c>
      <c r="B19390" s="40" t="s">
        <v>11077</v>
      </c>
      <c r="C19390" s="62" t="s">
        <v>391</v>
      </c>
      <c r="D19390" s="107" t="s">
        <v>5137</v>
      </c>
      <c r="E19390" s="57">
        <v>13970</v>
      </c>
      <c r="F19390" s="57"/>
      <c r="G19390" s="125">
        <f t="shared" si="308"/>
        <v>-13970</v>
      </c>
      <c r="H19390" s="704" t="s">
        <v>12939</v>
      </c>
    </row>
    <row r="19391" spans="1:8" ht="15" x14ac:dyDescent="0.2">
      <c r="A19391" s="733">
        <v>45420</v>
      </c>
      <c r="B19391" s="40" t="s">
        <v>25</v>
      </c>
      <c r="C19391" s="62" t="s">
        <v>7593</v>
      </c>
      <c r="D19391" s="107" t="s">
        <v>13014</v>
      </c>
      <c r="E19391" s="57">
        <v>85000</v>
      </c>
      <c r="F19391" s="57"/>
      <c r="G19391" s="125">
        <f t="shared" ref="G19391:G19454" si="309">F19391-E19391</f>
        <v>-85000</v>
      </c>
      <c r="H19391" s="704" t="s">
        <v>12939</v>
      </c>
    </row>
    <row r="19392" spans="1:8" ht="15" x14ac:dyDescent="0.2">
      <c r="A19392" s="733">
        <v>45420</v>
      </c>
      <c r="B19392" s="40" t="s">
        <v>25</v>
      </c>
      <c r="C19392" s="62" t="s">
        <v>391</v>
      </c>
      <c r="D19392" s="107" t="s">
        <v>13016</v>
      </c>
      <c r="E19392" s="57">
        <v>20950</v>
      </c>
      <c r="F19392" s="57"/>
      <c r="G19392" s="125">
        <f t="shared" si="309"/>
        <v>-20950</v>
      </c>
      <c r="H19392" s="704" t="s">
        <v>12939</v>
      </c>
    </row>
    <row r="19393" spans="1:8" ht="15" x14ac:dyDescent="0.2">
      <c r="A19393" s="733">
        <v>45420</v>
      </c>
      <c r="B19393" s="40" t="s">
        <v>12340</v>
      </c>
      <c r="C19393" s="62" t="s">
        <v>13021</v>
      </c>
      <c r="D19393" s="107" t="s">
        <v>13017</v>
      </c>
      <c r="E19393" s="57">
        <v>40000</v>
      </c>
      <c r="F19393" s="57"/>
      <c r="G19393" s="125">
        <f t="shared" si="309"/>
        <v>-40000</v>
      </c>
      <c r="H19393" s="704" t="s">
        <v>12939</v>
      </c>
    </row>
    <row r="19394" spans="1:8" ht="15" x14ac:dyDescent="0.2">
      <c r="A19394" s="733">
        <v>45420</v>
      </c>
      <c r="B19394" s="40" t="s">
        <v>3945</v>
      </c>
      <c r="C19394" s="62" t="s">
        <v>13022</v>
      </c>
      <c r="D19394" s="107" t="s">
        <v>13018</v>
      </c>
      <c r="E19394" s="57">
        <v>50000</v>
      </c>
      <c r="F19394" s="57"/>
      <c r="G19394" s="125">
        <f t="shared" si="309"/>
        <v>-50000</v>
      </c>
      <c r="H19394" s="704" t="s">
        <v>12939</v>
      </c>
    </row>
    <row r="19395" spans="1:8" ht="15" x14ac:dyDescent="0.2">
      <c r="A19395" s="733">
        <v>45420</v>
      </c>
      <c r="B19395" s="40" t="s">
        <v>11123</v>
      </c>
      <c r="C19395" s="62" t="s">
        <v>12491</v>
      </c>
      <c r="D19395" s="107" t="s">
        <v>13019</v>
      </c>
      <c r="E19395" s="57">
        <v>400000</v>
      </c>
      <c r="F19395" s="57"/>
      <c r="G19395" s="125">
        <f t="shared" si="309"/>
        <v>-400000</v>
      </c>
      <c r="H19395" s="704" t="s">
        <v>12939</v>
      </c>
    </row>
    <row r="19396" spans="1:8" ht="15" x14ac:dyDescent="0.2">
      <c r="A19396" s="733">
        <v>45420</v>
      </c>
      <c r="B19396" s="40" t="s">
        <v>12505</v>
      </c>
      <c r="C19396" s="62" t="s">
        <v>12777</v>
      </c>
      <c r="D19396" s="107" t="s">
        <v>13020</v>
      </c>
      <c r="E19396" s="57">
        <v>750000</v>
      </c>
      <c r="F19396" s="57"/>
      <c r="G19396" s="125">
        <f t="shared" si="309"/>
        <v>-750000</v>
      </c>
      <c r="H19396" s="704" t="s">
        <v>12939</v>
      </c>
    </row>
    <row r="19397" spans="1:8" ht="15" customHeight="1" x14ac:dyDescent="0.2">
      <c r="A19397" s="733">
        <v>45420</v>
      </c>
      <c r="B19397" s="40" t="s">
        <v>12340</v>
      </c>
      <c r="C19397" s="62" t="s">
        <v>10981</v>
      </c>
      <c r="D19397" s="107" t="s">
        <v>13055</v>
      </c>
      <c r="E19397" s="57">
        <v>354000</v>
      </c>
      <c r="F19397" s="57"/>
      <c r="G19397" s="125">
        <f t="shared" si="309"/>
        <v>-354000</v>
      </c>
      <c r="H19397" s="704" t="s">
        <v>12939</v>
      </c>
    </row>
    <row r="19398" spans="1:8" ht="15" customHeight="1" x14ac:dyDescent="0.2">
      <c r="A19398" s="733">
        <v>45421</v>
      </c>
      <c r="B19398" s="40" t="s">
        <v>12340</v>
      </c>
      <c r="C19398" s="62" t="s">
        <v>12380</v>
      </c>
      <c r="D19398" s="107" t="s">
        <v>12435</v>
      </c>
      <c r="E19398" s="57">
        <v>530000</v>
      </c>
      <c r="F19398" s="57"/>
      <c r="G19398" s="125">
        <f t="shared" si="309"/>
        <v>-530000</v>
      </c>
      <c r="H19398" s="704" t="s">
        <v>12939</v>
      </c>
    </row>
    <row r="19399" spans="1:8" ht="15" customHeight="1" x14ac:dyDescent="0.2">
      <c r="A19399" s="733">
        <v>45422</v>
      </c>
      <c r="B19399" s="40" t="s">
        <v>3945</v>
      </c>
      <c r="C19399" s="62" t="s">
        <v>5409</v>
      </c>
      <c r="D19399" s="107" t="s">
        <v>13044</v>
      </c>
      <c r="E19399" s="57">
        <v>24200</v>
      </c>
      <c r="F19399" s="57"/>
      <c r="G19399" s="125">
        <f t="shared" si="309"/>
        <v>-24200</v>
      </c>
      <c r="H19399" s="704" t="s">
        <v>12939</v>
      </c>
    </row>
    <row r="19400" spans="1:8" ht="15" customHeight="1" x14ac:dyDescent="0.2">
      <c r="A19400" s="733">
        <v>45422</v>
      </c>
      <c r="B19400" s="62" t="s">
        <v>13299</v>
      </c>
      <c r="C19400" s="62" t="s">
        <v>391</v>
      </c>
      <c r="D19400" s="107" t="s">
        <v>13056</v>
      </c>
      <c r="E19400" s="57">
        <v>15000</v>
      </c>
      <c r="F19400" s="57"/>
      <c r="G19400" s="125">
        <f t="shared" si="309"/>
        <v>-15000</v>
      </c>
      <c r="H19400" s="704" t="s">
        <v>12939</v>
      </c>
    </row>
    <row r="19401" spans="1:8" ht="15" customHeight="1" x14ac:dyDescent="0.2">
      <c r="A19401" s="733">
        <v>45422</v>
      </c>
      <c r="B19401" s="40" t="s">
        <v>12400</v>
      </c>
      <c r="C19401" s="62" t="s">
        <v>285</v>
      </c>
      <c r="D19401" s="107" t="s">
        <v>13057</v>
      </c>
      <c r="E19401" s="57">
        <v>15000</v>
      </c>
      <c r="F19401" s="57"/>
      <c r="G19401" s="125">
        <f t="shared" si="309"/>
        <v>-15000</v>
      </c>
      <c r="H19401" s="704" t="s">
        <v>12939</v>
      </c>
    </row>
    <row r="19402" spans="1:8" ht="15" customHeight="1" x14ac:dyDescent="0.2">
      <c r="A19402" s="733">
        <v>45422</v>
      </c>
      <c r="B19402" s="40" t="s">
        <v>11874</v>
      </c>
      <c r="C19402" s="62" t="s">
        <v>285</v>
      </c>
      <c r="D19402" s="107" t="s">
        <v>13057</v>
      </c>
      <c r="E19402" s="57">
        <v>15000</v>
      </c>
      <c r="F19402" s="57"/>
      <c r="G19402" s="125">
        <f t="shared" si="309"/>
        <v>-15000</v>
      </c>
      <c r="H19402" s="704" t="s">
        <v>12939</v>
      </c>
    </row>
    <row r="19403" spans="1:8" ht="15" customHeight="1" x14ac:dyDescent="0.2">
      <c r="A19403" s="733">
        <v>45422</v>
      </c>
      <c r="B19403" s="40" t="s">
        <v>10899</v>
      </c>
      <c r="C19403" s="62" t="s">
        <v>285</v>
      </c>
      <c r="D19403" s="107" t="s">
        <v>13057</v>
      </c>
      <c r="E19403" s="57">
        <v>15000</v>
      </c>
      <c r="F19403" s="57"/>
      <c r="G19403" s="125">
        <f t="shared" si="309"/>
        <v>-15000</v>
      </c>
      <c r="H19403" s="704" t="s">
        <v>12939</v>
      </c>
    </row>
    <row r="19404" spans="1:8" ht="15" customHeight="1" x14ac:dyDescent="0.2">
      <c r="A19404" s="733">
        <v>45422</v>
      </c>
      <c r="B19404" s="40" t="s">
        <v>10229</v>
      </c>
      <c r="C19404" s="62" t="s">
        <v>285</v>
      </c>
      <c r="D19404" s="107" t="s">
        <v>13057</v>
      </c>
      <c r="E19404" s="57">
        <v>15000</v>
      </c>
      <c r="F19404" s="57"/>
      <c r="G19404" s="125">
        <f t="shared" si="309"/>
        <v>-15000</v>
      </c>
      <c r="H19404" s="704" t="s">
        <v>12939</v>
      </c>
    </row>
    <row r="19405" spans="1:8" ht="15" x14ac:dyDescent="0.2">
      <c r="A19405" s="733">
        <v>45422</v>
      </c>
      <c r="B19405" s="40" t="s">
        <v>10229</v>
      </c>
      <c r="C19405" s="62" t="s">
        <v>2795</v>
      </c>
      <c r="D19405" s="107" t="s">
        <v>13058</v>
      </c>
      <c r="E19405" s="57">
        <v>13000</v>
      </c>
      <c r="F19405" s="57"/>
      <c r="G19405" s="125">
        <f t="shared" si="309"/>
        <v>-13000</v>
      </c>
      <c r="H19405" s="704" t="s">
        <v>12939</v>
      </c>
    </row>
    <row r="19406" spans="1:8" ht="15" x14ac:dyDescent="0.2">
      <c r="A19406" s="733">
        <v>45423</v>
      </c>
      <c r="B19406" s="40" t="s">
        <v>103</v>
      </c>
      <c r="C19406" s="62" t="s">
        <v>2995</v>
      </c>
      <c r="D19406" s="107" t="s">
        <v>1156</v>
      </c>
      <c r="E19406" s="57">
        <v>10300</v>
      </c>
      <c r="F19406" s="57"/>
      <c r="G19406" s="125">
        <f t="shared" si="309"/>
        <v>-10300</v>
      </c>
      <c r="H19406" s="704" t="s">
        <v>12939</v>
      </c>
    </row>
    <row r="19407" spans="1:8" ht="15" x14ac:dyDescent="0.2">
      <c r="A19407" s="733">
        <v>45423</v>
      </c>
      <c r="B19407" s="40" t="s">
        <v>13046</v>
      </c>
      <c r="C19407" s="62" t="s">
        <v>5740</v>
      </c>
      <c r="D19407" s="107" t="s">
        <v>369</v>
      </c>
      <c r="E19407" s="57">
        <v>1500</v>
      </c>
      <c r="F19407" s="57"/>
      <c r="G19407" s="125">
        <f t="shared" si="309"/>
        <v>-1500</v>
      </c>
      <c r="H19407" s="704" t="s">
        <v>12939</v>
      </c>
    </row>
    <row r="19408" spans="1:8" ht="15" x14ac:dyDescent="0.2">
      <c r="A19408" s="733">
        <v>45423</v>
      </c>
      <c r="B19408" s="40" t="s">
        <v>12400</v>
      </c>
      <c r="C19408" s="62" t="s">
        <v>8369</v>
      </c>
      <c r="D19408" s="107" t="s">
        <v>369</v>
      </c>
      <c r="E19408" s="57">
        <v>6000</v>
      </c>
      <c r="F19408" s="57"/>
      <c r="G19408" s="125">
        <f t="shared" si="309"/>
        <v>-6000</v>
      </c>
      <c r="H19408" s="704" t="s">
        <v>12939</v>
      </c>
    </row>
    <row r="19409" spans="1:8" ht="15" x14ac:dyDescent="0.2">
      <c r="A19409" s="733">
        <v>45423</v>
      </c>
      <c r="B19409" s="40" t="s">
        <v>103</v>
      </c>
      <c r="C19409" s="62" t="s">
        <v>103</v>
      </c>
      <c r="D19409" s="107" t="s">
        <v>10208</v>
      </c>
      <c r="E19409" s="57">
        <v>3000</v>
      </c>
      <c r="F19409" s="57"/>
      <c r="G19409" s="125">
        <f t="shared" si="309"/>
        <v>-3000</v>
      </c>
      <c r="H19409" s="704" t="s">
        <v>12939</v>
      </c>
    </row>
    <row r="19410" spans="1:8" ht="15" x14ac:dyDescent="0.2">
      <c r="A19410" s="733">
        <v>45423</v>
      </c>
      <c r="B19410" s="40" t="s">
        <v>11874</v>
      </c>
      <c r="C19410" s="62" t="s">
        <v>5740</v>
      </c>
      <c r="D19410" s="107" t="s">
        <v>369</v>
      </c>
      <c r="E19410" s="57">
        <v>2200</v>
      </c>
      <c r="F19410" s="57"/>
      <c r="G19410" s="125">
        <f t="shared" si="309"/>
        <v>-2200</v>
      </c>
      <c r="H19410" s="704" t="s">
        <v>12939</v>
      </c>
    </row>
    <row r="19411" spans="1:8" ht="15" x14ac:dyDescent="0.2">
      <c r="A19411" s="733">
        <v>45423</v>
      </c>
      <c r="B19411" s="62" t="s">
        <v>13299</v>
      </c>
      <c r="C19411" s="62" t="s">
        <v>9868</v>
      </c>
      <c r="D19411" s="107" t="s">
        <v>1156</v>
      </c>
      <c r="E19411" s="57">
        <v>62550</v>
      </c>
      <c r="F19411" s="57"/>
      <c r="G19411" s="125">
        <f t="shared" si="309"/>
        <v>-62550</v>
      </c>
      <c r="H19411" s="704" t="s">
        <v>12939</v>
      </c>
    </row>
    <row r="19412" spans="1:8" ht="15" x14ac:dyDescent="0.2">
      <c r="A19412" s="733">
        <v>45423</v>
      </c>
      <c r="B19412" s="40" t="s">
        <v>10898</v>
      </c>
      <c r="C19412" s="62" t="s">
        <v>9868</v>
      </c>
      <c r="D19412" s="107" t="s">
        <v>1156</v>
      </c>
      <c r="E19412" s="57">
        <v>9500</v>
      </c>
      <c r="F19412" s="57"/>
      <c r="G19412" s="125">
        <f t="shared" si="309"/>
        <v>-9500</v>
      </c>
      <c r="H19412" s="704" t="s">
        <v>12939</v>
      </c>
    </row>
    <row r="19413" spans="1:8" ht="15" x14ac:dyDescent="0.2">
      <c r="A19413" s="733">
        <v>45423</v>
      </c>
      <c r="B19413" s="40" t="s">
        <v>11717</v>
      </c>
      <c r="C19413" s="62" t="s">
        <v>11539</v>
      </c>
      <c r="D19413" s="107" t="s">
        <v>1156</v>
      </c>
      <c r="E19413" s="57">
        <v>14800</v>
      </c>
      <c r="F19413" s="57"/>
      <c r="G19413" s="125">
        <f t="shared" si="309"/>
        <v>-14800</v>
      </c>
      <c r="H19413" s="704" t="s">
        <v>12939</v>
      </c>
    </row>
    <row r="19414" spans="1:8" ht="15" x14ac:dyDescent="0.2">
      <c r="A19414" s="733">
        <v>45423</v>
      </c>
      <c r="B19414" s="40" t="s">
        <v>13046</v>
      </c>
      <c r="C19414" s="62" t="s">
        <v>11539</v>
      </c>
      <c r="D19414" s="107" t="s">
        <v>1156</v>
      </c>
      <c r="E19414" s="57">
        <v>53000</v>
      </c>
      <c r="F19414" s="57"/>
      <c r="G19414" s="125">
        <f t="shared" si="309"/>
        <v>-53000</v>
      </c>
      <c r="H19414" s="704" t="s">
        <v>12939</v>
      </c>
    </row>
    <row r="19415" spans="1:8" ht="15" x14ac:dyDescent="0.2">
      <c r="A19415" s="733">
        <v>45423</v>
      </c>
      <c r="B19415" s="40" t="s">
        <v>12340</v>
      </c>
      <c r="C19415" s="62" t="s">
        <v>5740</v>
      </c>
      <c r="D19415" s="107" t="s">
        <v>1156</v>
      </c>
      <c r="E19415" s="57">
        <v>1000</v>
      </c>
      <c r="F19415" s="57"/>
      <c r="G19415" s="125">
        <f t="shared" si="309"/>
        <v>-1000</v>
      </c>
      <c r="H19415" s="704" t="s">
        <v>12939</v>
      </c>
    </row>
    <row r="19416" spans="1:8" ht="15" x14ac:dyDescent="0.2">
      <c r="A19416" s="733">
        <v>45423</v>
      </c>
      <c r="B19416" s="40" t="s">
        <v>11717</v>
      </c>
      <c r="C19416" s="62" t="s">
        <v>6562</v>
      </c>
      <c r="D19416" s="107" t="s">
        <v>13047</v>
      </c>
      <c r="E19416" s="57">
        <v>21850</v>
      </c>
      <c r="F19416" s="57"/>
      <c r="G19416" s="125">
        <f t="shared" si="309"/>
        <v>-21850</v>
      </c>
      <c r="H19416" s="704" t="s">
        <v>12939</v>
      </c>
    </row>
    <row r="19417" spans="1:8" ht="15" x14ac:dyDescent="0.2">
      <c r="A19417" s="733">
        <v>45423</v>
      </c>
      <c r="B19417" s="40" t="s">
        <v>11874</v>
      </c>
      <c r="C19417" s="62" t="s">
        <v>5740</v>
      </c>
      <c r="D19417" s="107" t="s">
        <v>369</v>
      </c>
      <c r="E19417" s="57">
        <v>1800</v>
      </c>
      <c r="F19417" s="57"/>
      <c r="G19417" s="125">
        <f t="shared" si="309"/>
        <v>-1800</v>
      </c>
      <c r="H19417" s="704" t="s">
        <v>12939</v>
      </c>
    </row>
    <row r="19418" spans="1:8" ht="15" x14ac:dyDescent="0.2">
      <c r="A19418" s="733">
        <v>45423</v>
      </c>
      <c r="B19418" s="40" t="s">
        <v>11874</v>
      </c>
      <c r="C19418" s="62" t="s">
        <v>5740</v>
      </c>
      <c r="D19418" s="107" t="s">
        <v>369</v>
      </c>
      <c r="E19418" s="57">
        <v>800</v>
      </c>
      <c r="F19418" s="57"/>
      <c r="G19418" s="125">
        <f t="shared" si="309"/>
        <v>-800</v>
      </c>
      <c r="H19418" s="704" t="s">
        <v>12939</v>
      </c>
    </row>
    <row r="19419" spans="1:8" ht="15" x14ac:dyDescent="0.2">
      <c r="A19419" s="733">
        <v>45423</v>
      </c>
      <c r="B19419" s="40" t="s">
        <v>3945</v>
      </c>
      <c r="C19419" s="62" t="s">
        <v>13048</v>
      </c>
      <c r="D19419" s="107" t="s">
        <v>13049</v>
      </c>
      <c r="E19419" s="57">
        <v>84500</v>
      </c>
      <c r="F19419" s="57"/>
      <c r="G19419" s="125">
        <f t="shared" si="309"/>
        <v>-84500</v>
      </c>
      <c r="H19419" s="704" t="s">
        <v>12939</v>
      </c>
    </row>
    <row r="19420" spans="1:8" ht="15" x14ac:dyDescent="0.2">
      <c r="A19420" s="733">
        <v>45423</v>
      </c>
      <c r="B19420" s="40" t="s">
        <v>11874</v>
      </c>
      <c r="C19420" s="62" t="s">
        <v>12176</v>
      </c>
      <c r="D19420" s="107" t="s">
        <v>6925</v>
      </c>
      <c r="E19420" s="57">
        <v>135900</v>
      </c>
      <c r="F19420" s="57"/>
      <c r="G19420" s="125">
        <f t="shared" si="309"/>
        <v>-135900</v>
      </c>
      <c r="H19420" s="704" t="s">
        <v>12939</v>
      </c>
    </row>
    <row r="19421" spans="1:8" ht="15" x14ac:dyDescent="0.2">
      <c r="A19421" s="733">
        <v>45423</v>
      </c>
      <c r="B19421" s="40" t="s">
        <v>12400</v>
      </c>
      <c r="C19421" s="62" t="s">
        <v>10981</v>
      </c>
      <c r="D19421" s="107" t="s">
        <v>13050</v>
      </c>
      <c r="E19421" s="57">
        <v>57000</v>
      </c>
      <c r="F19421" s="57"/>
      <c r="G19421" s="125">
        <f t="shared" si="309"/>
        <v>-57000</v>
      </c>
      <c r="H19421" s="704" t="s">
        <v>12939</v>
      </c>
    </row>
    <row r="19422" spans="1:8" ht="15" x14ac:dyDescent="0.2">
      <c r="A19422" s="733">
        <v>45423</v>
      </c>
      <c r="B19422" s="40" t="s">
        <v>11874</v>
      </c>
      <c r="C19422" s="62" t="s">
        <v>10981</v>
      </c>
      <c r="D19422" s="107" t="s">
        <v>13051</v>
      </c>
      <c r="E19422" s="57">
        <v>84800</v>
      </c>
      <c r="F19422" s="57"/>
      <c r="G19422" s="125">
        <f t="shared" si="309"/>
        <v>-84800</v>
      </c>
      <c r="H19422" s="704" t="s">
        <v>12939</v>
      </c>
    </row>
    <row r="19423" spans="1:8" ht="15" x14ac:dyDescent="0.2">
      <c r="A19423" s="733">
        <v>45423</v>
      </c>
      <c r="B19423" s="40" t="s">
        <v>12400</v>
      </c>
      <c r="C19423" s="62" t="s">
        <v>12004</v>
      </c>
      <c r="D19423" s="107" t="s">
        <v>13059</v>
      </c>
      <c r="E19423" s="57">
        <v>1500000</v>
      </c>
      <c r="F19423" s="57"/>
      <c r="G19423" s="125">
        <f t="shared" si="309"/>
        <v>-1500000</v>
      </c>
      <c r="H19423" s="704" t="s">
        <v>12939</v>
      </c>
    </row>
    <row r="19424" spans="1:8" ht="15" x14ac:dyDescent="0.2">
      <c r="A19424" s="733">
        <v>45424</v>
      </c>
      <c r="B19424" s="40" t="s">
        <v>11077</v>
      </c>
      <c r="C19424" s="62" t="s">
        <v>6782</v>
      </c>
      <c r="D19424" s="107" t="s">
        <v>10718</v>
      </c>
      <c r="E19424" s="57">
        <v>220000</v>
      </c>
      <c r="F19424" s="57"/>
      <c r="G19424" s="125">
        <f t="shared" si="309"/>
        <v>-220000</v>
      </c>
      <c r="H19424" s="704" t="s">
        <v>12939</v>
      </c>
    </row>
    <row r="19425" spans="1:8" ht="15" x14ac:dyDescent="0.2">
      <c r="A19425" s="733">
        <v>45425</v>
      </c>
      <c r="B19425" s="40" t="s">
        <v>11874</v>
      </c>
      <c r="C19425" s="62" t="s">
        <v>12730</v>
      </c>
      <c r="D19425" s="107" t="s">
        <v>13054</v>
      </c>
      <c r="E19425" s="57">
        <v>238800</v>
      </c>
      <c r="F19425" s="57"/>
      <c r="G19425" s="125">
        <f t="shared" si="309"/>
        <v>-238800</v>
      </c>
      <c r="H19425" s="704" t="s">
        <v>12939</v>
      </c>
    </row>
    <row r="19426" spans="1:8" ht="15" x14ac:dyDescent="0.2">
      <c r="A19426" s="733">
        <v>45425</v>
      </c>
      <c r="B19426" s="40" t="s">
        <v>103</v>
      </c>
      <c r="C19426" s="62" t="s">
        <v>13052</v>
      </c>
      <c r="D19426" s="107" t="s">
        <v>13053</v>
      </c>
      <c r="E19426" s="57">
        <v>2000</v>
      </c>
      <c r="F19426" s="57"/>
      <c r="G19426" s="125">
        <f t="shared" si="309"/>
        <v>-2000</v>
      </c>
      <c r="H19426" s="704" t="s">
        <v>12939</v>
      </c>
    </row>
    <row r="19427" spans="1:8" ht="15" x14ac:dyDescent="0.2">
      <c r="A19427" s="733">
        <v>45425</v>
      </c>
      <c r="B19427" s="40" t="s">
        <v>11874</v>
      </c>
      <c r="C19427" s="62" t="s">
        <v>5740</v>
      </c>
      <c r="D19427" s="107" t="s">
        <v>369</v>
      </c>
      <c r="E19427" s="57">
        <v>760</v>
      </c>
      <c r="F19427" s="57"/>
      <c r="G19427" s="125">
        <f t="shared" si="309"/>
        <v>-760</v>
      </c>
      <c r="H19427" s="704" t="s">
        <v>12939</v>
      </c>
    </row>
    <row r="19428" spans="1:8" ht="15" x14ac:dyDescent="0.2">
      <c r="A19428" s="733">
        <v>45425</v>
      </c>
      <c r="B19428" s="40" t="s">
        <v>103</v>
      </c>
      <c r="C19428" s="62" t="s">
        <v>103</v>
      </c>
      <c r="D19428" s="107" t="s">
        <v>10208</v>
      </c>
      <c r="E19428" s="57">
        <v>3000</v>
      </c>
      <c r="F19428" s="57"/>
      <c r="G19428" s="125">
        <f t="shared" si="309"/>
        <v>-3000</v>
      </c>
      <c r="H19428" s="704" t="s">
        <v>12939</v>
      </c>
    </row>
    <row r="19429" spans="1:8" ht="15" x14ac:dyDescent="0.2">
      <c r="A19429" s="733">
        <v>45425</v>
      </c>
      <c r="B19429" s="40" t="s">
        <v>11717</v>
      </c>
      <c r="C19429" s="62" t="s">
        <v>5740</v>
      </c>
      <c r="D19429" s="107" t="s">
        <v>369</v>
      </c>
      <c r="E19429" s="57">
        <v>900</v>
      </c>
      <c r="F19429" s="57"/>
      <c r="G19429" s="125">
        <f t="shared" si="309"/>
        <v>-900</v>
      </c>
      <c r="H19429" s="704" t="s">
        <v>12939</v>
      </c>
    </row>
    <row r="19430" spans="1:8" ht="15" x14ac:dyDescent="0.2">
      <c r="A19430" s="733">
        <v>45425</v>
      </c>
      <c r="B19430" s="40" t="s">
        <v>11077</v>
      </c>
      <c r="C19430" s="62" t="s">
        <v>12446</v>
      </c>
      <c r="D19430" s="107" t="s">
        <v>1156</v>
      </c>
      <c r="E19430" s="57">
        <v>20000</v>
      </c>
      <c r="F19430" s="57"/>
      <c r="G19430" s="125">
        <f t="shared" si="309"/>
        <v>-20000</v>
      </c>
      <c r="H19430" s="704" t="s">
        <v>12939</v>
      </c>
    </row>
    <row r="19431" spans="1:8" ht="15" x14ac:dyDescent="0.2">
      <c r="A19431" s="733">
        <v>45425</v>
      </c>
      <c r="B19431" s="40" t="s">
        <v>11874</v>
      </c>
      <c r="C19431" s="62" t="s">
        <v>5740</v>
      </c>
      <c r="D19431" s="107" t="s">
        <v>369</v>
      </c>
      <c r="E19431" s="57">
        <v>3000</v>
      </c>
      <c r="F19431" s="57"/>
      <c r="G19431" s="125">
        <f t="shared" si="309"/>
        <v>-3000</v>
      </c>
      <c r="H19431" s="704" t="s">
        <v>12939</v>
      </c>
    </row>
    <row r="19432" spans="1:8" ht="15" x14ac:dyDescent="0.2">
      <c r="A19432" s="733">
        <v>45425</v>
      </c>
      <c r="B19432" s="40" t="s">
        <v>11717</v>
      </c>
      <c r="C19432" s="62" t="s">
        <v>12734</v>
      </c>
      <c r="D19432" s="107" t="s">
        <v>11303</v>
      </c>
      <c r="E19432" s="57">
        <v>51350</v>
      </c>
      <c r="F19432" s="57"/>
      <c r="G19432" s="125">
        <f t="shared" si="309"/>
        <v>-51350</v>
      </c>
      <c r="H19432" s="704" t="s">
        <v>12939</v>
      </c>
    </row>
    <row r="19433" spans="1:8" ht="15" x14ac:dyDescent="0.2">
      <c r="A19433" s="733">
        <v>45425</v>
      </c>
      <c r="B19433" s="40" t="s">
        <v>12340</v>
      </c>
      <c r="C19433" s="62" t="s">
        <v>10981</v>
      </c>
      <c r="D19433" s="107" t="s">
        <v>13062</v>
      </c>
      <c r="E19433" s="57">
        <v>70000</v>
      </c>
      <c r="F19433" s="57"/>
      <c r="G19433" s="125">
        <f t="shared" si="309"/>
        <v>-70000</v>
      </c>
      <c r="H19433" s="704" t="s">
        <v>12939</v>
      </c>
    </row>
    <row r="19434" spans="1:8" ht="15" x14ac:dyDescent="0.2">
      <c r="A19434" s="733">
        <v>45425</v>
      </c>
      <c r="B19434" s="40" t="s">
        <v>11596</v>
      </c>
      <c r="C19434" s="62" t="s">
        <v>10981</v>
      </c>
      <c r="D19434" s="107" t="s">
        <v>13063</v>
      </c>
      <c r="E19434" s="57">
        <v>25000</v>
      </c>
      <c r="F19434" s="57"/>
      <c r="G19434" s="125">
        <f t="shared" si="309"/>
        <v>-25000</v>
      </c>
      <c r="H19434" s="704" t="s">
        <v>12939</v>
      </c>
    </row>
    <row r="19435" spans="1:8" ht="15" x14ac:dyDescent="0.2">
      <c r="A19435" s="733">
        <v>45426</v>
      </c>
      <c r="B19435" s="40" t="s">
        <v>12505</v>
      </c>
      <c r="C19435" s="62" t="s">
        <v>12899</v>
      </c>
      <c r="D19435" s="107" t="s">
        <v>13064</v>
      </c>
      <c r="E19435" s="57">
        <v>10000</v>
      </c>
      <c r="F19435" s="57"/>
      <c r="G19435" s="125">
        <f t="shared" si="309"/>
        <v>-10000</v>
      </c>
      <c r="H19435" s="704" t="s">
        <v>12939</v>
      </c>
    </row>
    <row r="19436" spans="1:8" ht="15" x14ac:dyDescent="0.2">
      <c r="A19436" s="733">
        <v>45426</v>
      </c>
      <c r="B19436" s="40" t="s">
        <v>11874</v>
      </c>
      <c r="C19436" s="62" t="s">
        <v>10981</v>
      </c>
      <c r="D19436" s="107" t="s">
        <v>13065</v>
      </c>
      <c r="E19436" s="57">
        <v>1260</v>
      </c>
      <c r="F19436" s="57"/>
      <c r="G19436" s="125">
        <f t="shared" si="309"/>
        <v>-1260</v>
      </c>
      <c r="H19436" s="704" t="s">
        <v>12939</v>
      </c>
    </row>
    <row r="19437" spans="1:8" ht="15" x14ac:dyDescent="0.2">
      <c r="A19437" s="733">
        <v>45426</v>
      </c>
      <c r="B19437" s="62" t="s">
        <v>11874</v>
      </c>
      <c r="C19437" s="62" t="s">
        <v>2189</v>
      </c>
      <c r="D19437" s="107" t="s">
        <v>13066</v>
      </c>
      <c r="E19437" s="57">
        <v>14000</v>
      </c>
      <c r="F19437" s="57"/>
      <c r="G19437" s="125">
        <f t="shared" si="309"/>
        <v>-14000</v>
      </c>
      <c r="H19437" s="704" t="s">
        <v>12939</v>
      </c>
    </row>
    <row r="19438" spans="1:8" ht="15" x14ac:dyDescent="0.2">
      <c r="A19438" s="733">
        <v>45426</v>
      </c>
      <c r="B19438" s="40" t="s">
        <v>12340</v>
      </c>
      <c r="C19438" s="62" t="s">
        <v>11094</v>
      </c>
      <c r="D19438" s="107" t="s">
        <v>13067</v>
      </c>
      <c r="E19438" s="57">
        <v>33000</v>
      </c>
      <c r="F19438" s="57"/>
      <c r="G19438" s="125">
        <f t="shared" si="309"/>
        <v>-33000</v>
      </c>
      <c r="H19438" s="704" t="s">
        <v>12939</v>
      </c>
    </row>
    <row r="19439" spans="1:8" ht="15" x14ac:dyDescent="0.2">
      <c r="A19439" s="733">
        <v>45426</v>
      </c>
      <c r="B19439" s="40" t="s">
        <v>11077</v>
      </c>
      <c r="C19439" s="62" t="s">
        <v>10981</v>
      </c>
      <c r="D19439" s="107" t="s">
        <v>13081</v>
      </c>
      <c r="E19439" s="57">
        <v>1960</v>
      </c>
      <c r="F19439" s="57"/>
      <c r="G19439" s="125">
        <f t="shared" si="309"/>
        <v>-1960</v>
      </c>
      <c r="H19439" s="704" t="s">
        <v>12939</v>
      </c>
    </row>
    <row r="19440" spans="1:8" ht="15" x14ac:dyDescent="0.2">
      <c r="A19440" s="733">
        <v>45426</v>
      </c>
      <c r="B19440" s="40" t="s">
        <v>11874</v>
      </c>
      <c r="C19440" s="62" t="s">
        <v>10981</v>
      </c>
      <c r="D19440" s="107" t="s">
        <v>13082</v>
      </c>
      <c r="E19440" s="57">
        <v>4930</v>
      </c>
      <c r="F19440" s="57"/>
      <c r="G19440" s="125">
        <f t="shared" si="309"/>
        <v>-4930</v>
      </c>
      <c r="H19440" s="704" t="s">
        <v>12939</v>
      </c>
    </row>
    <row r="19441" spans="1:8" ht="15" x14ac:dyDescent="0.2">
      <c r="A19441" s="733">
        <v>45426</v>
      </c>
      <c r="B19441" s="40" t="s">
        <v>11717</v>
      </c>
      <c r="C19441" s="62" t="s">
        <v>10981</v>
      </c>
      <c r="D19441" s="107" t="s">
        <v>13068</v>
      </c>
      <c r="E19441" s="57">
        <v>1500</v>
      </c>
      <c r="F19441" s="57"/>
      <c r="G19441" s="125">
        <f t="shared" si="309"/>
        <v>-1500</v>
      </c>
      <c r="H19441" s="704" t="s">
        <v>12939</v>
      </c>
    </row>
    <row r="19442" spans="1:8" ht="15" x14ac:dyDescent="0.2">
      <c r="A19442" s="733">
        <v>45426</v>
      </c>
      <c r="B19442" s="40" t="s">
        <v>11874</v>
      </c>
      <c r="C19442" s="62" t="s">
        <v>391</v>
      </c>
      <c r="D19442" s="107" t="s">
        <v>13069</v>
      </c>
      <c r="E19442" s="57">
        <v>6650</v>
      </c>
      <c r="F19442" s="57"/>
      <c r="G19442" s="125">
        <f t="shared" si="309"/>
        <v>-6650</v>
      </c>
      <c r="H19442" s="704" t="s">
        <v>12939</v>
      </c>
    </row>
    <row r="19443" spans="1:8" ht="24" x14ac:dyDescent="0.2">
      <c r="A19443" s="733">
        <v>45427</v>
      </c>
      <c r="B19443" s="40" t="s">
        <v>11717</v>
      </c>
      <c r="C19443" s="62" t="s">
        <v>10981</v>
      </c>
      <c r="D19443" s="128" t="s">
        <v>13070</v>
      </c>
      <c r="E19443" s="57">
        <v>26300</v>
      </c>
      <c r="F19443" s="57"/>
      <c r="G19443" s="125">
        <f t="shared" si="309"/>
        <v>-26300</v>
      </c>
      <c r="H19443" s="704" t="s">
        <v>12939</v>
      </c>
    </row>
    <row r="19444" spans="1:8" ht="24" x14ac:dyDescent="0.2">
      <c r="A19444" s="733">
        <v>45427</v>
      </c>
      <c r="B19444" s="62" t="s">
        <v>11596</v>
      </c>
      <c r="C19444" s="550" t="s">
        <v>10981</v>
      </c>
      <c r="D19444" s="739" t="s">
        <v>13071</v>
      </c>
      <c r="E19444" s="551">
        <v>15000</v>
      </c>
      <c r="F19444" s="551"/>
      <c r="G19444" s="551">
        <f t="shared" si="309"/>
        <v>-15000</v>
      </c>
      <c r="H19444" s="1079" t="s">
        <v>12939</v>
      </c>
    </row>
    <row r="19445" spans="1:8" ht="24" x14ac:dyDescent="0.2">
      <c r="A19445" s="733">
        <v>45427</v>
      </c>
      <c r="B19445" s="62" t="s">
        <v>11874</v>
      </c>
      <c r="C19445" s="550" t="s">
        <v>10981</v>
      </c>
      <c r="D19445" s="739" t="s">
        <v>13071</v>
      </c>
      <c r="E19445" s="551">
        <v>15000</v>
      </c>
      <c r="F19445" s="551"/>
      <c r="G19445" s="551">
        <f t="shared" si="309"/>
        <v>-15000</v>
      </c>
      <c r="H19445" s="1079" t="s">
        <v>12939</v>
      </c>
    </row>
    <row r="19446" spans="1:8" ht="24" x14ac:dyDescent="0.2">
      <c r="A19446" s="733">
        <v>45427</v>
      </c>
      <c r="B19446" s="62" t="s">
        <v>11717</v>
      </c>
      <c r="C19446" s="550" t="s">
        <v>10981</v>
      </c>
      <c r="D19446" s="739" t="s">
        <v>13071</v>
      </c>
      <c r="E19446" s="551">
        <v>15000</v>
      </c>
      <c r="F19446" s="551"/>
      <c r="G19446" s="551">
        <f t="shared" si="309"/>
        <v>-15000</v>
      </c>
      <c r="H19446" s="1079" t="s">
        <v>12939</v>
      </c>
    </row>
    <row r="19447" spans="1:8" ht="24" x14ac:dyDescent="0.2">
      <c r="A19447" s="733">
        <v>45427</v>
      </c>
      <c r="B19447" s="62" t="s">
        <v>11874</v>
      </c>
      <c r="C19447" s="550" t="s">
        <v>10981</v>
      </c>
      <c r="D19447" s="739" t="s">
        <v>13071</v>
      </c>
      <c r="E19447" s="551">
        <v>15000</v>
      </c>
      <c r="F19447" s="551"/>
      <c r="G19447" s="551">
        <f t="shared" si="309"/>
        <v>-15000</v>
      </c>
      <c r="H19447" s="1079" t="s">
        <v>12939</v>
      </c>
    </row>
    <row r="19448" spans="1:8" ht="15" x14ac:dyDescent="0.2">
      <c r="A19448" s="733">
        <v>45427</v>
      </c>
      <c r="B19448" s="40" t="s">
        <v>11077</v>
      </c>
      <c r="C19448" s="62" t="s">
        <v>13072</v>
      </c>
      <c r="D19448" s="107" t="s">
        <v>13073</v>
      </c>
      <c r="E19448" s="57">
        <v>600000</v>
      </c>
      <c r="F19448" s="57"/>
      <c r="G19448" s="125">
        <f t="shared" si="309"/>
        <v>-600000</v>
      </c>
      <c r="H19448" s="704" t="s">
        <v>12939</v>
      </c>
    </row>
    <row r="19449" spans="1:8" ht="15" x14ac:dyDescent="0.2">
      <c r="A19449" s="733">
        <v>45427</v>
      </c>
      <c r="B19449" s="40" t="s">
        <v>11874</v>
      </c>
      <c r="C19449" s="62" t="s">
        <v>391</v>
      </c>
      <c r="D19449" s="107" t="s">
        <v>6581</v>
      </c>
      <c r="E19449" s="57">
        <v>8550</v>
      </c>
      <c r="F19449" s="57"/>
      <c r="G19449" s="125">
        <f t="shared" si="309"/>
        <v>-8550</v>
      </c>
      <c r="H19449" s="704" t="s">
        <v>12939</v>
      </c>
    </row>
    <row r="19450" spans="1:8" ht="15" x14ac:dyDescent="0.2">
      <c r="A19450" s="733">
        <v>45427</v>
      </c>
      <c r="B19450" s="40" t="s">
        <v>103</v>
      </c>
      <c r="C19450" s="62" t="s">
        <v>103</v>
      </c>
      <c r="D19450" s="107" t="s">
        <v>10208</v>
      </c>
      <c r="E19450" s="57">
        <v>3000</v>
      </c>
      <c r="F19450" s="57"/>
      <c r="G19450" s="125">
        <f t="shared" si="309"/>
        <v>-3000</v>
      </c>
      <c r="H19450" s="704" t="s">
        <v>12939</v>
      </c>
    </row>
    <row r="19451" spans="1:8" ht="15" x14ac:dyDescent="0.2">
      <c r="A19451" s="733">
        <v>45427</v>
      </c>
      <c r="B19451" s="40" t="s">
        <v>11874</v>
      </c>
      <c r="C19451" s="62" t="s">
        <v>10981</v>
      </c>
      <c r="D19451" s="107" t="s">
        <v>13074</v>
      </c>
      <c r="E19451" s="57">
        <v>19700</v>
      </c>
      <c r="F19451" s="57"/>
      <c r="G19451" s="125">
        <f t="shared" si="309"/>
        <v>-19700</v>
      </c>
      <c r="H19451" s="704" t="s">
        <v>12939</v>
      </c>
    </row>
    <row r="19452" spans="1:8" ht="15" x14ac:dyDescent="0.2">
      <c r="A19452" s="733">
        <v>45427</v>
      </c>
      <c r="B19452" s="40" t="s">
        <v>8873</v>
      </c>
      <c r="C19452" s="62" t="s">
        <v>5740</v>
      </c>
      <c r="D19452" s="107" t="s">
        <v>369</v>
      </c>
      <c r="E19452" s="57">
        <v>500</v>
      </c>
      <c r="F19452" s="57"/>
      <c r="G19452" s="125">
        <f t="shared" si="309"/>
        <v>-500</v>
      </c>
      <c r="H19452" s="704" t="s">
        <v>12939</v>
      </c>
    </row>
    <row r="19453" spans="1:8" ht="15" x14ac:dyDescent="0.2">
      <c r="A19453" s="733">
        <v>45427</v>
      </c>
      <c r="B19453" s="40" t="s">
        <v>12400</v>
      </c>
      <c r="C19453" s="62" t="s">
        <v>5740</v>
      </c>
      <c r="D19453" s="107" t="s">
        <v>13075</v>
      </c>
      <c r="E19453" s="57">
        <v>11000</v>
      </c>
      <c r="F19453" s="57"/>
      <c r="G19453" s="125">
        <f t="shared" si="309"/>
        <v>-11000</v>
      </c>
      <c r="H19453" s="704" t="s">
        <v>12939</v>
      </c>
    </row>
    <row r="19454" spans="1:8" ht="15" x14ac:dyDescent="0.2">
      <c r="A19454" s="733">
        <v>45427</v>
      </c>
      <c r="B19454" s="40" t="s">
        <v>12400</v>
      </c>
      <c r="C19454" s="62" t="s">
        <v>5740</v>
      </c>
      <c r="D19454" s="107" t="s">
        <v>9604</v>
      </c>
      <c r="E19454" s="57">
        <v>2000</v>
      </c>
      <c r="F19454" s="57"/>
      <c r="G19454" s="125">
        <f t="shared" si="309"/>
        <v>-2000</v>
      </c>
      <c r="H19454" s="704" t="s">
        <v>12939</v>
      </c>
    </row>
    <row r="19455" spans="1:8" ht="15" x14ac:dyDescent="0.2">
      <c r="A19455" s="733">
        <v>45427</v>
      </c>
      <c r="B19455" s="40" t="s">
        <v>12505</v>
      </c>
      <c r="C19455" s="62" t="s">
        <v>11386</v>
      </c>
      <c r="D19455" s="107" t="s">
        <v>13077</v>
      </c>
      <c r="E19455" s="57">
        <v>200000</v>
      </c>
      <c r="F19455" s="57"/>
      <c r="G19455" s="125">
        <f t="shared" ref="G19455:G19518" si="310">F19455-E19455</f>
        <v>-200000</v>
      </c>
      <c r="H19455" s="704" t="s">
        <v>12939</v>
      </c>
    </row>
    <row r="19456" spans="1:8" ht="15" x14ac:dyDescent="0.2">
      <c r="A19456" s="733">
        <v>45427</v>
      </c>
      <c r="B19456" s="40" t="s">
        <v>12505</v>
      </c>
      <c r="C19456" s="62" t="s">
        <v>10981</v>
      </c>
      <c r="D19456" s="107" t="s">
        <v>13076</v>
      </c>
      <c r="E19456" s="57">
        <v>300000</v>
      </c>
      <c r="F19456" s="57"/>
      <c r="G19456" s="125">
        <f t="shared" si="310"/>
        <v>-300000</v>
      </c>
      <c r="H19456" s="704" t="s">
        <v>12939</v>
      </c>
    </row>
    <row r="19457" spans="1:8" ht="15" x14ac:dyDescent="0.2">
      <c r="A19457" s="733">
        <v>45428</v>
      </c>
      <c r="B19457" s="40" t="s">
        <v>8556</v>
      </c>
      <c r="C19457" s="62" t="s">
        <v>11952</v>
      </c>
      <c r="D19457" s="107" t="s">
        <v>6925</v>
      </c>
      <c r="E19457" s="57">
        <v>10000</v>
      </c>
      <c r="F19457" s="57"/>
      <c r="G19457" s="125">
        <f t="shared" si="310"/>
        <v>-10000</v>
      </c>
      <c r="H19457" s="704" t="s">
        <v>12939</v>
      </c>
    </row>
    <row r="19458" spans="1:8" ht="15" x14ac:dyDescent="0.2">
      <c r="A19458" s="733">
        <v>45428</v>
      </c>
      <c r="B19458" s="40" t="s">
        <v>11874</v>
      </c>
      <c r="C19458" s="62" t="s">
        <v>285</v>
      </c>
      <c r="D19458" s="107" t="s">
        <v>8660</v>
      </c>
      <c r="E19458" s="57">
        <v>1000</v>
      </c>
      <c r="F19458" s="57"/>
      <c r="G19458" s="125">
        <f t="shared" si="310"/>
        <v>-1000</v>
      </c>
      <c r="H19458" s="704" t="s">
        <v>12939</v>
      </c>
    </row>
    <row r="19459" spans="1:8" ht="15" x14ac:dyDescent="0.2">
      <c r="A19459" s="733">
        <v>45428</v>
      </c>
      <c r="B19459" s="40" t="s">
        <v>12607</v>
      </c>
      <c r="C19459" s="62" t="s">
        <v>9471</v>
      </c>
      <c r="D19459" s="107" t="s">
        <v>1156</v>
      </c>
      <c r="E19459" s="57">
        <v>35000</v>
      </c>
      <c r="F19459" s="57"/>
      <c r="G19459" s="125">
        <f t="shared" si="310"/>
        <v>-35000</v>
      </c>
      <c r="H19459" s="704" t="s">
        <v>12939</v>
      </c>
    </row>
    <row r="19460" spans="1:8" ht="15" x14ac:dyDescent="0.2">
      <c r="A19460" s="733">
        <v>45428</v>
      </c>
      <c r="B19460" s="40" t="s">
        <v>11077</v>
      </c>
      <c r="C19460" s="62" t="s">
        <v>12446</v>
      </c>
      <c r="D19460" s="107" t="s">
        <v>1156</v>
      </c>
      <c r="E19460" s="57">
        <v>20000</v>
      </c>
      <c r="F19460" s="57"/>
      <c r="G19460" s="125">
        <f t="shared" si="310"/>
        <v>-20000</v>
      </c>
      <c r="H19460" s="704" t="s">
        <v>12939</v>
      </c>
    </row>
    <row r="19461" spans="1:8" ht="15" x14ac:dyDescent="0.2">
      <c r="A19461" s="733">
        <v>45428</v>
      </c>
      <c r="B19461" s="40" t="s">
        <v>12400</v>
      </c>
      <c r="C19461" s="62" t="s">
        <v>10981</v>
      </c>
      <c r="D19461" s="107" t="s">
        <v>13078</v>
      </c>
      <c r="E19461" s="57">
        <v>25600</v>
      </c>
      <c r="F19461" s="57"/>
      <c r="G19461" s="125">
        <f t="shared" si="310"/>
        <v>-25600</v>
      </c>
      <c r="H19461" s="704" t="s">
        <v>12939</v>
      </c>
    </row>
    <row r="19462" spans="1:8" ht="15" x14ac:dyDescent="0.2">
      <c r="A19462" s="733">
        <v>45428</v>
      </c>
      <c r="B19462" s="40" t="s">
        <v>13005</v>
      </c>
      <c r="C19462" s="62" t="s">
        <v>5740</v>
      </c>
      <c r="D19462" s="107" t="s">
        <v>1156</v>
      </c>
      <c r="E19462" s="57">
        <v>300</v>
      </c>
      <c r="F19462" s="57"/>
      <c r="G19462" s="125">
        <f t="shared" si="310"/>
        <v>-300</v>
      </c>
      <c r="H19462" s="704" t="s">
        <v>12939</v>
      </c>
    </row>
    <row r="19463" spans="1:8" ht="15" x14ac:dyDescent="0.2">
      <c r="A19463" s="733">
        <v>45428</v>
      </c>
      <c r="B19463" s="40" t="s">
        <v>11874</v>
      </c>
      <c r="C19463" s="62" t="s">
        <v>10981</v>
      </c>
      <c r="D19463" s="107" t="s">
        <v>13079</v>
      </c>
      <c r="E19463" s="57">
        <v>10000</v>
      </c>
      <c r="F19463" s="57"/>
      <c r="G19463" s="125">
        <f t="shared" si="310"/>
        <v>-10000</v>
      </c>
      <c r="H19463" s="704" t="s">
        <v>12939</v>
      </c>
    </row>
    <row r="19464" spans="1:8" ht="15" x14ac:dyDescent="0.2">
      <c r="A19464" s="733">
        <v>45428</v>
      </c>
      <c r="B19464" s="40" t="s">
        <v>13005</v>
      </c>
      <c r="C19464" s="62" t="s">
        <v>10981</v>
      </c>
      <c r="D19464" s="107" t="s">
        <v>13094</v>
      </c>
      <c r="E19464" s="57">
        <v>23500</v>
      </c>
      <c r="F19464" s="57"/>
      <c r="G19464" s="125">
        <f t="shared" si="310"/>
        <v>-23500</v>
      </c>
      <c r="H19464" s="704" t="s">
        <v>12939</v>
      </c>
    </row>
    <row r="19465" spans="1:8" ht="15" x14ac:dyDescent="0.2">
      <c r="A19465" s="733">
        <v>45428</v>
      </c>
      <c r="B19465" s="40" t="s">
        <v>12400</v>
      </c>
      <c r="C19465" s="62" t="s">
        <v>5740</v>
      </c>
      <c r="D19465" s="107" t="s">
        <v>9604</v>
      </c>
      <c r="E19465" s="57">
        <v>2000</v>
      </c>
      <c r="F19465" s="57"/>
      <c r="G19465" s="125">
        <f t="shared" si="310"/>
        <v>-2000</v>
      </c>
      <c r="H19465" s="704" t="s">
        <v>12939</v>
      </c>
    </row>
    <row r="19466" spans="1:8" ht="15" x14ac:dyDescent="0.2">
      <c r="A19466" s="733">
        <v>45429</v>
      </c>
      <c r="B19466" s="40" t="s">
        <v>11717</v>
      </c>
      <c r="C19466" s="62" t="s">
        <v>10981</v>
      </c>
      <c r="D19466" s="107" t="s">
        <v>8525</v>
      </c>
      <c r="E19466" s="57">
        <v>25725</v>
      </c>
      <c r="F19466" s="57"/>
      <c r="G19466" s="125">
        <f t="shared" si="310"/>
        <v>-25725</v>
      </c>
      <c r="H19466" s="704" t="s">
        <v>12939</v>
      </c>
    </row>
    <row r="19467" spans="1:8" ht="15" x14ac:dyDescent="0.2">
      <c r="A19467" s="733">
        <v>45429</v>
      </c>
      <c r="B19467" s="40" t="s">
        <v>103</v>
      </c>
      <c r="C19467" s="62" t="s">
        <v>103</v>
      </c>
      <c r="D19467" s="107" t="s">
        <v>10208</v>
      </c>
      <c r="E19467" s="57">
        <v>3000</v>
      </c>
      <c r="F19467" s="57"/>
      <c r="G19467" s="125">
        <f t="shared" si="310"/>
        <v>-3000</v>
      </c>
      <c r="H19467" s="704" t="s">
        <v>12939</v>
      </c>
    </row>
    <row r="19468" spans="1:8" ht="15" x14ac:dyDescent="0.2">
      <c r="A19468" s="733">
        <v>45429</v>
      </c>
      <c r="B19468" s="40" t="s">
        <v>3944</v>
      </c>
      <c r="C19468" s="62"/>
      <c r="D19468" s="107" t="s">
        <v>13083</v>
      </c>
      <c r="E19468" s="57">
        <v>15000</v>
      </c>
      <c r="F19468" s="57"/>
      <c r="G19468" s="125">
        <f t="shared" si="310"/>
        <v>-15000</v>
      </c>
      <c r="H19468" s="704" t="s">
        <v>12939</v>
      </c>
    </row>
    <row r="19469" spans="1:8" ht="15" customHeight="1" x14ac:dyDescent="0.2">
      <c r="A19469" s="733">
        <v>45429</v>
      </c>
      <c r="B19469" s="40" t="s">
        <v>12346</v>
      </c>
      <c r="C19469" s="62" t="s">
        <v>13095</v>
      </c>
      <c r="D19469" s="107" t="s">
        <v>13096</v>
      </c>
      <c r="E19469" s="57">
        <v>5000</v>
      </c>
      <c r="F19469" s="57"/>
      <c r="G19469" s="125">
        <f t="shared" si="310"/>
        <v>-5000</v>
      </c>
      <c r="H19469" s="704" t="s">
        <v>12939</v>
      </c>
    </row>
    <row r="19470" spans="1:8" ht="15" customHeight="1" x14ac:dyDescent="0.2">
      <c r="A19470" s="733">
        <v>45429</v>
      </c>
      <c r="B19470" s="40" t="s">
        <v>12400</v>
      </c>
      <c r="C19470" s="62" t="s">
        <v>5740</v>
      </c>
      <c r="D19470" s="107" t="s">
        <v>9604</v>
      </c>
      <c r="E19470" s="57">
        <v>3000</v>
      </c>
      <c r="F19470" s="57"/>
      <c r="G19470" s="125">
        <f t="shared" si="310"/>
        <v>-3000</v>
      </c>
      <c r="H19470" s="704" t="s">
        <v>12939</v>
      </c>
    </row>
    <row r="19471" spans="1:8" ht="15" customHeight="1" x14ac:dyDescent="0.2">
      <c r="A19471" s="733">
        <v>45429</v>
      </c>
      <c r="B19471" s="40" t="s">
        <v>8556</v>
      </c>
      <c r="C19471" s="62" t="s">
        <v>12568</v>
      </c>
      <c r="D19471" s="107" t="s">
        <v>13084</v>
      </c>
      <c r="E19471" s="57">
        <v>15000</v>
      </c>
      <c r="F19471" s="57"/>
      <c r="G19471" s="125">
        <f t="shared" si="310"/>
        <v>-15000</v>
      </c>
      <c r="H19471" s="704" t="s">
        <v>12939</v>
      </c>
    </row>
    <row r="19472" spans="1:8" ht="15" customHeight="1" x14ac:dyDescent="0.2">
      <c r="A19472" s="733">
        <v>45429</v>
      </c>
      <c r="B19472" s="40" t="s">
        <v>12400</v>
      </c>
      <c r="C19472" s="62" t="s">
        <v>11279</v>
      </c>
      <c r="D19472" s="107" t="s">
        <v>13084</v>
      </c>
      <c r="E19472" s="57">
        <v>120000</v>
      </c>
      <c r="F19472" s="57"/>
      <c r="G19472" s="125">
        <f t="shared" si="310"/>
        <v>-120000</v>
      </c>
      <c r="H19472" s="704" t="s">
        <v>12939</v>
      </c>
    </row>
    <row r="19473" spans="1:8" ht="15" customHeight="1" x14ac:dyDescent="0.2">
      <c r="A19473" s="733">
        <v>45429</v>
      </c>
      <c r="B19473" s="40" t="s">
        <v>3945</v>
      </c>
      <c r="C19473" s="62" t="s">
        <v>12836</v>
      </c>
      <c r="D19473" s="107" t="s">
        <v>10718</v>
      </c>
      <c r="E19473" s="57">
        <v>100000</v>
      </c>
      <c r="F19473" s="57"/>
      <c r="G19473" s="125">
        <f t="shared" si="310"/>
        <v>-100000</v>
      </c>
      <c r="H19473" s="704" t="s">
        <v>12939</v>
      </c>
    </row>
    <row r="19474" spans="1:8" ht="15" customHeight="1" x14ac:dyDescent="0.2">
      <c r="A19474" s="733">
        <v>45429</v>
      </c>
      <c r="B19474" s="62" t="s">
        <v>12597</v>
      </c>
      <c r="C19474" s="62" t="s">
        <v>13085</v>
      </c>
      <c r="D19474" s="107" t="s">
        <v>10718</v>
      </c>
      <c r="E19474" s="57">
        <v>350000</v>
      </c>
      <c r="F19474" s="57"/>
      <c r="G19474" s="125">
        <f t="shared" si="310"/>
        <v>-350000</v>
      </c>
      <c r="H19474" s="704" t="s">
        <v>12939</v>
      </c>
    </row>
    <row r="19475" spans="1:8" ht="15" customHeight="1" x14ac:dyDescent="0.2">
      <c r="A19475" s="733">
        <v>45430</v>
      </c>
      <c r="B19475" s="40" t="s">
        <v>12400</v>
      </c>
      <c r="C19475" s="62" t="s">
        <v>10981</v>
      </c>
      <c r="D19475" s="107" t="s">
        <v>13086</v>
      </c>
      <c r="E19475" s="57">
        <v>35400</v>
      </c>
      <c r="F19475" s="57"/>
      <c r="G19475" s="125">
        <f t="shared" si="310"/>
        <v>-35400</v>
      </c>
      <c r="H19475" s="704" t="s">
        <v>12939</v>
      </c>
    </row>
    <row r="19476" spans="1:8" ht="15" customHeight="1" x14ac:dyDescent="0.2">
      <c r="A19476" s="733">
        <v>45430</v>
      </c>
      <c r="B19476" s="62" t="s">
        <v>13299</v>
      </c>
      <c r="C19476" s="62" t="s">
        <v>6422</v>
      </c>
      <c r="D19476" s="107" t="s">
        <v>13087</v>
      </c>
      <c r="E19476" s="57">
        <v>100000</v>
      </c>
      <c r="F19476" s="57"/>
      <c r="G19476" s="125">
        <f t="shared" si="310"/>
        <v>-100000</v>
      </c>
      <c r="H19476" s="704" t="s">
        <v>12939</v>
      </c>
    </row>
    <row r="19477" spans="1:8" ht="15" customHeight="1" x14ac:dyDescent="0.2">
      <c r="A19477" s="733">
        <v>45430</v>
      </c>
      <c r="B19477" s="62" t="s">
        <v>13299</v>
      </c>
      <c r="C19477" s="62" t="s">
        <v>391</v>
      </c>
      <c r="D19477" s="107" t="s">
        <v>13088</v>
      </c>
      <c r="E19477" s="57">
        <v>1000</v>
      </c>
      <c r="F19477" s="57"/>
      <c r="G19477" s="125">
        <f t="shared" si="310"/>
        <v>-1000</v>
      </c>
      <c r="H19477" s="704" t="s">
        <v>12939</v>
      </c>
    </row>
    <row r="19478" spans="1:8" ht="15" customHeight="1" x14ac:dyDescent="0.2">
      <c r="A19478" s="733">
        <v>45430</v>
      </c>
      <c r="B19478" s="40" t="s">
        <v>11717</v>
      </c>
      <c r="C19478" s="62" t="s">
        <v>391</v>
      </c>
      <c r="D19478" s="107" t="s">
        <v>6385</v>
      </c>
      <c r="E19478" s="57">
        <v>7200</v>
      </c>
      <c r="F19478" s="57"/>
      <c r="G19478" s="125">
        <f t="shared" si="310"/>
        <v>-7200</v>
      </c>
      <c r="H19478" s="704" t="s">
        <v>12939</v>
      </c>
    </row>
    <row r="19479" spans="1:8" ht="15" customHeight="1" x14ac:dyDescent="0.2">
      <c r="A19479" s="733">
        <v>45430</v>
      </c>
      <c r="B19479" s="40" t="s">
        <v>103</v>
      </c>
      <c r="C19479" s="62" t="s">
        <v>103</v>
      </c>
      <c r="D19479" s="107" t="s">
        <v>10208</v>
      </c>
      <c r="E19479" s="57">
        <v>3000</v>
      </c>
      <c r="F19479" s="57"/>
      <c r="G19479" s="125">
        <f t="shared" si="310"/>
        <v>-3000</v>
      </c>
      <c r="H19479" s="704" t="s">
        <v>12939</v>
      </c>
    </row>
    <row r="19480" spans="1:8" ht="15" customHeight="1" x14ac:dyDescent="0.2">
      <c r="A19480" s="733">
        <v>45430</v>
      </c>
      <c r="B19480" s="40" t="s">
        <v>11717</v>
      </c>
      <c r="C19480" s="62" t="s">
        <v>5740</v>
      </c>
      <c r="D19480" s="107" t="s">
        <v>13097</v>
      </c>
      <c r="E19480" s="57">
        <v>3700</v>
      </c>
      <c r="F19480" s="57"/>
      <c r="G19480" s="125">
        <f t="shared" si="310"/>
        <v>-3700</v>
      </c>
      <c r="H19480" s="704" t="s">
        <v>12939</v>
      </c>
    </row>
    <row r="19481" spans="1:8" ht="15" customHeight="1" x14ac:dyDescent="0.2">
      <c r="A19481" s="733">
        <v>45432</v>
      </c>
      <c r="B19481" s="40" t="s">
        <v>12607</v>
      </c>
      <c r="C19481" s="62" t="s">
        <v>13098</v>
      </c>
      <c r="D19481" s="107" t="s">
        <v>1156</v>
      </c>
      <c r="E19481" s="57">
        <v>2000</v>
      </c>
      <c r="F19481" s="57"/>
      <c r="G19481" s="125">
        <f t="shared" si="310"/>
        <v>-2000</v>
      </c>
      <c r="H19481" s="704" t="s">
        <v>12939</v>
      </c>
    </row>
    <row r="19482" spans="1:8" ht="15" customHeight="1" x14ac:dyDescent="0.2">
      <c r="A19482" s="733">
        <v>45432</v>
      </c>
      <c r="B19482" s="62" t="s">
        <v>13299</v>
      </c>
      <c r="C19482" s="62" t="s">
        <v>5740</v>
      </c>
      <c r="D19482" s="107" t="s">
        <v>13099</v>
      </c>
      <c r="E19482" s="57">
        <v>2000</v>
      </c>
      <c r="F19482" s="57"/>
      <c r="G19482" s="125">
        <f t="shared" si="310"/>
        <v>-2000</v>
      </c>
      <c r="H19482" s="704" t="s">
        <v>12939</v>
      </c>
    </row>
    <row r="19483" spans="1:8" ht="15" customHeight="1" x14ac:dyDescent="0.2">
      <c r="A19483" s="733">
        <v>45432</v>
      </c>
      <c r="B19483" s="40" t="s">
        <v>103</v>
      </c>
      <c r="C19483" s="62" t="s">
        <v>103</v>
      </c>
      <c r="D19483" s="107" t="s">
        <v>10208</v>
      </c>
      <c r="E19483" s="57">
        <v>5000</v>
      </c>
      <c r="F19483" s="57"/>
      <c r="G19483" s="125">
        <f t="shared" si="310"/>
        <v>-5000</v>
      </c>
      <c r="H19483" s="704" t="s">
        <v>12939</v>
      </c>
    </row>
    <row r="19484" spans="1:8" ht="15" customHeight="1" x14ac:dyDescent="0.2">
      <c r="A19484" s="733">
        <v>45432</v>
      </c>
      <c r="B19484" s="40" t="s">
        <v>11077</v>
      </c>
      <c r="C19484" s="62" t="s">
        <v>10981</v>
      </c>
      <c r="D19484" s="107" t="s">
        <v>13100</v>
      </c>
      <c r="E19484" s="57">
        <v>6000</v>
      </c>
      <c r="F19484" s="57"/>
      <c r="G19484" s="125">
        <f t="shared" si="310"/>
        <v>-6000</v>
      </c>
      <c r="H19484" s="704" t="s">
        <v>12939</v>
      </c>
    </row>
    <row r="19485" spans="1:8" ht="15" customHeight="1" x14ac:dyDescent="0.2">
      <c r="A19485" s="733">
        <v>45432</v>
      </c>
      <c r="B19485" s="40" t="s">
        <v>25</v>
      </c>
      <c r="C19485" s="62" t="s">
        <v>8148</v>
      </c>
      <c r="D19485" s="107" t="s">
        <v>6342</v>
      </c>
      <c r="E19485" s="57">
        <v>2915</v>
      </c>
      <c r="F19485" s="57"/>
      <c r="G19485" s="125">
        <f t="shared" si="310"/>
        <v>-2915</v>
      </c>
      <c r="H19485" s="704" t="s">
        <v>12939</v>
      </c>
    </row>
    <row r="19486" spans="1:8" ht="15" customHeight="1" x14ac:dyDescent="0.2">
      <c r="A19486" s="733">
        <v>45432</v>
      </c>
      <c r="B19486" s="40" t="s">
        <v>103</v>
      </c>
      <c r="C19486" s="62" t="s">
        <v>8148</v>
      </c>
      <c r="D19486" s="107" t="s">
        <v>6342</v>
      </c>
      <c r="E19486" s="57">
        <v>8550</v>
      </c>
      <c r="F19486" s="57"/>
      <c r="G19486" s="125">
        <f t="shared" si="310"/>
        <v>-8550</v>
      </c>
      <c r="H19486" s="704" t="s">
        <v>12939</v>
      </c>
    </row>
    <row r="19487" spans="1:8" ht="15" customHeight="1" x14ac:dyDescent="0.2">
      <c r="A19487" s="733">
        <v>45432</v>
      </c>
      <c r="B19487" s="40" t="s">
        <v>11874</v>
      </c>
      <c r="C19487" s="62" t="s">
        <v>13101</v>
      </c>
      <c r="D19487" s="107" t="s">
        <v>12277</v>
      </c>
      <c r="E19487" s="57">
        <v>174000</v>
      </c>
      <c r="F19487" s="57"/>
      <c r="G19487" s="125">
        <f t="shared" si="310"/>
        <v>-174000</v>
      </c>
      <c r="H19487" s="704" t="s">
        <v>12939</v>
      </c>
    </row>
    <row r="19488" spans="1:8" ht="15" customHeight="1" x14ac:dyDescent="0.2">
      <c r="A19488" s="733">
        <v>45432</v>
      </c>
      <c r="B19488" s="40" t="s">
        <v>11077</v>
      </c>
      <c r="C19488" s="62" t="s">
        <v>10981</v>
      </c>
      <c r="D19488" s="107" t="s">
        <v>13102</v>
      </c>
      <c r="E19488" s="57">
        <v>30960</v>
      </c>
      <c r="F19488" s="57"/>
      <c r="G19488" s="125">
        <f t="shared" si="310"/>
        <v>-30960</v>
      </c>
      <c r="H19488" s="704" t="s">
        <v>12939</v>
      </c>
    </row>
    <row r="19489" spans="1:8" ht="15" customHeight="1" x14ac:dyDescent="0.2">
      <c r="A19489" s="733">
        <v>45432</v>
      </c>
      <c r="B19489" s="40" t="s">
        <v>11077</v>
      </c>
      <c r="C19489" s="669" t="s">
        <v>255</v>
      </c>
      <c r="D19489" s="912" t="s">
        <v>13103</v>
      </c>
      <c r="E19489" s="584">
        <v>135900</v>
      </c>
      <c r="F19489" s="57"/>
      <c r="G19489" s="125">
        <f t="shared" si="310"/>
        <v>-135900</v>
      </c>
      <c r="H19489" s="704" t="s">
        <v>12939</v>
      </c>
    </row>
    <row r="19490" spans="1:8" ht="15" customHeight="1" x14ac:dyDescent="0.2">
      <c r="A19490" s="733">
        <v>45432</v>
      </c>
      <c r="B19490" s="40" t="s">
        <v>11874</v>
      </c>
      <c r="C19490" s="669" t="s">
        <v>255</v>
      </c>
      <c r="D19490" s="912" t="s">
        <v>13103</v>
      </c>
      <c r="E19490" s="584">
        <v>48390</v>
      </c>
      <c r="F19490" s="57"/>
      <c r="G19490" s="125">
        <f t="shared" si="310"/>
        <v>-48390</v>
      </c>
      <c r="H19490" s="704" t="s">
        <v>12939</v>
      </c>
    </row>
    <row r="19491" spans="1:8" ht="15" customHeight="1" x14ac:dyDescent="0.2">
      <c r="A19491" s="733">
        <v>45432</v>
      </c>
      <c r="B19491" s="40" t="s">
        <v>12340</v>
      </c>
      <c r="C19491" s="669" t="s">
        <v>255</v>
      </c>
      <c r="D19491" s="912" t="s">
        <v>13103</v>
      </c>
      <c r="E19491" s="584">
        <v>90710</v>
      </c>
      <c r="F19491" s="57"/>
      <c r="G19491" s="125">
        <f t="shared" si="310"/>
        <v>-90710</v>
      </c>
      <c r="H19491" s="704" t="s">
        <v>12939</v>
      </c>
    </row>
    <row r="19492" spans="1:8" ht="15" customHeight="1" x14ac:dyDescent="0.2">
      <c r="A19492" s="733">
        <v>45432</v>
      </c>
      <c r="B19492" s="40" t="s">
        <v>13005</v>
      </c>
      <c r="C19492" s="62" t="s">
        <v>11442</v>
      </c>
      <c r="D19492" s="107" t="s">
        <v>12310</v>
      </c>
      <c r="E19492" s="57">
        <v>96000</v>
      </c>
      <c r="F19492" s="57"/>
      <c r="G19492" s="125">
        <f t="shared" si="310"/>
        <v>-96000</v>
      </c>
      <c r="H19492" s="704" t="s">
        <v>12939</v>
      </c>
    </row>
    <row r="19493" spans="1:8" ht="15" customHeight="1" x14ac:dyDescent="0.2">
      <c r="A19493" s="733">
        <v>45432</v>
      </c>
      <c r="B19493" s="40" t="s">
        <v>11077</v>
      </c>
      <c r="C19493" s="62" t="s">
        <v>10981</v>
      </c>
      <c r="D19493" s="107" t="s">
        <v>13104</v>
      </c>
      <c r="E19493" s="57">
        <v>23500</v>
      </c>
      <c r="F19493" s="57"/>
      <c r="G19493" s="125">
        <f t="shared" si="310"/>
        <v>-23500</v>
      </c>
      <c r="H19493" s="704" t="s">
        <v>12939</v>
      </c>
    </row>
    <row r="19494" spans="1:8" ht="15" customHeight="1" x14ac:dyDescent="0.2">
      <c r="A19494" s="733">
        <v>45432</v>
      </c>
      <c r="B19494" s="40" t="s">
        <v>12505</v>
      </c>
      <c r="C19494" s="62" t="s">
        <v>10981</v>
      </c>
      <c r="D19494" s="107" t="s">
        <v>4451</v>
      </c>
      <c r="E19494" s="57">
        <v>6000</v>
      </c>
      <c r="F19494" s="57"/>
      <c r="G19494" s="125">
        <f t="shared" si="310"/>
        <v>-6000</v>
      </c>
      <c r="H19494" s="704" t="s">
        <v>12939</v>
      </c>
    </row>
    <row r="19495" spans="1:8" ht="15" customHeight="1" x14ac:dyDescent="0.2">
      <c r="A19495" s="733">
        <v>45432</v>
      </c>
      <c r="B19495" s="40" t="s">
        <v>11123</v>
      </c>
      <c r="C19495" s="62" t="s">
        <v>10981</v>
      </c>
      <c r="D19495" s="107" t="s">
        <v>4451</v>
      </c>
      <c r="E19495" s="57">
        <v>7500</v>
      </c>
      <c r="F19495" s="57"/>
      <c r="G19495" s="125">
        <f t="shared" si="310"/>
        <v>-7500</v>
      </c>
      <c r="H19495" s="704" t="s">
        <v>12939</v>
      </c>
    </row>
    <row r="19496" spans="1:8" ht="15" x14ac:dyDescent="0.2">
      <c r="A19496" s="733">
        <v>45432</v>
      </c>
      <c r="B19496" s="40" t="s">
        <v>8873</v>
      </c>
      <c r="C19496" s="62" t="s">
        <v>10981</v>
      </c>
      <c r="D19496" s="107" t="s">
        <v>4451</v>
      </c>
      <c r="E19496" s="57">
        <v>2000</v>
      </c>
      <c r="F19496" s="57"/>
      <c r="G19496" s="125">
        <f t="shared" si="310"/>
        <v>-2000</v>
      </c>
      <c r="H19496" s="704" t="s">
        <v>12939</v>
      </c>
    </row>
    <row r="19497" spans="1:8" ht="15" x14ac:dyDescent="0.2">
      <c r="A19497" s="733">
        <v>45432</v>
      </c>
      <c r="B19497" s="40" t="s">
        <v>37</v>
      </c>
      <c r="C19497" s="62" t="s">
        <v>10981</v>
      </c>
      <c r="D19497" s="107" t="s">
        <v>4451</v>
      </c>
      <c r="E19497" s="57">
        <v>2500</v>
      </c>
      <c r="F19497" s="57"/>
      <c r="G19497" s="125">
        <f t="shared" si="310"/>
        <v>-2500</v>
      </c>
      <c r="H19497" s="704" t="s">
        <v>12939</v>
      </c>
    </row>
    <row r="19498" spans="1:8" ht="15" x14ac:dyDescent="0.2">
      <c r="A19498" s="733">
        <v>45432</v>
      </c>
      <c r="B19498" s="40" t="s">
        <v>103</v>
      </c>
      <c r="C19498" s="62" t="s">
        <v>9033</v>
      </c>
      <c r="D19498" s="107" t="s">
        <v>13121</v>
      </c>
      <c r="E19498" s="57">
        <v>15000</v>
      </c>
      <c r="F19498" s="57"/>
      <c r="G19498" s="125">
        <f t="shared" si="310"/>
        <v>-15000</v>
      </c>
      <c r="H19498" s="704" t="s">
        <v>12939</v>
      </c>
    </row>
    <row r="19499" spans="1:8" ht="15" x14ac:dyDescent="0.2">
      <c r="A19499" s="733">
        <v>45433</v>
      </c>
      <c r="B19499" s="62" t="s">
        <v>13299</v>
      </c>
      <c r="C19499" s="62" t="s">
        <v>5740</v>
      </c>
      <c r="D19499" s="107" t="s">
        <v>13109</v>
      </c>
      <c r="E19499" s="57">
        <v>3500</v>
      </c>
      <c r="F19499" s="57"/>
      <c r="G19499" s="125">
        <f t="shared" si="310"/>
        <v>-3500</v>
      </c>
      <c r="H19499" s="704" t="s">
        <v>12939</v>
      </c>
    </row>
    <row r="19500" spans="1:8" ht="15" x14ac:dyDescent="0.2">
      <c r="A19500" s="733">
        <v>45433</v>
      </c>
      <c r="B19500" s="40" t="s">
        <v>3945</v>
      </c>
      <c r="C19500" s="62" t="s">
        <v>5740</v>
      </c>
      <c r="D19500" s="107" t="s">
        <v>369</v>
      </c>
      <c r="E19500" s="57">
        <v>1000</v>
      </c>
      <c r="F19500" s="57"/>
      <c r="G19500" s="125">
        <f t="shared" si="310"/>
        <v>-1000</v>
      </c>
      <c r="H19500" s="704" t="s">
        <v>12939</v>
      </c>
    </row>
    <row r="19501" spans="1:8" ht="15" x14ac:dyDescent="0.2">
      <c r="A19501" s="733">
        <v>45433</v>
      </c>
      <c r="B19501" s="40" t="s">
        <v>12684</v>
      </c>
      <c r="C19501" s="62" t="s">
        <v>5740</v>
      </c>
      <c r="D19501" s="107" t="s">
        <v>369</v>
      </c>
      <c r="E19501" s="57">
        <v>1000</v>
      </c>
      <c r="F19501" s="57"/>
      <c r="G19501" s="125">
        <f t="shared" si="310"/>
        <v>-1000</v>
      </c>
      <c r="H19501" s="704" t="s">
        <v>12939</v>
      </c>
    </row>
    <row r="19502" spans="1:8" ht="15" x14ac:dyDescent="0.2">
      <c r="A19502" s="733">
        <v>45433</v>
      </c>
      <c r="B19502" s="40" t="s">
        <v>11077</v>
      </c>
      <c r="C19502" s="62" t="s">
        <v>793</v>
      </c>
      <c r="D19502" s="107" t="s">
        <v>13110</v>
      </c>
      <c r="E19502" s="57">
        <v>6000</v>
      </c>
      <c r="F19502" s="57"/>
      <c r="G19502" s="125">
        <f t="shared" si="310"/>
        <v>-6000</v>
      </c>
      <c r="H19502" s="704" t="s">
        <v>12939</v>
      </c>
    </row>
    <row r="19503" spans="1:8" ht="15" x14ac:dyDescent="0.2">
      <c r="A19503" s="733">
        <v>45433</v>
      </c>
      <c r="B19503" s="40" t="s">
        <v>10898</v>
      </c>
      <c r="C19503" s="62" t="s">
        <v>12282</v>
      </c>
      <c r="D19503" s="107" t="s">
        <v>1156</v>
      </c>
      <c r="E19503" s="57">
        <v>10000</v>
      </c>
      <c r="F19503" s="57"/>
      <c r="G19503" s="125">
        <f t="shared" si="310"/>
        <v>-10000</v>
      </c>
      <c r="H19503" s="704" t="s">
        <v>12939</v>
      </c>
    </row>
    <row r="19504" spans="1:8" ht="15" x14ac:dyDescent="0.2">
      <c r="A19504" s="733">
        <v>45433</v>
      </c>
      <c r="B19504" s="40" t="s">
        <v>12340</v>
      </c>
      <c r="C19504" s="62" t="s">
        <v>11539</v>
      </c>
      <c r="D19504" s="107" t="s">
        <v>13111</v>
      </c>
      <c r="E19504" s="57">
        <v>151275</v>
      </c>
      <c r="F19504" s="57"/>
      <c r="G19504" s="125">
        <f t="shared" si="310"/>
        <v>-151275</v>
      </c>
      <c r="H19504" s="704" t="s">
        <v>12939</v>
      </c>
    </row>
    <row r="19505" spans="1:8" ht="15" x14ac:dyDescent="0.2">
      <c r="A19505" s="733">
        <v>45434</v>
      </c>
      <c r="B19505" s="40" t="s">
        <v>11081</v>
      </c>
      <c r="C19505" s="62" t="s">
        <v>5740</v>
      </c>
      <c r="D19505" s="107" t="s">
        <v>369</v>
      </c>
      <c r="E19505" s="57">
        <v>300</v>
      </c>
      <c r="F19505" s="57"/>
      <c r="G19505" s="125">
        <f t="shared" si="310"/>
        <v>-300</v>
      </c>
      <c r="H19505" s="704" t="s">
        <v>12939</v>
      </c>
    </row>
    <row r="19506" spans="1:8" ht="15" x14ac:dyDescent="0.2">
      <c r="A19506" s="733">
        <v>45434</v>
      </c>
      <c r="B19506" s="40" t="s">
        <v>103</v>
      </c>
      <c r="C19506" s="62" t="s">
        <v>103</v>
      </c>
      <c r="D19506" s="107" t="s">
        <v>10208</v>
      </c>
      <c r="E19506" s="57">
        <v>4000</v>
      </c>
      <c r="F19506" s="57"/>
      <c r="G19506" s="125">
        <f t="shared" si="310"/>
        <v>-4000</v>
      </c>
      <c r="H19506" s="704" t="s">
        <v>12939</v>
      </c>
    </row>
    <row r="19507" spans="1:8" ht="15" x14ac:dyDescent="0.2">
      <c r="A19507" s="733">
        <v>45434</v>
      </c>
      <c r="B19507" s="40" t="s">
        <v>12340</v>
      </c>
      <c r="C19507" s="62" t="s">
        <v>5740</v>
      </c>
      <c r="D19507" s="107" t="s">
        <v>369</v>
      </c>
      <c r="E19507" s="57">
        <v>1000</v>
      </c>
      <c r="F19507" s="57"/>
      <c r="G19507" s="125">
        <f t="shared" si="310"/>
        <v>-1000</v>
      </c>
      <c r="H19507" s="704" t="s">
        <v>12939</v>
      </c>
    </row>
    <row r="19508" spans="1:8" ht="15" x14ac:dyDescent="0.2">
      <c r="A19508" s="733">
        <v>45434</v>
      </c>
      <c r="B19508" s="40" t="s">
        <v>12684</v>
      </c>
      <c r="C19508" s="62" t="s">
        <v>13112</v>
      </c>
      <c r="D19508" s="107" t="s">
        <v>13113</v>
      </c>
      <c r="E19508" s="57">
        <v>50000</v>
      </c>
      <c r="F19508" s="57"/>
      <c r="G19508" s="125">
        <f t="shared" si="310"/>
        <v>-50000</v>
      </c>
      <c r="H19508" s="704" t="s">
        <v>12939</v>
      </c>
    </row>
    <row r="19509" spans="1:8" ht="15" x14ac:dyDescent="0.2">
      <c r="A19509" s="733">
        <v>45434</v>
      </c>
      <c r="B19509" s="40" t="s">
        <v>11717</v>
      </c>
      <c r="C19509" s="62" t="s">
        <v>391</v>
      </c>
      <c r="D19509" s="107" t="s">
        <v>13114</v>
      </c>
      <c r="E19509" s="57">
        <v>4000</v>
      </c>
      <c r="F19509" s="57"/>
      <c r="G19509" s="125">
        <f t="shared" si="310"/>
        <v>-4000</v>
      </c>
      <c r="H19509" s="704" t="s">
        <v>12939</v>
      </c>
    </row>
    <row r="19510" spans="1:8" ht="15" x14ac:dyDescent="0.2">
      <c r="A19510" s="733">
        <v>45434</v>
      </c>
      <c r="B19510" s="40" t="s">
        <v>12684</v>
      </c>
      <c r="C19510" s="62" t="s">
        <v>8369</v>
      </c>
      <c r="D19510" s="107" t="s">
        <v>9417</v>
      </c>
      <c r="E19510" s="57">
        <v>3150</v>
      </c>
      <c r="F19510" s="57"/>
      <c r="G19510" s="125">
        <f t="shared" si="310"/>
        <v>-3150</v>
      </c>
      <c r="H19510" s="704" t="s">
        <v>12939</v>
      </c>
    </row>
    <row r="19511" spans="1:8" ht="15" customHeight="1" x14ac:dyDescent="0.2">
      <c r="A19511" s="733">
        <v>45434</v>
      </c>
      <c r="B19511" s="40" t="s">
        <v>13115</v>
      </c>
      <c r="C19511" s="62" t="s">
        <v>8369</v>
      </c>
      <c r="D19511" s="107" t="s">
        <v>9417</v>
      </c>
      <c r="E19511" s="57">
        <v>3150</v>
      </c>
      <c r="F19511" s="57"/>
      <c r="G19511" s="125">
        <f t="shared" si="310"/>
        <v>-3150</v>
      </c>
      <c r="H19511" s="704" t="s">
        <v>12939</v>
      </c>
    </row>
    <row r="19512" spans="1:8" ht="15" x14ac:dyDescent="0.2">
      <c r="A19512" s="733">
        <v>45434</v>
      </c>
      <c r="B19512" s="40" t="s">
        <v>12607</v>
      </c>
      <c r="C19512" s="62" t="s">
        <v>9471</v>
      </c>
      <c r="D19512" s="107" t="s">
        <v>13116</v>
      </c>
      <c r="E19512" s="57">
        <v>6000</v>
      </c>
      <c r="F19512" s="57"/>
      <c r="G19512" s="125">
        <f t="shared" si="310"/>
        <v>-6000</v>
      </c>
      <c r="H19512" s="704" t="s">
        <v>12939</v>
      </c>
    </row>
    <row r="19513" spans="1:8" ht="15" x14ac:dyDescent="0.2">
      <c r="A19513" s="733">
        <v>45434</v>
      </c>
      <c r="B19513" s="40" t="s">
        <v>11874</v>
      </c>
      <c r="C19513" s="62" t="s">
        <v>9868</v>
      </c>
      <c r="D19513" s="107" t="s">
        <v>13117</v>
      </c>
      <c r="E19513" s="57">
        <v>7850</v>
      </c>
      <c r="F19513" s="57"/>
      <c r="G19513" s="125">
        <f t="shared" si="310"/>
        <v>-7850</v>
      </c>
      <c r="H19513" s="704" t="s">
        <v>12939</v>
      </c>
    </row>
    <row r="19514" spans="1:8" ht="15" x14ac:dyDescent="0.2">
      <c r="A19514" s="733">
        <v>45434</v>
      </c>
      <c r="B19514" s="40" t="s">
        <v>11874</v>
      </c>
      <c r="C19514" s="62" t="s">
        <v>5740</v>
      </c>
      <c r="D19514" s="107" t="s">
        <v>10334</v>
      </c>
      <c r="E19514" s="57">
        <v>300</v>
      </c>
      <c r="F19514" s="57"/>
      <c r="G19514" s="125">
        <f t="shared" si="310"/>
        <v>-300</v>
      </c>
      <c r="H19514" s="704" t="s">
        <v>12939</v>
      </c>
    </row>
    <row r="19515" spans="1:8" s="681" customFormat="1" ht="24" customHeight="1" x14ac:dyDescent="0.25">
      <c r="A19515" s="733">
        <v>45434</v>
      </c>
      <c r="B19515" s="62" t="s">
        <v>11717</v>
      </c>
      <c r="C19515" s="62" t="s">
        <v>10981</v>
      </c>
      <c r="D19515" s="182" t="s">
        <v>13070</v>
      </c>
      <c r="E19515" s="125">
        <v>39450</v>
      </c>
      <c r="F19515" s="125"/>
      <c r="G19515" s="125">
        <f t="shared" si="310"/>
        <v>-39450</v>
      </c>
      <c r="H19515" s="704" t="s">
        <v>12939</v>
      </c>
    </row>
    <row r="19516" spans="1:8" s="681" customFormat="1" ht="15" customHeight="1" x14ac:dyDescent="0.25">
      <c r="A19516" s="733">
        <v>45434</v>
      </c>
      <c r="B19516" s="62" t="s">
        <v>12597</v>
      </c>
      <c r="C19516" s="62" t="s">
        <v>10981</v>
      </c>
      <c r="D19516" s="790" t="s">
        <v>13119</v>
      </c>
      <c r="E19516" s="125">
        <v>50000</v>
      </c>
      <c r="F19516" s="125"/>
      <c r="G19516" s="125">
        <f t="shared" si="310"/>
        <v>-50000</v>
      </c>
      <c r="H19516" s="704" t="s">
        <v>12939</v>
      </c>
    </row>
    <row r="19517" spans="1:8" s="681" customFormat="1" ht="15" customHeight="1" x14ac:dyDescent="0.25">
      <c r="A19517" s="733">
        <v>45434</v>
      </c>
      <c r="B19517" s="62" t="s">
        <v>13115</v>
      </c>
      <c r="C19517" s="62" t="s">
        <v>8089</v>
      </c>
      <c r="D19517" s="790" t="s">
        <v>13118</v>
      </c>
      <c r="E19517" s="125">
        <v>1000000</v>
      </c>
      <c r="F19517" s="125"/>
      <c r="G19517" s="125">
        <f t="shared" si="310"/>
        <v>-1000000</v>
      </c>
      <c r="H19517" s="704" t="s">
        <v>12939</v>
      </c>
    </row>
    <row r="19518" spans="1:8" s="681" customFormat="1" ht="15" customHeight="1" x14ac:dyDescent="0.25">
      <c r="A19518" s="733">
        <v>45434</v>
      </c>
      <c r="B19518" s="62" t="s">
        <v>11077</v>
      </c>
      <c r="C19518" s="62" t="s">
        <v>10981</v>
      </c>
      <c r="D19518" s="790" t="s">
        <v>13120</v>
      </c>
      <c r="E19518" s="125">
        <v>15200</v>
      </c>
      <c r="F19518" s="125"/>
      <c r="G19518" s="125">
        <f t="shared" si="310"/>
        <v>-15200</v>
      </c>
      <c r="H19518" s="704" t="s">
        <v>12939</v>
      </c>
    </row>
    <row r="19519" spans="1:8" s="681" customFormat="1" ht="15" customHeight="1" x14ac:dyDescent="0.25">
      <c r="A19519" s="733">
        <v>45434</v>
      </c>
      <c r="B19519" s="62" t="s">
        <v>13115</v>
      </c>
      <c r="C19519" s="62" t="s">
        <v>8089</v>
      </c>
      <c r="D19519" s="790" t="s">
        <v>13118</v>
      </c>
      <c r="E19519" s="125">
        <v>400000</v>
      </c>
      <c r="F19519" s="125"/>
      <c r="G19519" s="125">
        <f t="shared" ref="G19519:G19582" si="311">F19519-E19519</f>
        <v>-400000</v>
      </c>
      <c r="H19519" s="704" t="s">
        <v>12939</v>
      </c>
    </row>
    <row r="19520" spans="1:8" s="681" customFormat="1" ht="15" customHeight="1" x14ac:dyDescent="0.25">
      <c r="A19520" s="733">
        <v>45434</v>
      </c>
      <c r="B19520" s="62" t="s">
        <v>11874</v>
      </c>
      <c r="C19520" s="62" t="s">
        <v>4724</v>
      </c>
      <c r="D19520" s="790" t="s">
        <v>12277</v>
      </c>
      <c r="E19520" s="125">
        <v>450000</v>
      </c>
      <c r="F19520" s="125"/>
      <c r="G19520" s="125">
        <f t="shared" si="311"/>
        <v>-450000</v>
      </c>
      <c r="H19520" s="704" t="s">
        <v>12939</v>
      </c>
    </row>
    <row r="19521" spans="1:8" s="681" customFormat="1" ht="15" customHeight="1" x14ac:dyDescent="0.25">
      <c r="A19521" s="733">
        <v>45434</v>
      </c>
      <c r="B19521" s="62" t="s">
        <v>13115</v>
      </c>
      <c r="C19521" s="62" t="s">
        <v>8089</v>
      </c>
      <c r="D19521" s="790" t="s">
        <v>13126</v>
      </c>
      <c r="E19521" s="125">
        <v>995000</v>
      </c>
      <c r="F19521" s="125"/>
      <c r="G19521" s="125">
        <f t="shared" si="311"/>
        <v>-995000</v>
      </c>
      <c r="H19521" s="704" t="s">
        <v>12939</v>
      </c>
    </row>
    <row r="19522" spans="1:8" s="681" customFormat="1" ht="15" customHeight="1" x14ac:dyDescent="0.25">
      <c r="A19522" s="733">
        <v>45435</v>
      </c>
      <c r="B19522" s="62" t="s">
        <v>103</v>
      </c>
      <c r="C19522" s="62" t="s">
        <v>103</v>
      </c>
      <c r="D19522" s="790" t="s">
        <v>11176</v>
      </c>
      <c r="E19522" s="125">
        <v>21215</v>
      </c>
      <c r="F19522" s="125"/>
      <c r="G19522" s="125">
        <f t="shared" si="311"/>
        <v>-21215</v>
      </c>
      <c r="H19522" s="704" t="s">
        <v>12939</v>
      </c>
    </row>
    <row r="19523" spans="1:8" s="681" customFormat="1" ht="15" customHeight="1" x14ac:dyDescent="0.25">
      <c r="A19523" s="733">
        <v>45435</v>
      </c>
      <c r="B19523" s="62" t="s">
        <v>11077</v>
      </c>
      <c r="C19523" s="62" t="s">
        <v>12618</v>
      </c>
      <c r="D19523" s="790" t="s">
        <v>13122</v>
      </c>
      <c r="E19523" s="125">
        <v>35000</v>
      </c>
      <c r="F19523" s="125"/>
      <c r="G19523" s="125">
        <f t="shared" si="311"/>
        <v>-35000</v>
      </c>
      <c r="H19523" s="704" t="s">
        <v>12939</v>
      </c>
    </row>
    <row r="19524" spans="1:8" s="681" customFormat="1" ht="15" customHeight="1" x14ac:dyDescent="0.25">
      <c r="A19524" s="733">
        <v>45435</v>
      </c>
      <c r="B19524" s="62" t="s">
        <v>12798</v>
      </c>
      <c r="C19524" s="62" t="s">
        <v>5740</v>
      </c>
      <c r="D19524" s="790" t="s">
        <v>369</v>
      </c>
      <c r="E19524" s="125">
        <v>1000</v>
      </c>
      <c r="F19524" s="125"/>
      <c r="G19524" s="125">
        <f t="shared" si="311"/>
        <v>-1000</v>
      </c>
      <c r="H19524" s="704" t="s">
        <v>12939</v>
      </c>
    </row>
    <row r="19525" spans="1:8" ht="15" x14ac:dyDescent="0.2">
      <c r="A19525" s="733">
        <v>45435</v>
      </c>
      <c r="B19525" s="40" t="s">
        <v>12798</v>
      </c>
      <c r="C19525" s="62" t="s">
        <v>391</v>
      </c>
      <c r="D19525" s="107" t="s">
        <v>13123</v>
      </c>
      <c r="E19525" s="57">
        <v>5000</v>
      </c>
      <c r="F19525" s="57"/>
      <c r="G19525" s="125">
        <f t="shared" si="311"/>
        <v>-5000</v>
      </c>
      <c r="H19525" s="704" t="s">
        <v>12939</v>
      </c>
    </row>
    <row r="19526" spans="1:8" ht="15" x14ac:dyDescent="0.2">
      <c r="A19526" s="733">
        <v>45435</v>
      </c>
      <c r="B19526" s="40" t="s">
        <v>12684</v>
      </c>
      <c r="C19526" s="62" t="s">
        <v>5740</v>
      </c>
      <c r="D19526" s="107" t="s">
        <v>1156</v>
      </c>
      <c r="E19526" s="57">
        <v>300</v>
      </c>
      <c r="F19526" s="57"/>
      <c r="G19526" s="125">
        <f t="shared" si="311"/>
        <v>-300</v>
      </c>
      <c r="H19526" s="704" t="s">
        <v>12939</v>
      </c>
    </row>
    <row r="19527" spans="1:8" ht="15" x14ac:dyDescent="0.2">
      <c r="A19527" s="733">
        <v>45435</v>
      </c>
      <c r="B19527" s="40" t="s">
        <v>11295</v>
      </c>
      <c r="C19527" s="62" t="s">
        <v>5740</v>
      </c>
      <c r="D19527" s="107" t="s">
        <v>369</v>
      </c>
      <c r="E19527" s="57">
        <v>2000</v>
      </c>
      <c r="F19527" s="57"/>
      <c r="G19527" s="125">
        <f t="shared" si="311"/>
        <v>-2000</v>
      </c>
      <c r="H19527" s="704" t="s">
        <v>12939</v>
      </c>
    </row>
    <row r="19528" spans="1:8" ht="15" x14ac:dyDescent="0.2">
      <c r="A19528" s="733">
        <v>45435</v>
      </c>
      <c r="B19528" s="40" t="s">
        <v>11077</v>
      </c>
      <c r="C19528" s="62" t="s">
        <v>5740</v>
      </c>
      <c r="D19528" s="107" t="s">
        <v>13124</v>
      </c>
      <c r="E19528" s="57">
        <v>1200</v>
      </c>
      <c r="F19528" s="57"/>
      <c r="G19528" s="125">
        <f t="shared" si="311"/>
        <v>-1200</v>
      </c>
      <c r="H19528" s="704" t="s">
        <v>12939</v>
      </c>
    </row>
    <row r="19529" spans="1:8" ht="15" x14ac:dyDescent="0.2">
      <c r="A19529" s="733">
        <v>45435</v>
      </c>
      <c r="B19529" s="40" t="s">
        <v>12400</v>
      </c>
      <c r="C19529" s="62" t="s">
        <v>5740</v>
      </c>
      <c r="D19529" s="107" t="s">
        <v>369</v>
      </c>
      <c r="E19529" s="57">
        <v>600</v>
      </c>
      <c r="F19529" s="57"/>
      <c r="G19529" s="125">
        <f t="shared" si="311"/>
        <v>-600</v>
      </c>
      <c r="H19529" s="704" t="s">
        <v>12939</v>
      </c>
    </row>
    <row r="19530" spans="1:8" ht="15" x14ac:dyDescent="0.2">
      <c r="A19530" s="733">
        <v>45435</v>
      </c>
      <c r="B19530" s="40" t="s">
        <v>103</v>
      </c>
      <c r="C19530" s="62" t="s">
        <v>103</v>
      </c>
      <c r="D19530" s="107" t="s">
        <v>10208</v>
      </c>
      <c r="E19530" s="57">
        <v>3000</v>
      </c>
      <c r="F19530" s="57"/>
      <c r="G19530" s="125">
        <f t="shared" si="311"/>
        <v>-3000</v>
      </c>
      <c r="H19530" s="704" t="s">
        <v>12939</v>
      </c>
    </row>
    <row r="19531" spans="1:8" ht="15" x14ac:dyDescent="0.2">
      <c r="A19531" s="733">
        <v>45435</v>
      </c>
      <c r="B19531" s="40" t="s">
        <v>12505</v>
      </c>
      <c r="C19531" s="62" t="s">
        <v>12777</v>
      </c>
      <c r="D19531" s="107" t="s">
        <v>13020</v>
      </c>
      <c r="E19531" s="57">
        <v>20000</v>
      </c>
      <c r="F19531" s="57"/>
      <c r="G19531" s="125">
        <f t="shared" si="311"/>
        <v>-20000</v>
      </c>
      <c r="H19531" s="704" t="s">
        <v>12939</v>
      </c>
    </row>
    <row r="19532" spans="1:8" ht="15" x14ac:dyDescent="0.2">
      <c r="A19532" s="733">
        <v>45435</v>
      </c>
      <c r="B19532" s="40" t="s">
        <v>6503</v>
      </c>
      <c r="C19532" s="62" t="s">
        <v>10981</v>
      </c>
      <c r="D19532" s="107" t="s">
        <v>4449</v>
      </c>
      <c r="E19532" s="57">
        <v>60250</v>
      </c>
      <c r="F19532" s="57"/>
      <c r="G19532" s="125">
        <f t="shared" si="311"/>
        <v>-60250</v>
      </c>
      <c r="H19532" s="704" t="s">
        <v>12939</v>
      </c>
    </row>
    <row r="19533" spans="1:8" ht="15" x14ac:dyDescent="0.2">
      <c r="A19533" s="733">
        <v>45435</v>
      </c>
      <c r="B19533" s="40" t="s">
        <v>12346</v>
      </c>
      <c r="C19533" s="62" t="s">
        <v>10981</v>
      </c>
      <c r="D19533" s="107" t="s">
        <v>4449</v>
      </c>
      <c r="E19533" s="57">
        <v>44030</v>
      </c>
      <c r="F19533" s="57"/>
      <c r="G19533" s="125">
        <f t="shared" si="311"/>
        <v>-44030</v>
      </c>
      <c r="H19533" s="704" t="s">
        <v>12939</v>
      </c>
    </row>
    <row r="19534" spans="1:8" ht="15" x14ac:dyDescent="0.2">
      <c r="A19534" s="733">
        <v>45435</v>
      </c>
      <c r="B19534" s="40" t="s">
        <v>10573</v>
      </c>
      <c r="C19534" s="62" t="s">
        <v>430</v>
      </c>
      <c r="D19534" s="107" t="s">
        <v>10718</v>
      </c>
      <c r="E19534" s="57">
        <v>200000</v>
      </c>
      <c r="F19534" s="57"/>
      <c r="G19534" s="125">
        <f t="shared" si="311"/>
        <v>-200000</v>
      </c>
      <c r="H19534" s="704" t="s">
        <v>12939</v>
      </c>
    </row>
    <row r="19535" spans="1:8" ht="15" x14ac:dyDescent="0.2">
      <c r="A19535" s="733">
        <v>45435</v>
      </c>
      <c r="B19535" s="40" t="s">
        <v>12684</v>
      </c>
      <c r="C19535" s="62" t="s">
        <v>10981</v>
      </c>
      <c r="D19535" s="107" t="s">
        <v>13127</v>
      </c>
      <c r="E19535" s="57">
        <v>96000</v>
      </c>
      <c r="F19535" s="57"/>
      <c r="G19535" s="125">
        <f t="shared" si="311"/>
        <v>-96000</v>
      </c>
      <c r="H19535" s="704" t="s">
        <v>12939</v>
      </c>
    </row>
    <row r="19536" spans="1:8" ht="15" x14ac:dyDescent="0.2">
      <c r="A19536" s="733">
        <v>45435</v>
      </c>
      <c r="B19536" s="40" t="s">
        <v>12607</v>
      </c>
      <c r="C19536" s="62" t="s">
        <v>11704</v>
      </c>
      <c r="D19536" s="107" t="s">
        <v>13150</v>
      </c>
      <c r="E19536" s="57">
        <v>23000</v>
      </c>
      <c r="F19536" s="57"/>
      <c r="G19536" s="125">
        <f t="shared" si="311"/>
        <v>-23000</v>
      </c>
      <c r="H19536" s="704" t="s">
        <v>12939</v>
      </c>
    </row>
    <row r="19537" spans="1:8" ht="15" x14ac:dyDescent="0.2">
      <c r="A19537" s="733">
        <v>45436</v>
      </c>
      <c r="B19537" s="40" t="s">
        <v>12607</v>
      </c>
      <c r="C19537" s="62" t="s">
        <v>10981</v>
      </c>
      <c r="D19537" s="107" t="s">
        <v>7474</v>
      </c>
      <c r="E19537" s="57">
        <v>54700</v>
      </c>
      <c r="F19537" s="57"/>
      <c r="G19537" s="125">
        <f t="shared" si="311"/>
        <v>-54700</v>
      </c>
      <c r="H19537" s="704" t="s">
        <v>12939</v>
      </c>
    </row>
    <row r="19538" spans="1:8" ht="15" x14ac:dyDescent="0.2">
      <c r="A19538" s="733">
        <v>45436</v>
      </c>
      <c r="B19538" s="40" t="s">
        <v>12607</v>
      </c>
      <c r="C19538" s="62" t="s">
        <v>10981</v>
      </c>
      <c r="D19538" s="107" t="s">
        <v>7474</v>
      </c>
      <c r="E19538" s="57">
        <v>149717</v>
      </c>
      <c r="F19538" s="57"/>
      <c r="G19538" s="125">
        <f t="shared" si="311"/>
        <v>-149717</v>
      </c>
      <c r="H19538" s="704" t="s">
        <v>12939</v>
      </c>
    </row>
    <row r="19539" spans="1:8" ht="15" x14ac:dyDescent="0.2">
      <c r="A19539" s="733">
        <v>45436</v>
      </c>
      <c r="B19539" s="40" t="s">
        <v>12607</v>
      </c>
      <c r="C19539" s="62" t="s">
        <v>10981</v>
      </c>
      <c r="D19539" s="107" t="s">
        <v>7474</v>
      </c>
      <c r="E19539" s="57">
        <v>49879</v>
      </c>
      <c r="F19539" s="57"/>
      <c r="G19539" s="125">
        <f t="shared" si="311"/>
        <v>-49879</v>
      </c>
      <c r="H19539" s="704" t="s">
        <v>12939</v>
      </c>
    </row>
    <row r="19540" spans="1:8" ht="15" x14ac:dyDescent="0.2">
      <c r="A19540" s="733">
        <v>45436</v>
      </c>
      <c r="B19540" s="40" t="s">
        <v>12607</v>
      </c>
      <c r="C19540" s="62" t="s">
        <v>10981</v>
      </c>
      <c r="D19540" s="107" t="s">
        <v>13128</v>
      </c>
      <c r="E19540" s="57">
        <v>71000</v>
      </c>
      <c r="F19540" s="57"/>
      <c r="G19540" s="125">
        <f t="shared" si="311"/>
        <v>-71000</v>
      </c>
      <c r="H19540" s="704" t="s">
        <v>12939</v>
      </c>
    </row>
    <row r="19541" spans="1:8" ht="15" x14ac:dyDescent="0.2">
      <c r="A19541" s="733">
        <v>45436</v>
      </c>
      <c r="B19541" s="40" t="s">
        <v>12607</v>
      </c>
      <c r="C19541" s="62" t="s">
        <v>10981</v>
      </c>
      <c r="D19541" s="107" t="s">
        <v>7474</v>
      </c>
      <c r="E19541" s="57">
        <v>83250</v>
      </c>
      <c r="F19541" s="57"/>
      <c r="G19541" s="125">
        <f t="shared" si="311"/>
        <v>-83250</v>
      </c>
      <c r="H19541" s="704" t="s">
        <v>12939</v>
      </c>
    </row>
    <row r="19542" spans="1:8" ht="15" x14ac:dyDescent="0.2">
      <c r="A19542" s="733">
        <v>45436</v>
      </c>
      <c r="B19542" s="40" t="s">
        <v>11874</v>
      </c>
      <c r="C19542" s="62" t="s">
        <v>391</v>
      </c>
      <c r="D19542" s="107" t="s">
        <v>10303</v>
      </c>
      <c r="E19542" s="57">
        <v>1300</v>
      </c>
      <c r="F19542" s="57"/>
      <c r="G19542" s="125">
        <f t="shared" si="311"/>
        <v>-1300</v>
      </c>
      <c r="H19542" s="704" t="s">
        <v>12939</v>
      </c>
    </row>
    <row r="19543" spans="1:8" ht="15" x14ac:dyDescent="0.2">
      <c r="A19543" s="733">
        <v>45436</v>
      </c>
      <c r="B19543" s="40" t="s">
        <v>13115</v>
      </c>
      <c r="C19543" s="62" t="s">
        <v>5409</v>
      </c>
      <c r="D19543" s="107" t="s">
        <v>13198</v>
      </c>
      <c r="E19543" s="57">
        <v>5000</v>
      </c>
      <c r="F19543" s="57"/>
      <c r="G19543" s="125">
        <f t="shared" si="311"/>
        <v>-5000</v>
      </c>
      <c r="H19543" s="704" t="s">
        <v>12939</v>
      </c>
    </row>
    <row r="19544" spans="1:8" ht="15" x14ac:dyDescent="0.2">
      <c r="A19544" s="733">
        <v>45436</v>
      </c>
      <c r="B19544" s="40" t="s">
        <v>8556</v>
      </c>
      <c r="C19544" s="62" t="s">
        <v>3103</v>
      </c>
      <c r="D19544" s="107" t="s">
        <v>1156</v>
      </c>
      <c r="E19544" s="57">
        <v>3000</v>
      </c>
      <c r="F19544" s="57"/>
      <c r="G19544" s="125">
        <f t="shared" si="311"/>
        <v>-3000</v>
      </c>
      <c r="H19544" s="704" t="s">
        <v>12939</v>
      </c>
    </row>
    <row r="19545" spans="1:8" ht="15" x14ac:dyDescent="0.2">
      <c r="A19545" s="733">
        <v>45436</v>
      </c>
      <c r="B19545" s="40" t="s">
        <v>13115</v>
      </c>
      <c r="C19545" s="62" t="s">
        <v>10981</v>
      </c>
      <c r="D19545" s="107" t="s">
        <v>13137</v>
      </c>
      <c r="E19545" s="57">
        <v>5000</v>
      </c>
      <c r="F19545" s="57"/>
      <c r="G19545" s="125">
        <f t="shared" si="311"/>
        <v>-5000</v>
      </c>
      <c r="H19545" s="704" t="s">
        <v>12939</v>
      </c>
    </row>
    <row r="19546" spans="1:8" ht="15" x14ac:dyDescent="0.2">
      <c r="A19546" s="733">
        <v>45436</v>
      </c>
      <c r="B19546" s="40" t="s">
        <v>12400</v>
      </c>
      <c r="C19546" s="62" t="s">
        <v>5740</v>
      </c>
      <c r="D19546" s="107" t="s">
        <v>369</v>
      </c>
      <c r="E19546" s="57">
        <v>600</v>
      </c>
      <c r="F19546" s="57"/>
      <c r="G19546" s="125">
        <f t="shared" si="311"/>
        <v>-600</v>
      </c>
      <c r="H19546" s="704" t="s">
        <v>12939</v>
      </c>
    </row>
    <row r="19547" spans="1:8" ht="15" x14ac:dyDescent="0.2">
      <c r="A19547" s="733">
        <v>45436</v>
      </c>
      <c r="B19547" s="40" t="s">
        <v>12400</v>
      </c>
      <c r="C19547" s="62" t="s">
        <v>285</v>
      </c>
      <c r="D19547" s="107" t="s">
        <v>9892</v>
      </c>
      <c r="E19547" s="57">
        <v>300</v>
      </c>
      <c r="F19547" s="57"/>
      <c r="G19547" s="125">
        <f t="shared" si="311"/>
        <v>-300</v>
      </c>
      <c r="H19547" s="704" t="s">
        <v>12939</v>
      </c>
    </row>
    <row r="19548" spans="1:8" ht="15" x14ac:dyDescent="0.2">
      <c r="A19548" s="733">
        <v>45436</v>
      </c>
      <c r="B19548" s="40" t="s">
        <v>12346</v>
      </c>
      <c r="C19548" s="62" t="s">
        <v>13095</v>
      </c>
      <c r="D19548" s="107" t="s">
        <v>13138</v>
      </c>
      <c r="E19548" s="57">
        <v>7000</v>
      </c>
      <c r="F19548" s="57"/>
      <c r="G19548" s="125">
        <f t="shared" si="311"/>
        <v>-7000</v>
      </c>
      <c r="H19548" s="704" t="s">
        <v>12939</v>
      </c>
    </row>
    <row r="19549" spans="1:8" ht="15" x14ac:dyDescent="0.2">
      <c r="A19549" s="733">
        <v>45437</v>
      </c>
      <c r="B19549" s="40" t="s">
        <v>103</v>
      </c>
      <c r="C19549" s="62" t="s">
        <v>13155</v>
      </c>
      <c r="D19549" s="107" t="s">
        <v>13151</v>
      </c>
      <c r="E19549" s="57">
        <v>57000</v>
      </c>
      <c r="F19549" s="57"/>
      <c r="G19549" s="125">
        <f t="shared" si="311"/>
        <v>-57000</v>
      </c>
      <c r="H19549" s="704" t="s">
        <v>12939</v>
      </c>
    </row>
    <row r="19550" spans="1:8" ht="15" x14ac:dyDescent="0.2">
      <c r="A19550" s="733">
        <v>45437</v>
      </c>
      <c r="B19550" s="40" t="s">
        <v>103</v>
      </c>
      <c r="C19550" s="62" t="s">
        <v>103</v>
      </c>
      <c r="D19550" s="107" t="s">
        <v>10208</v>
      </c>
      <c r="E19550" s="57">
        <v>4000</v>
      </c>
      <c r="F19550" s="57"/>
      <c r="G19550" s="125">
        <f t="shared" si="311"/>
        <v>-4000</v>
      </c>
      <c r="H19550" s="704" t="s">
        <v>12939</v>
      </c>
    </row>
    <row r="19551" spans="1:8" ht="15" x14ac:dyDescent="0.2">
      <c r="A19551" s="733">
        <v>45437</v>
      </c>
      <c r="B19551" s="40" t="s">
        <v>12684</v>
      </c>
      <c r="C19551" s="62" t="s">
        <v>5740</v>
      </c>
      <c r="D19551" s="107" t="s">
        <v>369</v>
      </c>
      <c r="E19551" s="57">
        <v>1500</v>
      </c>
      <c r="F19551" s="57"/>
      <c r="G19551" s="125">
        <f t="shared" si="311"/>
        <v>-1500</v>
      </c>
      <c r="H19551" s="704" t="s">
        <v>12939</v>
      </c>
    </row>
    <row r="19552" spans="1:8" ht="15" x14ac:dyDescent="0.2">
      <c r="A19552" s="733">
        <v>45437</v>
      </c>
      <c r="B19552" s="40" t="s">
        <v>103</v>
      </c>
      <c r="C19552" s="62" t="s">
        <v>103</v>
      </c>
      <c r="D19552" s="107" t="s">
        <v>10208</v>
      </c>
      <c r="E19552" s="57">
        <v>4000</v>
      </c>
      <c r="F19552" s="57"/>
      <c r="G19552" s="125">
        <f t="shared" si="311"/>
        <v>-4000</v>
      </c>
      <c r="H19552" s="704" t="s">
        <v>12939</v>
      </c>
    </row>
    <row r="19553" spans="1:8" ht="15" x14ac:dyDescent="0.2">
      <c r="A19553" s="733">
        <v>45439</v>
      </c>
      <c r="B19553" s="40" t="s">
        <v>12340</v>
      </c>
      <c r="C19553" s="62" t="s">
        <v>5740</v>
      </c>
      <c r="D19553" s="107" t="s">
        <v>369</v>
      </c>
      <c r="E19553" s="57">
        <v>1000</v>
      </c>
      <c r="F19553" s="57"/>
      <c r="G19553" s="125">
        <f t="shared" si="311"/>
        <v>-1000</v>
      </c>
      <c r="H19553" s="704" t="s">
        <v>12939</v>
      </c>
    </row>
    <row r="19554" spans="1:8" ht="15" x14ac:dyDescent="0.2">
      <c r="A19554" s="733">
        <v>45439</v>
      </c>
      <c r="B19554" s="40" t="s">
        <v>12789</v>
      </c>
      <c r="C19554" s="62" t="s">
        <v>5740</v>
      </c>
      <c r="D19554" s="107" t="s">
        <v>369</v>
      </c>
      <c r="E19554" s="57">
        <v>600</v>
      </c>
      <c r="F19554" s="57"/>
      <c r="G19554" s="125">
        <f t="shared" si="311"/>
        <v>-600</v>
      </c>
      <c r="H19554" s="704" t="s">
        <v>12939</v>
      </c>
    </row>
    <row r="19555" spans="1:8" ht="15" x14ac:dyDescent="0.2">
      <c r="A19555" s="733">
        <v>45439</v>
      </c>
      <c r="B19555" s="40" t="s">
        <v>12684</v>
      </c>
      <c r="C19555" s="62" t="s">
        <v>10981</v>
      </c>
      <c r="D19555" s="107" t="s">
        <v>13139</v>
      </c>
      <c r="E19555" s="57">
        <v>6700</v>
      </c>
      <c r="F19555" s="57"/>
      <c r="G19555" s="125">
        <f t="shared" si="311"/>
        <v>-6700</v>
      </c>
      <c r="H19555" s="704" t="s">
        <v>12939</v>
      </c>
    </row>
    <row r="19556" spans="1:8" ht="15" x14ac:dyDescent="0.2">
      <c r="A19556" s="733">
        <v>45439</v>
      </c>
      <c r="B19556" s="40" t="s">
        <v>12684</v>
      </c>
      <c r="C19556" s="62" t="s">
        <v>285</v>
      </c>
      <c r="D19556" s="107" t="s">
        <v>8660</v>
      </c>
      <c r="E19556" s="57">
        <v>1000</v>
      </c>
      <c r="F19556" s="57"/>
      <c r="G19556" s="125">
        <f t="shared" si="311"/>
        <v>-1000</v>
      </c>
      <c r="H19556" s="704" t="s">
        <v>12939</v>
      </c>
    </row>
    <row r="19557" spans="1:8" ht="15" x14ac:dyDescent="0.2">
      <c r="A19557" s="733">
        <v>45439</v>
      </c>
      <c r="B19557" s="40" t="s">
        <v>25</v>
      </c>
      <c r="C19557" s="62" t="s">
        <v>8148</v>
      </c>
      <c r="D19557" s="107" t="s">
        <v>6336</v>
      </c>
      <c r="E19557" s="57">
        <v>57681</v>
      </c>
      <c r="F19557" s="57"/>
      <c r="G19557" s="125">
        <f t="shared" si="311"/>
        <v>-57681</v>
      </c>
      <c r="H19557" s="704" t="s">
        <v>12939</v>
      </c>
    </row>
    <row r="19558" spans="1:8" ht="15" x14ac:dyDescent="0.2">
      <c r="A19558" s="733">
        <v>45439</v>
      </c>
      <c r="B19558" s="40" t="s">
        <v>103</v>
      </c>
      <c r="C19558" s="62" t="s">
        <v>8148</v>
      </c>
      <c r="D19558" s="107" t="s">
        <v>6336</v>
      </c>
      <c r="E19558" s="57">
        <v>31010</v>
      </c>
      <c r="F19558" s="57"/>
      <c r="G19558" s="125">
        <f t="shared" si="311"/>
        <v>-31010</v>
      </c>
      <c r="H19558" s="704" t="s">
        <v>12939</v>
      </c>
    </row>
    <row r="19559" spans="1:8" ht="15" x14ac:dyDescent="0.2">
      <c r="A19559" s="733">
        <v>45439</v>
      </c>
      <c r="B19559" s="40" t="s">
        <v>12346</v>
      </c>
      <c r="C19559" s="62" t="s">
        <v>285</v>
      </c>
      <c r="D19559" s="107" t="s">
        <v>13140</v>
      </c>
      <c r="E19559" s="57">
        <v>5000</v>
      </c>
      <c r="F19559" s="57"/>
      <c r="G19559" s="125">
        <f t="shared" si="311"/>
        <v>-5000</v>
      </c>
      <c r="H19559" s="704" t="s">
        <v>12939</v>
      </c>
    </row>
    <row r="19560" spans="1:8" ht="15" x14ac:dyDescent="0.2">
      <c r="A19560" s="733">
        <v>45439</v>
      </c>
      <c r="B19560" s="40" t="s">
        <v>11077</v>
      </c>
      <c r="C19560" s="62" t="s">
        <v>10981</v>
      </c>
      <c r="D19560" s="107" t="s">
        <v>13159</v>
      </c>
      <c r="E19560" s="57">
        <v>50000</v>
      </c>
      <c r="F19560" s="57"/>
      <c r="G19560" s="125">
        <f t="shared" si="311"/>
        <v>-50000</v>
      </c>
      <c r="H19560" s="704" t="s">
        <v>12939</v>
      </c>
    </row>
    <row r="19561" spans="1:8" ht="15" x14ac:dyDescent="0.2">
      <c r="A19561" s="733">
        <v>45441</v>
      </c>
      <c r="B19561" s="40" t="s">
        <v>12597</v>
      </c>
      <c r="C19561" s="62" t="s">
        <v>11875</v>
      </c>
      <c r="D19561" s="107" t="s">
        <v>13152</v>
      </c>
      <c r="E19561" s="57">
        <v>50000</v>
      </c>
      <c r="F19561" s="57"/>
      <c r="G19561" s="125">
        <f t="shared" si="311"/>
        <v>-50000</v>
      </c>
      <c r="H19561" s="704" t="s">
        <v>12939</v>
      </c>
    </row>
    <row r="19562" spans="1:8" ht="15" x14ac:dyDescent="0.2">
      <c r="A19562" s="733">
        <v>45441</v>
      </c>
      <c r="B19562" s="40" t="s">
        <v>13005</v>
      </c>
      <c r="C19562" s="62" t="s">
        <v>10981</v>
      </c>
      <c r="D19562" s="107" t="s">
        <v>13141</v>
      </c>
      <c r="E19562" s="57">
        <v>4870</v>
      </c>
      <c r="F19562" s="57"/>
      <c r="G19562" s="125">
        <f t="shared" si="311"/>
        <v>-4870</v>
      </c>
      <c r="H19562" s="704" t="s">
        <v>12939</v>
      </c>
    </row>
    <row r="19563" spans="1:8" ht="15" x14ac:dyDescent="0.2">
      <c r="A19563" s="733">
        <v>45441</v>
      </c>
      <c r="B19563" s="40" t="s">
        <v>12597</v>
      </c>
      <c r="C19563" s="62" t="s">
        <v>5740</v>
      </c>
      <c r="D19563" s="107" t="s">
        <v>369</v>
      </c>
      <c r="E19563" s="57">
        <v>200</v>
      </c>
      <c r="F19563" s="57"/>
      <c r="G19563" s="125">
        <f t="shared" si="311"/>
        <v>-200</v>
      </c>
      <c r="H19563" s="704" t="s">
        <v>12939</v>
      </c>
    </row>
    <row r="19564" spans="1:8" ht="15" x14ac:dyDescent="0.2">
      <c r="A19564" s="733">
        <v>45441</v>
      </c>
      <c r="B19564" s="40" t="s">
        <v>103</v>
      </c>
      <c r="C19564" s="62" t="s">
        <v>103</v>
      </c>
      <c r="D19564" s="107" t="s">
        <v>10208</v>
      </c>
      <c r="E19564" s="57">
        <v>3000</v>
      </c>
      <c r="F19564" s="57"/>
      <c r="G19564" s="125">
        <f t="shared" si="311"/>
        <v>-3000</v>
      </c>
      <c r="H19564" s="704" t="s">
        <v>12939</v>
      </c>
    </row>
    <row r="19565" spans="1:8" ht="15" x14ac:dyDescent="0.2">
      <c r="A19565" s="733">
        <v>45441</v>
      </c>
      <c r="B19565" s="40" t="s">
        <v>12798</v>
      </c>
      <c r="C19565" s="62" t="s">
        <v>1508</v>
      </c>
      <c r="D19565" s="107" t="s">
        <v>1156</v>
      </c>
      <c r="E19565" s="57">
        <v>10000</v>
      </c>
      <c r="F19565" s="57"/>
      <c r="G19565" s="125">
        <f t="shared" si="311"/>
        <v>-10000</v>
      </c>
      <c r="H19565" s="704" t="s">
        <v>12939</v>
      </c>
    </row>
    <row r="19566" spans="1:8" ht="15" x14ac:dyDescent="0.2">
      <c r="A19566" s="733">
        <v>45441</v>
      </c>
      <c r="B19566" s="40" t="s">
        <v>103</v>
      </c>
      <c r="C19566" s="62" t="s">
        <v>2995</v>
      </c>
      <c r="D19566" s="107" t="s">
        <v>1156</v>
      </c>
      <c r="E19566" s="57">
        <v>5330</v>
      </c>
      <c r="F19566" s="57"/>
      <c r="G19566" s="125">
        <f t="shared" si="311"/>
        <v>-5330</v>
      </c>
      <c r="H19566" s="704" t="s">
        <v>12939</v>
      </c>
    </row>
    <row r="19567" spans="1:8" ht="15" x14ac:dyDescent="0.2">
      <c r="A19567" s="733">
        <v>45441</v>
      </c>
      <c r="B19567" s="40" t="s">
        <v>12340</v>
      </c>
      <c r="C19567" s="62" t="s">
        <v>8391</v>
      </c>
      <c r="D19567" s="107" t="s">
        <v>13145</v>
      </c>
      <c r="E19567" s="57">
        <v>500000</v>
      </c>
      <c r="F19567" s="57"/>
      <c r="G19567" s="125">
        <f t="shared" si="311"/>
        <v>-500000</v>
      </c>
      <c r="H19567" s="704" t="s">
        <v>12939</v>
      </c>
    </row>
    <row r="19568" spans="1:8" ht="15" x14ac:dyDescent="0.2">
      <c r="A19568" s="733">
        <v>45441</v>
      </c>
      <c r="B19568" s="40" t="s">
        <v>10468</v>
      </c>
      <c r="C19568" s="62" t="s">
        <v>13146</v>
      </c>
      <c r="D19568" s="107" t="s">
        <v>13147</v>
      </c>
      <c r="E19568" s="57">
        <v>370000</v>
      </c>
      <c r="F19568" s="57"/>
      <c r="G19568" s="125">
        <f t="shared" si="311"/>
        <v>-370000</v>
      </c>
      <c r="H19568" s="704" t="s">
        <v>12939</v>
      </c>
    </row>
    <row r="19569" spans="1:8" ht="24" x14ac:dyDescent="0.2">
      <c r="A19569" s="733">
        <v>45441</v>
      </c>
      <c r="B19569" s="40" t="s">
        <v>11596</v>
      </c>
      <c r="C19569" s="62" t="s">
        <v>10897</v>
      </c>
      <c r="D19569" s="128" t="s">
        <v>13134</v>
      </c>
      <c r="E19569" s="125">
        <v>2000000</v>
      </c>
      <c r="F19569" s="125"/>
      <c r="G19569" s="125">
        <f t="shared" si="311"/>
        <v>-2000000</v>
      </c>
      <c r="H19569" s="704" t="s">
        <v>12939</v>
      </c>
    </row>
    <row r="19570" spans="1:8" ht="24" x14ac:dyDescent="0.2">
      <c r="A19570" s="733">
        <v>45441</v>
      </c>
      <c r="B19570" s="62" t="s">
        <v>11077</v>
      </c>
      <c r="C19570" s="62" t="s">
        <v>11731</v>
      </c>
      <c r="D19570" s="182" t="s">
        <v>13136</v>
      </c>
      <c r="E19570" s="125">
        <v>600000</v>
      </c>
      <c r="F19570" s="125"/>
      <c r="G19570" s="125">
        <f t="shared" si="311"/>
        <v>-600000</v>
      </c>
      <c r="H19570" s="704" t="s">
        <v>12939</v>
      </c>
    </row>
    <row r="19571" spans="1:8" ht="24" x14ac:dyDescent="0.2">
      <c r="A19571" s="733">
        <v>45441</v>
      </c>
      <c r="B19571" s="62" t="s">
        <v>11874</v>
      </c>
      <c r="C19571" s="62" t="s">
        <v>11731</v>
      </c>
      <c r="D19571" s="182" t="s">
        <v>13136</v>
      </c>
      <c r="E19571" s="125">
        <v>400000</v>
      </c>
      <c r="F19571" s="125"/>
      <c r="G19571" s="125">
        <f t="shared" si="311"/>
        <v>-400000</v>
      </c>
      <c r="H19571" s="704" t="s">
        <v>12939</v>
      </c>
    </row>
    <row r="19572" spans="1:8" ht="15" x14ac:dyDescent="0.2">
      <c r="A19572" s="733">
        <v>45442</v>
      </c>
      <c r="B19572" s="40" t="s">
        <v>12597</v>
      </c>
      <c r="C19572" s="62" t="s">
        <v>5740</v>
      </c>
      <c r="D19572" s="107" t="s">
        <v>369</v>
      </c>
      <c r="E19572" s="57">
        <v>400</v>
      </c>
      <c r="F19572" s="57"/>
      <c r="G19572" s="125">
        <f t="shared" si="311"/>
        <v>-400</v>
      </c>
      <c r="H19572" s="704" t="s">
        <v>12939</v>
      </c>
    </row>
    <row r="19573" spans="1:8" ht="15" x14ac:dyDescent="0.2">
      <c r="A19573" s="733">
        <v>45442</v>
      </c>
      <c r="B19573" s="40" t="s">
        <v>8556</v>
      </c>
      <c r="C19573" s="62" t="s">
        <v>11952</v>
      </c>
      <c r="D19573" s="107" t="s">
        <v>13142</v>
      </c>
      <c r="E19573" s="57">
        <v>26000</v>
      </c>
      <c r="F19573" s="57"/>
      <c r="G19573" s="125">
        <f t="shared" si="311"/>
        <v>-26000</v>
      </c>
      <c r="H19573" s="704" t="s">
        <v>12939</v>
      </c>
    </row>
    <row r="19574" spans="1:8" ht="15" x14ac:dyDescent="0.2">
      <c r="A19574" s="733">
        <v>45442</v>
      </c>
      <c r="B19574" s="40" t="s">
        <v>11077</v>
      </c>
      <c r="C19574" s="62" t="s">
        <v>13105</v>
      </c>
      <c r="D19574" s="107" t="s">
        <v>13143</v>
      </c>
      <c r="E19574" s="57">
        <v>7000</v>
      </c>
      <c r="F19574" s="57"/>
      <c r="G19574" s="125">
        <f t="shared" si="311"/>
        <v>-7000</v>
      </c>
      <c r="H19574" s="704" t="s">
        <v>12939</v>
      </c>
    </row>
    <row r="19575" spans="1:8" ht="15" x14ac:dyDescent="0.2">
      <c r="A19575" s="733">
        <v>45442</v>
      </c>
      <c r="B19575" s="40" t="s">
        <v>12597</v>
      </c>
      <c r="C19575" s="62" t="s">
        <v>5740</v>
      </c>
      <c r="D19575" s="107" t="s">
        <v>1156</v>
      </c>
      <c r="E19575" s="57">
        <v>1100</v>
      </c>
      <c r="F19575" s="57"/>
      <c r="G19575" s="125">
        <f t="shared" si="311"/>
        <v>-1100</v>
      </c>
      <c r="H19575" s="704" t="s">
        <v>12939</v>
      </c>
    </row>
    <row r="19576" spans="1:8" ht="15" x14ac:dyDescent="0.2">
      <c r="A19576" s="733">
        <v>45442</v>
      </c>
      <c r="B19576" s="40" t="s">
        <v>12340</v>
      </c>
      <c r="C19576" s="62" t="s">
        <v>10981</v>
      </c>
      <c r="D19576" s="107" t="s">
        <v>13144</v>
      </c>
      <c r="E19576" s="57">
        <v>47620</v>
      </c>
      <c r="F19576" s="57"/>
      <c r="G19576" s="125">
        <f t="shared" si="311"/>
        <v>-47620</v>
      </c>
      <c r="H19576" s="704" t="s">
        <v>12939</v>
      </c>
    </row>
    <row r="19577" spans="1:8" ht="15" x14ac:dyDescent="0.2">
      <c r="A19577" s="733">
        <v>45442</v>
      </c>
      <c r="B19577" s="40" t="s">
        <v>10899</v>
      </c>
      <c r="C19577" s="62" t="s">
        <v>12274</v>
      </c>
      <c r="D19577" s="107" t="s">
        <v>13148</v>
      </c>
      <c r="E19577" s="57">
        <v>100000</v>
      </c>
      <c r="F19577" s="57"/>
      <c r="G19577" s="125">
        <f t="shared" si="311"/>
        <v>-100000</v>
      </c>
      <c r="H19577" s="704" t="s">
        <v>12939</v>
      </c>
    </row>
    <row r="19578" spans="1:8" ht="15" x14ac:dyDescent="0.2">
      <c r="A19578" s="733">
        <v>45442</v>
      </c>
      <c r="B19578" s="40" t="s">
        <v>11077</v>
      </c>
      <c r="C19578" s="62" t="s">
        <v>13105</v>
      </c>
      <c r="D19578" s="107" t="s">
        <v>13149</v>
      </c>
      <c r="E19578" s="57">
        <v>309000</v>
      </c>
      <c r="F19578" s="57"/>
      <c r="G19578" s="125">
        <f t="shared" si="311"/>
        <v>-309000</v>
      </c>
      <c r="H19578" s="704" t="s">
        <v>12939</v>
      </c>
    </row>
    <row r="19579" spans="1:8" ht="15" x14ac:dyDescent="0.2">
      <c r="A19579" s="733">
        <v>45442</v>
      </c>
      <c r="B19579" s="40" t="s">
        <v>11077</v>
      </c>
      <c r="C19579" s="62" t="s">
        <v>10981</v>
      </c>
      <c r="D19579" s="107" t="s">
        <v>13153</v>
      </c>
      <c r="E19579" s="57">
        <v>18960</v>
      </c>
      <c r="F19579" s="57"/>
      <c r="G19579" s="125">
        <f t="shared" si="311"/>
        <v>-18960</v>
      </c>
      <c r="H19579" s="704" t="s">
        <v>12939</v>
      </c>
    </row>
    <row r="19580" spans="1:8" ht="15" x14ac:dyDescent="0.2">
      <c r="A19580" s="733">
        <v>45442</v>
      </c>
      <c r="B19580" s="40" t="s">
        <v>11077</v>
      </c>
      <c r="C19580" s="62" t="s">
        <v>10981</v>
      </c>
      <c r="D19580" s="107" t="s">
        <v>13154</v>
      </c>
      <c r="E19580" s="57">
        <v>10000</v>
      </c>
      <c r="F19580" s="57"/>
      <c r="G19580" s="125">
        <f t="shared" si="311"/>
        <v>-10000</v>
      </c>
      <c r="H19580" s="704" t="s">
        <v>12939</v>
      </c>
    </row>
    <row r="19581" spans="1:8" ht="15" x14ac:dyDescent="0.2">
      <c r="A19581" s="733">
        <v>45442</v>
      </c>
      <c r="B19581" s="40" t="s">
        <v>11077</v>
      </c>
      <c r="C19581" s="62" t="s">
        <v>10981</v>
      </c>
      <c r="D19581" s="107" t="s">
        <v>13160</v>
      </c>
      <c r="E19581" s="57">
        <v>7500</v>
      </c>
      <c r="F19581" s="57"/>
      <c r="G19581" s="125">
        <f t="shared" si="311"/>
        <v>-7500</v>
      </c>
      <c r="H19581" s="704" t="s">
        <v>12939</v>
      </c>
    </row>
    <row r="19582" spans="1:8" ht="15" x14ac:dyDescent="0.2">
      <c r="A19582" s="733">
        <v>45442</v>
      </c>
      <c r="B19582" s="40" t="s">
        <v>103</v>
      </c>
      <c r="C19582" s="62" t="s">
        <v>103</v>
      </c>
      <c r="D19582" s="107" t="s">
        <v>10208</v>
      </c>
      <c r="E19582" s="57">
        <v>5000</v>
      </c>
      <c r="F19582" s="57"/>
      <c r="G19582" s="125">
        <f t="shared" si="311"/>
        <v>-5000</v>
      </c>
      <c r="H19582" s="704" t="s">
        <v>12939</v>
      </c>
    </row>
    <row r="19583" spans="1:8" ht="15" x14ac:dyDescent="0.2">
      <c r="A19583" s="733">
        <v>45443</v>
      </c>
      <c r="B19583" s="40" t="s">
        <v>11077</v>
      </c>
      <c r="C19583" s="62" t="s">
        <v>5740</v>
      </c>
      <c r="D19583" s="107" t="s">
        <v>369</v>
      </c>
      <c r="E19583" s="57">
        <v>1500</v>
      </c>
      <c r="F19583" s="57"/>
      <c r="G19583" s="125">
        <f t="shared" ref="G19583:G19646" si="312">F19583-E19583</f>
        <v>-1500</v>
      </c>
      <c r="H19583" s="704" t="s">
        <v>12939</v>
      </c>
    </row>
    <row r="19584" spans="1:8" ht="15" x14ac:dyDescent="0.2">
      <c r="A19584" s="733">
        <v>45443</v>
      </c>
      <c r="B19584" s="40" t="s">
        <v>10468</v>
      </c>
      <c r="C19584" s="62" t="s">
        <v>10981</v>
      </c>
      <c r="D19584" s="107" t="s">
        <v>13161</v>
      </c>
      <c r="E19584" s="57">
        <v>4600</v>
      </c>
      <c r="F19584" s="57"/>
      <c r="G19584" s="125">
        <f t="shared" si="312"/>
        <v>-4600</v>
      </c>
      <c r="H19584" s="704" t="s">
        <v>12939</v>
      </c>
    </row>
    <row r="19585" spans="1:8" ht="15" x14ac:dyDescent="0.2">
      <c r="A19585" s="733">
        <v>45443</v>
      </c>
      <c r="B19585" s="40" t="s">
        <v>12346</v>
      </c>
      <c r="C19585" s="62" t="s">
        <v>13162</v>
      </c>
      <c r="D19585" s="107" t="s">
        <v>13163</v>
      </c>
      <c r="E19585" s="57">
        <v>10000</v>
      </c>
      <c r="F19585" s="57"/>
      <c r="G19585" s="125">
        <f t="shared" si="312"/>
        <v>-10000</v>
      </c>
      <c r="H19585" s="704" t="s">
        <v>12939</v>
      </c>
    </row>
    <row r="19586" spans="1:8" ht="15" x14ac:dyDescent="0.2">
      <c r="A19586" s="733">
        <v>45443</v>
      </c>
      <c r="B19586" s="40" t="s">
        <v>103</v>
      </c>
      <c r="C19586" s="62" t="s">
        <v>103</v>
      </c>
      <c r="D19586" s="107" t="s">
        <v>10208</v>
      </c>
      <c r="E19586" s="57">
        <v>5000</v>
      </c>
      <c r="F19586" s="57"/>
      <c r="G19586" s="125">
        <f t="shared" si="312"/>
        <v>-5000</v>
      </c>
      <c r="H19586" s="704" t="s">
        <v>12939</v>
      </c>
    </row>
    <row r="19587" spans="1:8" ht="15" x14ac:dyDescent="0.2">
      <c r="A19587" s="733">
        <v>45443</v>
      </c>
      <c r="B19587" s="40" t="s">
        <v>12789</v>
      </c>
      <c r="C19587" s="62" t="s">
        <v>5740</v>
      </c>
      <c r="D19587" s="107" t="s">
        <v>369</v>
      </c>
      <c r="E19587" s="57">
        <v>1200</v>
      </c>
      <c r="F19587" s="57"/>
      <c r="G19587" s="125">
        <f t="shared" si="312"/>
        <v>-1200</v>
      </c>
      <c r="H19587" s="704" t="s">
        <v>12939</v>
      </c>
    </row>
    <row r="19588" spans="1:8" ht="15" x14ac:dyDescent="0.2">
      <c r="A19588" s="733">
        <v>45443</v>
      </c>
      <c r="B19588" s="40" t="s">
        <v>103</v>
      </c>
      <c r="C19588" s="62" t="s">
        <v>391</v>
      </c>
      <c r="D19588" s="107" t="s">
        <v>13164</v>
      </c>
      <c r="E19588" s="57">
        <v>380</v>
      </c>
      <c r="F19588" s="57"/>
      <c r="G19588" s="125">
        <f t="shared" si="312"/>
        <v>-380</v>
      </c>
      <c r="H19588" s="704" t="s">
        <v>12939</v>
      </c>
    </row>
    <row r="19589" spans="1:8" ht="15" x14ac:dyDescent="0.2">
      <c r="A19589" s="733">
        <v>45443</v>
      </c>
      <c r="B19589" s="40" t="s">
        <v>11077</v>
      </c>
      <c r="C19589" s="62" t="s">
        <v>10981</v>
      </c>
      <c r="D19589" s="107" t="s">
        <v>13165</v>
      </c>
      <c r="E19589" s="57">
        <v>150000</v>
      </c>
      <c r="F19589" s="57"/>
      <c r="G19589" s="125">
        <f t="shared" si="312"/>
        <v>-150000</v>
      </c>
      <c r="H19589" s="704" t="s">
        <v>12939</v>
      </c>
    </row>
    <row r="19590" spans="1:8" ht="15" x14ac:dyDescent="0.2">
      <c r="A19590" s="733">
        <v>45443</v>
      </c>
      <c r="B19590" s="40" t="s">
        <v>25</v>
      </c>
      <c r="C19590" s="62" t="s">
        <v>8148</v>
      </c>
      <c r="D19590" s="107" t="s">
        <v>6309</v>
      </c>
      <c r="E19590" s="57">
        <v>1110</v>
      </c>
      <c r="F19590" s="57"/>
      <c r="G19590" s="125">
        <f t="shared" si="312"/>
        <v>-1110</v>
      </c>
      <c r="H19590" s="704" t="s">
        <v>12939</v>
      </c>
    </row>
    <row r="19591" spans="1:8" ht="15" x14ac:dyDescent="0.2">
      <c r="A19591" s="733">
        <v>45443</v>
      </c>
      <c r="B19591" s="40" t="s">
        <v>103</v>
      </c>
      <c r="C19591" s="62" t="s">
        <v>8148</v>
      </c>
      <c r="D19591" s="107" t="s">
        <v>6309</v>
      </c>
      <c r="E19591" s="57">
        <v>1380</v>
      </c>
      <c r="F19591" s="57"/>
      <c r="G19591" s="125">
        <f t="shared" si="312"/>
        <v>-1380</v>
      </c>
      <c r="H19591" s="704" t="s">
        <v>12939</v>
      </c>
    </row>
    <row r="19592" spans="1:8" ht="15" x14ac:dyDescent="0.2">
      <c r="A19592" s="733">
        <v>45443</v>
      </c>
      <c r="B19592" s="40" t="s">
        <v>12681</v>
      </c>
      <c r="C19592" s="62" t="s">
        <v>13177</v>
      </c>
      <c r="D19592" s="107" t="s">
        <v>13178</v>
      </c>
      <c r="E19592" s="57">
        <v>25000</v>
      </c>
      <c r="F19592" s="57"/>
      <c r="G19592" s="125">
        <f t="shared" si="312"/>
        <v>-25000</v>
      </c>
      <c r="H19592" s="704" t="s">
        <v>12939</v>
      </c>
    </row>
    <row r="19593" spans="1:8" ht="15" customHeight="1" x14ac:dyDescent="0.2">
      <c r="A19593" s="733">
        <v>45443</v>
      </c>
      <c r="B19593" s="40" t="s">
        <v>13115</v>
      </c>
      <c r="C19593" s="62" t="s">
        <v>391</v>
      </c>
      <c r="D19593" s="107" t="s">
        <v>13179</v>
      </c>
      <c r="E19593" s="57">
        <v>10000</v>
      </c>
      <c r="F19593" s="57"/>
      <c r="G19593" s="125">
        <f t="shared" si="312"/>
        <v>-10000</v>
      </c>
      <c r="H19593" s="704" t="s">
        <v>12939</v>
      </c>
    </row>
    <row r="19594" spans="1:8" ht="15" customHeight="1" x14ac:dyDescent="0.2">
      <c r="A19594" s="733">
        <v>45443</v>
      </c>
      <c r="B19594" s="40" t="s">
        <v>12400</v>
      </c>
      <c r="C19594" s="62" t="s">
        <v>391</v>
      </c>
      <c r="D19594" s="107" t="s">
        <v>4308</v>
      </c>
      <c r="E19594" s="57">
        <v>4870</v>
      </c>
      <c r="F19594" s="57"/>
      <c r="G19594" s="125">
        <f t="shared" si="312"/>
        <v>-4870</v>
      </c>
      <c r="H19594" s="704" t="s">
        <v>12939</v>
      </c>
    </row>
    <row r="19595" spans="1:8" ht="15" customHeight="1" x14ac:dyDescent="0.2">
      <c r="A19595" s="732">
        <v>45418</v>
      </c>
      <c r="B19595" s="173" t="s">
        <v>10229</v>
      </c>
      <c r="C19595" s="173" t="s">
        <v>11727</v>
      </c>
      <c r="D19595" s="227" t="s">
        <v>12950</v>
      </c>
      <c r="E19595" s="235">
        <v>120000</v>
      </c>
      <c r="F19595" s="235"/>
      <c r="G19595" s="235">
        <f t="shared" si="312"/>
        <v>-120000</v>
      </c>
      <c r="H19595" s="708" t="s">
        <v>12939</v>
      </c>
    </row>
    <row r="19596" spans="1:8" ht="15" customHeight="1" x14ac:dyDescent="0.2">
      <c r="A19596" s="732">
        <v>45418</v>
      </c>
      <c r="B19596" s="173" t="s">
        <v>9504</v>
      </c>
      <c r="C19596" s="173" t="s">
        <v>11727</v>
      </c>
      <c r="D19596" s="227" t="s">
        <v>12951</v>
      </c>
      <c r="E19596" s="235">
        <v>69932</v>
      </c>
      <c r="F19596" s="235"/>
      <c r="G19596" s="235">
        <f t="shared" si="312"/>
        <v>-69932</v>
      </c>
      <c r="H19596" s="708" t="s">
        <v>12939</v>
      </c>
    </row>
    <row r="19597" spans="1:8" ht="15" customHeight="1" x14ac:dyDescent="0.2">
      <c r="A19597" s="732">
        <v>45418</v>
      </c>
      <c r="B19597" s="173" t="s">
        <v>11874</v>
      </c>
      <c r="C19597" s="173" t="s">
        <v>7465</v>
      </c>
      <c r="D19597" s="227" t="s">
        <v>12926</v>
      </c>
      <c r="E19597" s="235">
        <v>900000</v>
      </c>
      <c r="F19597" s="235"/>
      <c r="G19597" s="235">
        <f t="shared" si="312"/>
        <v>-900000</v>
      </c>
      <c r="H19597" s="708" t="s">
        <v>12939</v>
      </c>
    </row>
    <row r="19598" spans="1:8" ht="15" customHeight="1" x14ac:dyDescent="0.2">
      <c r="A19598" s="732">
        <v>45418</v>
      </c>
      <c r="B19598" s="173" t="s">
        <v>11874</v>
      </c>
      <c r="C19598" s="173" t="s">
        <v>7465</v>
      </c>
      <c r="D19598" s="227" t="s">
        <v>12926</v>
      </c>
      <c r="E19598" s="235">
        <v>924000</v>
      </c>
      <c r="F19598" s="235"/>
      <c r="G19598" s="235">
        <f t="shared" si="312"/>
        <v>-924000</v>
      </c>
      <c r="H19598" s="708" t="s">
        <v>12939</v>
      </c>
    </row>
    <row r="19599" spans="1:8" ht="15" customHeight="1" x14ac:dyDescent="0.2">
      <c r="A19599" s="732">
        <v>45420</v>
      </c>
      <c r="B19599" s="173" t="s">
        <v>37</v>
      </c>
      <c r="C19599" s="550" t="s">
        <v>3002</v>
      </c>
      <c r="D19599" s="739" t="s">
        <v>12953</v>
      </c>
      <c r="E19599" s="551">
        <v>20525</v>
      </c>
      <c r="F19599" s="235"/>
      <c r="G19599" s="235">
        <f t="shared" si="312"/>
        <v>-20525</v>
      </c>
      <c r="H19599" s="708" t="s">
        <v>12939</v>
      </c>
    </row>
    <row r="19600" spans="1:8" ht="15" customHeight="1" x14ac:dyDescent="0.2">
      <c r="A19600" s="732">
        <v>45420</v>
      </c>
      <c r="B19600" s="173" t="s">
        <v>3944</v>
      </c>
      <c r="C19600" s="550" t="s">
        <v>3002</v>
      </c>
      <c r="D19600" s="739" t="s">
        <v>12953</v>
      </c>
      <c r="E19600" s="551">
        <v>35364</v>
      </c>
      <c r="F19600" s="235"/>
      <c r="G19600" s="235">
        <f t="shared" si="312"/>
        <v>-35364</v>
      </c>
      <c r="H19600" s="708" t="s">
        <v>12939</v>
      </c>
    </row>
    <row r="19601" spans="1:8" ht="15" x14ac:dyDescent="0.2">
      <c r="A19601" s="732">
        <v>45420</v>
      </c>
      <c r="B19601" s="173" t="s">
        <v>3945</v>
      </c>
      <c r="C19601" s="550" t="s">
        <v>3002</v>
      </c>
      <c r="D19601" s="739" t="s">
        <v>12953</v>
      </c>
      <c r="E19601" s="551">
        <v>32760</v>
      </c>
      <c r="F19601" s="235"/>
      <c r="G19601" s="235">
        <f t="shared" si="312"/>
        <v>-32760</v>
      </c>
      <c r="H19601" s="708" t="s">
        <v>12939</v>
      </c>
    </row>
    <row r="19602" spans="1:8" ht="15" x14ac:dyDescent="0.2">
      <c r="A19602" s="732">
        <v>45425</v>
      </c>
      <c r="B19602" s="173" t="s">
        <v>10899</v>
      </c>
      <c r="C19602" s="173" t="s">
        <v>4321</v>
      </c>
      <c r="D19602" s="227" t="s">
        <v>13061</v>
      </c>
      <c r="E19602" s="235">
        <v>640444</v>
      </c>
      <c r="F19602" s="235"/>
      <c r="G19602" s="235">
        <f t="shared" si="312"/>
        <v>-640444</v>
      </c>
      <c r="H19602" s="708" t="s">
        <v>12939</v>
      </c>
    </row>
    <row r="19603" spans="1:8" ht="15" x14ac:dyDescent="0.2">
      <c r="A19603" s="732">
        <v>45436</v>
      </c>
      <c r="B19603" s="173" t="s">
        <v>11077</v>
      </c>
      <c r="C19603" s="550" t="s">
        <v>12027</v>
      </c>
      <c r="D19603" s="739" t="s">
        <v>13125</v>
      </c>
      <c r="E19603" s="551">
        <v>90000</v>
      </c>
      <c r="F19603" s="235"/>
      <c r="G19603" s="235">
        <f t="shared" si="312"/>
        <v>-90000</v>
      </c>
      <c r="H19603" s="708" t="s">
        <v>12939</v>
      </c>
    </row>
    <row r="19604" spans="1:8" ht="15" x14ac:dyDescent="0.2">
      <c r="A19604" s="732">
        <v>45436</v>
      </c>
      <c r="B19604" s="173" t="s">
        <v>11717</v>
      </c>
      <c r="C19604" s="550" t="s">
        <v>12027</v>
      </c>
      <c r="D19604" s="739" t="s">
        <v>13125</v>
      </c>
      <c r="E19604" s="551">
        <v>10000</v>
      </c>
      <c r="F19604" s="235"/>
      <c r="G19604" s="235">
        <f t="shared" si="312"/>
        <v>-10000</v>
      </c>
      <c r="H19604" s="708" t="s">
        <v>12939</v>
      </c>
    </row>
    <row r="19605" spans="1:8" ht="15" x14ac:dyDescent="0.2">
      <c r="A19605" s="732">
        <v>45436</v>
      </c>
      <c r="B19605" s="173" t="s">
        <v>13299</v>
      </c>
      <c r="C19605" s="550" t="s">
        <v>12027</v>
      </c>
      <c r="D19605" s="739" t="s">
        <v>13125</v>
      </c>
      <c r="E19605" s="551">
        <v>200000</v>
      </c>
      <c r="F19605" s="235"/>
      <c r="G19605" s="235">
        <f t="shared" si="312"/>
        <v>-200000</v>
      </c>
      <c r="H19605" s="708" t="s">
        <v>12939</v>
      </c>
    </row>
    <row r="19606" spans="1:8" ht="15" x14ac:dyDescent="0.2">
      <c r="A19606" s="732">
        <v>45441</v>
      </c>
      <c r="B19606" s="173" t="s">
        <v>10229</v>
      </c>
      <c r="C19606" s="173" t="s">
        <v>12274</v>
      </c>
      <c r="D19606" s="227" t="s">
        <v>13158</v>
      </c>
      <c r="E19606" s="235">
        <v>22000</v>
      </c>
      <c r="F19606" s="235"/>
      <c r="G19606" s="235">
        <f t="shared" si="312"/>
        <v>-22000</v>
      </c>
      <c r="H19606" s="708" t="s">
        <v>12939</v>
      </c>
    </row>
    <row r="19607" spans="1:8" ht="15" x14ac:dyDescent="0.2">
      <c r="A19607" s="732">
        <v>45443</v>
      </c>
      <c r="B19607" s="173" t="s">
        <v>12340</v>
      </c>
      <c r="C19607" s="173" t="s">
        <v>12282</v>
      </c>
      <c r="D19607" s="227" t="s">
        <v>13166</v>
      </c>
      <c r="E19607" s="235">
        <v>150000</v>
      </c>
      <c r="F19607" s="235"/>
      <c r="G19607" s="235">
        <f t="shared" si="312"/>
        <v>-150000</v>
      </c>
      <c r="H19607" s="708" t="s">
        <v>12939</v>
      </c>
    </row>
    <row r="19608" spans="1:8" ht="24" x14ac:dyDescent="0.2">
      <c r="A19608" s="732">
        <v>45443</v>
      </c>
      <c r="B19608" s="173" t="s">
        <v>3945</v>
      </c>
      <c r="C19608" s="173" t="s">
        <v>13167</v>
      </c>
      <c r="D19608" s="227" t="s">
        <v>13168</v>
      </c>
      <c r="E19608" s="235">
        <v>600000</v>
      </c>
      <c r="F19608" s="235"/>
      <c r="G19608" s="235">
        <f t="shared" si="312"/>
        <v>-600000</v>
      </c>
      <c r="H19608" s="708" t="s">
        <v>12939</v>
      </c>
    </row>
    <row r="19609" spans="1:8" ht="15" x14ac:dyDescent="0.2">
      <c r="A19609" s="729">
        <v>45414</v>
      </c>
      <c r="B19609" s="93" t="s">
        <v>11077</v>
      </c>
      <c r="C19609" s="93" t="s">
        <v>558</v>
      </c>
      <c r="D19609" s="801" t="s">
        <v>12949</v>
      </c>
      <c r="E19609" s="175"/>
      <c r="F19609" s="175">
        <v>1000000</v>
      </c>
      <c r="G19609" s="175">
        <f t="shared" si="312"/>
        <v>1000000</v>
      </c>
      <c r="H19609" s="701" t="s">
        <v>12939</v>
      </c>
    </row>
    <row r="19610" spans="1:8" ht="15" x14ac:dyDescent="0.2">
      <c r="A19610" s="729">
        <v>45414</v>
      </c>
      <c r="B19610" s="93" t="s">
        <v>11077</v>
      </c>
      <c r="C19610" s="93" t="s">
        <v>558</v>
      </c>
      <c r="D19610" s="801" t="s">
        <v>12949</v>
      </c>
      <c r="E19610" s="175"/>
      <c r="F19610" s="175">
        <v>1000000</v>
      </c>
      <c r="G19610" s="175">
        <f t="shared" si="312"/>
        <v>1000000</v>
      </c>
      <c r="H19610" s="701" t="s">
        <v>12939</v>
      </c>
    </row>
    <row r="19611" spans="1:8" ht="15" x14ac:dyDescent="0.2">
      <c r="A19611" s="729">
        <v>45414</v>
      </c>
      <c r="B19611" s="90" t="s">
        <v>11123</v>
      </c>
      <c r="C19611" s="93" t="s">
        <v>558</v>
      </c>
      <c r="D19611" s="800" t="s">
        <v>12926</v>
      </c>
      <c r="E19611" s="91"/>
      <c r="F19611" s="91">
        <v>900000</v>
      </c>
      <c r="G19611" s="91">
        <f t="shared" si="312"/>
        <v>900000</v>
      </c>
      <c r="H19611" s="701" t="s">
        <v>12939</v>
      </c>
    </row>
    <row r="19612" spans="1:8" ht="15" x14ac:dyDescent="0.2">
      <c r="A19612" s="729">
        <v>45414</v>
      </c>
      <c r="B19612" s="90" t="s">
        <v>11123</v>
      </c>
      <c r="C19612" s="93" t="s">
        <v>558</v>
      </c>
      <c r="D19612" s="800" t="s">
        <v>12926</v>
      </c>
      <c r="E19612" s="91"/>
      <c r="F19612" s="91">
        <v>924000</v>
      </c>
      <c r="G19612" s="91">
        <f t="shared" si="312"/>
        <v>924000</v>
      </c>
      <c r="H19612" s="701" t="s">
        <v>12939</v>
      </c>
    </row>
    <row r="19613" spans="1:8" ht="15" x14ac:dyDescent="0.2">
      <c r="A19613" s="729">
        <v>45421</v>
      </c>
      <c r="B19613" s="93" t="s">
        <v>3944</v>
      </c>
      <c r="C19613" s="93" t="s">
        <v>558</v>
      </c>
      <c r="D19613" s="891" t="s">
        <v>12962</v>
      </c>
      <c r="E19613" s="175"/>
      <c r="F19613" s="175">
        <v>333522</v>
      </c>
      <c r="G19613" s="91">
        <f t="shared" si="312"/>
        <v>333522</v>
      </c>
      <c r="H19613" s="701" t="s">
        <v>12939</v>
      </c>
    </row>
    <row r="19614" spans="1:8" ht="15" x14ac:dyDescent="0.2">
      <c r="A19614" s="729">
        <v>45421</v>
      </c>
      <c r="B19614" s="93" t="s">
        <v>3944</v>
      </c>
      <c r="C19614" s="93" t="s">
        <v>558</v>
      </c>
      <c r="D19614" s="891" t="s">
        <v>12963</v>
      </c>
      <c r="E19614" s="175"/>
      <c r="F19614" s="175">
        <v>333522</v>
      </c>
      <c r="G19614" s="91">
        <f t="shared" si="312"/>
        <v>333522</v>
      </c>
      <c r="H19614" s="701" t="s">
        <v>12939</v>
      </c>
    </row>
    <row r="19615" spans="1:8" ht="15" x14ac:dyDescent="0.2">
      <c r="A19615" s="729">
        <v>45421</v>
      </c>
      <c r="B19615" s="93" t="s">
        <v>3944</v>
      </c>
      <c r="C19615" s="93" t="s">
        <v>558</v>
      </c>
      <c r="D19615" s="891" t="s">
        <v>12964</v>
      </c>
      <c r="E19615" s="175"/>
      <c r="F19615" s="175">
        <v>333522</v>
      </c>
      <c r="G19615" s="91">
        <f t="shared" si="312"/>
        <v>333522</v>
      </c>
      <c r="H19615" s="701" t="s">
        <v>12939</v>
      </c>
    </row>
    <row r="19616" spans="1:8" ht="15" x14ac:dyDescent="0.2">
      <c r="A19616" s="729">
        <v>45422</v>
      </c>
      <c r="B19616" s="93" t="s">
        <v>10573</v>
      </c>
      <c r="C19616" s="93" t="s">
        <v>558</v>
      </c>
      <c r="D19616" s="891" t="s">
        <v>13036</v>
      </c>
      <c r="E19616" s="175"/>
      <c r="F19616" s="175">
        <v>10328660</v>
      </c>
      <c r="G19616" s="91">
        <f t="shared" si="312"/>
        <v>10328660</v>
      </c>
      <c r="H19616" s="701" t="s">
        <v>12939</v>
      </c>
    </row>
    <row r="19617" spans="1:8" ht="15" x14ac:dyDescent="0.2">
      <c r="A19617" s="729">
        <v>45422</v>
      </c>
      <c r="B19617" s="93" t="s">
        <v>3945</v>
      </c>
      <c r="C19617" s="93" t="s">
        <v>558</v>
      </c>
      <c r="D19617" s="891" t="s">
        <v>13038</v>
      </c>
      <c r="E19617" s="175"/>
      <c r="F19617" s="175">
        <v>359992</v>
      </c>
      <c r="G19617" s="91">
        <f t="shared" si="312"/>
        <v>359992</v>
      </c>
      <c r="H19617" s="701" t="s">
        <v>12939</v>
      </c>
    </row>
    <row r="19618" spans="1:8" ht="15" x14ac:dyDescent="0.2">
      <c r="A19618" s="729">
        <v>45423</v>
      </c>
      <c r="B19618" s="93" t="s">
        <v>3945</v>
      </c>
      <c r="C19618" s="93" t="s">
        <v>558</v>
      </c>
      <c r="D19618" s="891" t="s">
        <v>13039</v>
      </c>
      <c r="E19618" s="175"/>
      <c r="F19618" s="175">
        <v>93000</v>
      </c>
      <c r="G19618" s="91">
        <f t="shared" si="312"/>
        <v>93000</v>
      </c>
      <c r="H19618" s="701" t="s">
        <v>12939</v>
      </c>
    </row>
    <row r="19619" spans="1:8" ht="15" x14ac:dyDescent="0.2">
      <c r="A19619" s="729">
        <v>45425</v>
      </c>
      <c r="B19619" s="93" t="s">
        <v>13005</v>
      </c>
      <c r="C19619" s="93" t="s">
        <v>558</v>
      </c>
      <c r="D19619" s="891" t="s">
        <v>13040</v>
      </c>
      <c r="E19619" s="175"/>
      <c r="F19619" s="175">
        <v>200000</v>
      </c>
      <c r="G19619" s="91">
        <f t="shared" si="312"/>
        <v>200000</v>
      </c>
      <c r="H19619" s="701" t="s">
        <v>12939</v>
      </c>
    </row>
    <row r="19620" spans="1:8" ht="15" x14ac:dyDescent="0.2">
      <c r="A19620" s="729">
        <v>45426</v>
      </c>
      <c r="B19620" s="93" t="s">
        <v>10899</v>
      </c>
      <c r="C19620" s="93" t="s">
        <v>558</v>
      </c>
      <c r="D19620" s="891" t="s">
        <v>13060</v>
      </c>
      <c r="E19620" s="175"/>
      <c r="F19620" s="175">
        <v>640444</v>
      </c>
      <c r="G19620" s="91">
        <f t="shared" si="312"/>
        <v>640444</v>
      </c>
      <c r="H19620" s="701" t="s">
        <v>12939</v>
      </c>
    </row>
    <row r="19621" spans="1:8" ht="17.25" customHeight="1" x14ac:dyDescent="0.2">
      <c r="A19621" s="729">
        <v>45430</v>
      </c>
      <c r="B19621" s="93" t="s">
        <v>11077</v>
      </c>
      <c r="C19621" s="93" t="s">
        <v>558</v>
      </c>
      <c r="D19621" s="801" t="s">
        <v>12949</v>
      </c>
      <c r="E19621" s="175"/>
      <c r="F19621" s="175">
        <v>400000</v>
      </c>
      <c r="G19621" s="175">
        <f t="shared" si="312"/>
        <v>400000</v>
      </c>
      <c r="H19621" s="701" t="s">
        <v>12939</v>
      </c>
    </row>
    <row r="19622" spans="1:8" ht="17.25" customHeight="1" x14ac:dyDescent="0.2">
      <c r="A19622" s="729">
        <v>45430</v>
      </c>
      <c r="B19622" s="93" t="s">
        <v>11077</v>
      </c>
      <c r="C19622" s="93" t="s">
        <v>558</v>
      </c>
      <c r="D19622" s="801" t="s">
        <v>12949</v>
      </c>
      <c r="E19622" s="175"/>
      <c r="F19622" s="175">
        <v>154000</v>
      </c>
      <c r="G19622" s="175">
        <f t="shared" si="312"/>
        <v>154000</v>
      </c>
      <c r="H19622" s="701" t="s">
        <v>12939</v>
      </c>
    </row>
    <row r="19623" spans="1:8" ht="15" x14ac:dyDescent="0.2">
      <c r="A19623" s="729">
        <v>45430</v>
      </c>
      <c r="B19623" s="93" t="s">
        <v>11077</v>
      </c>
      <c r="C19623" s="93" t="s">
        <v>558</v>
      </c>
      <c r="D19623" s="801" t="s">
        <v>12949</v>
      </c>
      <c r="E19623" s="175"/>
      <c r="F19623" s="175">
        <v>200000</v>
      </c>
      <c r="G19623" s="175">
        <f t="shared" si="312"/>
        <v>200000</v>
      </c>
      <c r="H19623" s="701" t="s">
        <v>12939</v>
      </c>
    </row>
    <row r="19624" spans="1:8" ht="15" x14ac:dyDescent="0.2">
      <c r="A19624" s="729">
        <v>45430</v>
      </c>
      <c r="B19624" s="93" t="s">
        <v>11077</v>
      </c>
      <c r="C19624" s="93" t="s">
        <v>558</v>
      </c>
      <c r="D19624" s="801" t="s">
        <v>12949</v>
      </c>
      <c r="E19624" s="175"/>
      <c r="F19624" s="175">
        <v>22000</v>
      </c>
      <c r="G19624" s="175">
        <f t="shared" si="312"/>
        <v>22000</v>
      </c>
      <c r="H19624" s="701" t="s">
        <v>12939</v>
      </c>
    </row>
    <row r="19625" spans="1:8" ht="15" x14ac:dyDescent="0.2">
      <c r="A19625" s="729">
        <v>45434</v>
      </c>
      <c r="B19625" s="93" t="s">
        <v>10899</v>
      </c>
      <c r="C19625" s="93" t="s">
        <v>558</v>
      </c>
      <c r="D19625" s="801" t="s">
        <v>13157</v>
      </c>
      <c r="E19625" s="175"/>
      <c r="F19625" s="175">
        <v>300000</v>
      </c>
      <c r="G19625" s="175">
        <f t="shared" si="312"/>
        <v>300000</v>
      </c>
      <c r="H19625" s="701" t="s">
        <v>12939</v>
      </c>
    </row>
    <row r="19626" spans="1:8" ht="24" x14ac:dyDescent="0.2">
      <c r="A19626" s="729">
        <v>45434</v>
      </c>
      <c r="B19626" s="93" t="s">
        <v>8041</v>
      </c>
      <c r="C19626" s="93" t="s">
        <v>558</v>
      </c>
      <c r="D19626" s="801" t="s">
        <v>13106</v>
      </c>
      <c r="E19626" s="175"/>
      <c r="F19626" s="175">
        <v>670318</v>
      </c>
      <c r="G19626" s="175">
        <f t="shared" si="312"/>
        <v>670318</v>
      </c>
      <c r="H19626" s="701" t="s">
        <v>12939</v>
      </c>
    </row>
    <row r="19627" spans="1:8" ht="15" x14ac:dyDescent="0.2">
      <c r="A19627" s="729">
        <v>45434</v>
      </c>
      <c r="B19627" s="93" t="s">
        <v>8041</v>
      </c>
      <c r="C19627" s="1055" t="s">
        <v>558</v>
      </c>
      <c r="D19627" s="897" t="s">
        <v>12017</v>
      </c>
      <c r="E19627" s="642">
        <v>6700</v>
      </c>
      <c r="F19627" s="175"/>
      <c r="G19627" s="175">
        <f t="shared" si="312"/>
        <v>-6700</v>
      </c>
      <c r="H19627" s="701" t="s">
        <v>12939</v>
      </c>
    </row>
    <row r="19628" spans="1:8" ht="15" x14ac:dyDescent="0.2">
      <c r="A19628" s="729">
        <v>45436</v>
      </c>
      <c r="B19628" s="93" t="s">
        <v>13108</v>
      </c>
      <c r="C19628" s="93" t="s">
        <v>558</v>
      </c>
      <c r="D19628" s="801" t="s">
        <v>13107</v>
      </c>
      <c r="E19628" s="175"/>
      <c r="F19628" s="175">
        <v>1520392</v>
      </c>
      <c r="G19628" s="175">
        <f t="shared" si="312"/>
        <v>1520392</v>
      </c>
      <c r="H19628" s="701" t="s">
        <v>12939</v>
      </c>
    </row>
    <row r="19629" spans="1:8" ht="15" x14ac:dyDescent="0.2">
      <c r="A19629" s="729">
        <v>45441</v>
      </c>
      <c r="B19629" s="93" t="s">
        <v>37</v>
      </c>
      <c r="C19629" s="93" t="s">
        <v>558</v>
      </c>
      <c r="D19629" s="891" t="s">
        <v>13130</v>
      </c>
      <c r="E19629" s="175"/>
      <c r="F19629" s="175">
        <v>246087</v>
      </c>
      <c r="G19629" s="175">
        <f t="shared" si="312"/>
        <v>246087</v>
      </c>
      <c r="H19629" s="701" t="s">
        <v>12939</v>
      </c>
    </row>
    <row r="19630" spans="1:8" ht="15" x14ac:dyDescent="0.2">
      <c r="A19630" s="729">
        <v>45441</v>
      </c>
      <c r="B19630" s="93" t="s">
        <v>37</v>
      </c>
      <c r="C19630" s="93" t="s">
        <v>558</v>
      </c>
      <c r="D19630" s="891" t="s">
        <v>13131</v>
      </c>
      <c r="E19630" s="175"/>
      <c r="F19630" s="175">
        <v>246087</v>
      </c>
      <c r="G19630" s="175">
        <f t="shared" si="312"/>
        <v>246087</v>
      </c>
      <c r="H19630" s="701" t="s">
        <v>12939</v>
      </c>
    </row>
    <row r="19631" spans="1:8" ht="15" x14ac:dyDescent="0.2">
      <c r="A19631" s="729">
        <v>45441</v>
      </c>
      <c r="B19631" s="93" t="s">
        <v>37</v>
      </c>
      <c r="C19631" s="93" t="s">
        <v>558</v>
      </c>
      <c r="D19631" s="891" t="s">
        <v>13132</v>
      </c>
      <c r="E19631" s="175"/>
      <c r="F19631" s="175">
        <v>246087</v>
      </c>
      <c r="G19631" s="175">
        <f t="shared" si="312"/>
        <v>246087</v>
      </c>
      <c r="H19631" s="701" t="s">
        <v>12939</v>
      </c>
    </row>
    <row r="19632" spans="1:8" ht="24" x14ac:dyDescent="0.2">
      <c r="A19632" s="729">
        <v>45441</v>
      </c>
      <c r="B19632" s="93" t="s">
        <v>11077</v>
      </c>
      <c r="C19632" s="93" t="s">
        <v>558</v>
      </c>
      <c r="D19632" s="801" t="s">
        <v>13135</v>
      </c>
      <c r="E19632" s="175"/>
      <c r="F19632" s="175">
        <v>1400000</v>
      </c>
      <c r="G19632" s="175">
        <f t="shared" si="312"/>
        <v>1400000</v>
      </c>
      <c r="H19632" s="701" t="s">
        <v>12939</v>
      </c>
    </row>
    <row r="19633" spans="1:8" ht="24" customHeight="1" x14ac:dyDescent="0.2">
      <c r="A19633" s="729">
        <v>45441</v>
      </c>
      <c r="B19633" s="93" t="s">
        <v>11077</v>
      </c>
      <c r="C19633" s="93" t="s">
        <v>558</v>
      </c>
      <c r="D19633" s="801" t="s">
        <v>13136</v>
      </c>
      <c r="E19633" s="175"/>
      <c r="F19633" s="175">
        <v>1000000</v>
      </c>
      <c r="G19633" s="175">
        <f t="shared" si="312"/>
        <v>1000000</v>
      </c>
      <c r="H19633" s="701" t="s">
        <v>12939</v>
      </c>
    </row>
    <row r="19634" spans="1:8" ht="15" customHeight="1" x14ac:dyDescent="0.2">
      <c r="A19634" s="733">
        <v>45444</v>
      </c>
      <c r="B19634" s="40" t="s">
        <v>13182</v>
      </c>
      <c r="C19634" s="62" t="s">
        <v>13183</v>
      </c>
      <c r="D19634" s="107" t="s">
        <v>13184</v>
      </c>
      <c r="E19634" s="57">
        <v>40000</v>
      </c>
      <c r="F19634" s="57"/>
      <c r="G19634" s="125">
        <f t="shared" si="312"/>
        <v>-40000</v>
      </c>
      <c r="H19634" s="704" t="s">
        <v>13175</v>
      </c>
    </row>
    <row r="19635" spans="1:8" ht="15" customHeight="1" x14ac:dyDescent="0.2">
      <c r="A19635" s="733">
        <v>45444</v>
      </c>
      <c r="B19635" s="40" t="s">
        <v>11614</v>
      </c>
      <c r="C19635" s="62" t="s">
        <v>391</v>
      </c>
      <c r="D19635" s="107" t="s">
        <v>13185</v>
      </c>
      <c r="E19635" s="57">
        <v>35000</v>
      </c>
      <c r="F19635" s="57"/>
      <c r="G19635" s="125">
        <f t="shared" si="312"/>
        <v>-35000</v>
      </c>
      <c r="H19635" s="704" t="s">
        <v>13175</v>
      </c>
    </row>
    <row r="19636" spans="1:8" ht="15" x14ac:dyDescent="0.2">
      <c r="A19636" s="733">
        <v>45444</v>
      </c>
      <c r="B19636" s="40" t="s">
        <v>10176</v>
      </c>
      <c r="C19636" s="62" t="s">
        <v>13186</v>
      </c>
      <c r="D19636" s="107" t="s">
        <v>13242</v>
      </c>
      <c r="E19636" s="57">
        <v>14000</v>
      </c>
      <c r="F19636" s="57"/>
      <c r="G19636" s="125">
        <f t="shared" si="312"/>
        <v>-14000</v>
      </c>
      <c r="H19636" s="704" t="s">
        <v>13175</v>
      </c>
    </row>
    <row r="19637" spans="1:8" ht="15" x14ac:dyDescent="0.2">
      <c r="A19637" s="733">
        <v>45444</v>
      </c>
      <c r="B19637" s="40" t="s">
        <v>12346</v>
      </c>
      <c r="C19637" s="62" t="s">
        <v>13186</v>
      </c>
      <c r="D19637" s="107" t="s">
        <v>13242</v>
      </c>
      <c r="E19637" s="57">
        <v>15000</v>
      </c>
      <c r="F19637" s="57"/>
      <c r="G19637" s="125">
        <f t="shared" si="312"/>
        <v>-15000</v>
      </c>
      <c r="H19637" s="704" t="s">
        <v>13175</v>
      </c>
    </row>
    <row r="19638" spans="1:8" ht="15" x14ac:dyDescent="0.2">
      <c r="A19638" s="733">
        <v>45444</v>
      </c>
      <c r="B19638" s="40" t="s">
        <v>11717</v>
      </c>
      <c r="C19638" s="62" t="s">
        <v>13186</v>
      </c>
      <c r="D19638" s="107" t="s">
        <v>13242</v>
      </c>
      <c r="E19638" s="57">
        <v>4000</v>
      </c>
      <c r="F19638" s="57"/>
      <c r="G19638" s="125">
        <f t="shared" si="312"/>
        <v>-4000</v>
      </c>
      <c r="H19638" s="704" t="s">
        <v>13175</v>
      </c>
    </row>
    <row r="19639" spans="1:8" ht="15" x14ac:dyDescent="0.2">
      <c r="A19639" s="733">
        <v>45444</v>
      </c>
      <c r="B19639" s="40" t="s">
        <v>3945</v>
      </c>
      <c r="C19639" s="62" t="s">
        <v>6422</v>
      </c>
      <c r="D19639" s="107" t="s">
        <v>13187</v>
      </c>
      <c r="E19639" s="57">
        <v>50000</v>
      </c>
      <c r="F19639" s="57"/>
      <c r="G19639" s="125">
        <f t="shared" si="312"/>
        <v>-50000</v>
      </c>
      <c r="H19639" s="704" t="s">
        <v>13175</v>
      </c>
    </row>
    <row r="19640" spans="1:8" ht="15" x14ac:dyDescent="0.2">
      <c r="A19640" s="733">
        <v>45444</v>
      </c>
      <c r="B19640" s="40" t="s">
        <v>3945</v>
      </c>
      <c r="C19640" s="62" t="s">
        <v>13188</v>
      </c>
      <c r="D19640" s="107" t="s">
        <v>13189</v>
      </c>
      <c r="E19640" s="57">
        <v>235000</v>
      </c>
      <c r="F19640" s="57"/>
      <c r="G19640" s="125">
        <f t="shared" si="312"/>
        <v>-235000</v>
      </c>
      <c r="H19640" s="704" t="s">
        <v>13175</v>
      </c>
    </row>
    <row r="19641" spans="1:8" ht="15" x14ac:dyDescent="0.2">
      <c r="A19641" s="733">
        <v>45444</v>
      </c>
      <c r="B19641" s="40" t="s">
        <v>12400</v>
      </c>
      <c r="C19641" s="62" t="s">
        <v>8369</v>
      </c>
      <c r="D19641" s="107" t="s">
        <v>369</v>
      </c>
      <c r="E19641" s="57">
        <v>5000</v>
      </c>
      <c r="F19641" s="57"/>
      <c r="G19641" s="125">
        <f t="shared" si="312"/>
        <v>-5000</v>
      </c>
      <c r="H19641" s="704" t="s">
        <v>13175</v>
      </c>
    </row>
    <row r="19642" spans="1:8" ht="15" x14ac:dyDescent="0.2">
      <c r="A19642" s="733">
        <v>45444</v>
      </c>
      <c r="B19642" s="1071" t="s">
        <v>11077</v>
      </c>
      <c r="C19642" s="1049" t="s">
        <v>793</v>
      </c>
      <c r="D19642" s="1072" t="s">
        <v>12805</v>
      </c>
      <c r="E19642" s="1073">
        <v>50000</v>
      </c>
      <c r="F19642" s="57"/>
      <c r="G19642" s="125">
        <f t="shared" si="312"/>
        <v>-50000</v>
      </c>
      <c r="H19642" s="704" t="s">
        <v>13175</v>
      </c>
    </row>
    <row r="19643" spans="1:8" ht="15" x14ac:dyDescent="0.2">
      <c r="A19643" s="733">
        <v>45444</v>
      </c>
      <c r="B19643" s="1071" t="s">
        <v>10176</v>
      </c>
      <c r="C19643" s="1049" t="s">
        <v>793</v>
      </c>
      <c r="D19643" s="1072" t="s">
        <v>8428</v>
      </c>
      <c r="E19643" s="1073">
        <v>5000</v>
      </c>
      <c r="F19643" s="57"/>
      <c r="G19643" s="125">
        <f t="shared" si="312"/>
        <v>-5000</v>
      </c>
      <c r="H19643" s="704" t="s">
        <v>13175</v>
      </c>
    </row>
    <row r="19644" spans="1:8" ht="15" x14ac:dyDescent="0.2">
      <c r="A19644" s="733">
        <v>45444</v>
      </c>
      <c r="B19644" s="1071" t="s">
        <v>12400</v>
      </c>
      <c r="C19644" s="1049" t="s">
        <v>793</v>
      </c>
      <c r="D19644" s="1072" t="s">
        <v>12194</v>
      </c>
      <c r="E19644" s="1073">
        <v>50000</v>
      </c>
      <c r="F19644" s="57"/>
      <c r="G19644" s="125">
        <f t="shared" si="312"/>
        <v>-50000</v>
      </c>
      <c r="H19644" s="704" t="s">
        <v>13175</v>
      </c>
    </row>
    <row r="19645" spans="1:8" ht="15" x14ac:dyDescent="0.2">
      <c r="A19645" s="733">
        <v>45444</v>
      </c>
      <c r="B19645" s="1071" t="s">
        <v>103</v>
      </c>
      <c r="C19645" s="1049" t="s">
        <v>793</v>
      </c>
      <c r="D19645" s="1072" t="s">
        <v>12806</v>
      </c>
      <c r="E19645" s="1073">
        <v>105000</v>
      </c>
      <c r="F19645" s="57"/>
      <c r="G19645" s="125">
        <f t="shared" si="312"/>
        <v>-105000</v>
      </c>
      <c r="H19645" s="704" t="s">
        <v>13175</v>
      </c>
    </row>
    <row r="19646" spans="1:8" ht="15" x14ac:dyDescent="0.2">
      <c r="A19646" s="733">
        <v>45444</v>
      </c>
      <c r="B19646" s="1071" t="s">
        <v>12400</v>
      </c>
      <c r="C19646" s="1049" t="s">
        <v>793</v>
      </c>
      <c r="D19646" s="1072" t="s">
        <v>10746</v>
      </c>
      <c r="E19646" s="1073">
        <v>79000</v>
      </c>
      <c r="F19646" s="57"/>
      <c r="G19646" s="125">
        <f t="shared" si="312"/>
        <v>-79000</v>
      </c>
      <c r="H19646" s="704" t="s">
        <v>13175</v>
      </c>
    </row>
    <row r="19647" spans="1:8" ht="15" x14ac:dyDescent="0.2">
      <c r="A19647" s="733">
        <v>45444</v>
      </c>
      <c r="B19647" s="1071" t="s">
        <v>103</v>
      </c>
      <c r="C19647" s="1049" t="s">
        <v>793</v>
      </c>
      <c r="D19647" s="1072" t="s">
        <v>10134</v>
      </c>
      <c r="E19647" s="1073">
        <v>278330</v>
      </c>
      <c r="F19647" s="57"/>
      <c r="G19647" s="125">
        <f t="shared" ref="G19647:G19710" si="313">F19647-E19647</f>
        <v>-278330</v>
      </c>
      <c r="H19647" s="704" t="s">
        <v>13175</v>
      </c>
    </row>
    <row r="19648" spans="1:8" ht="15" x14ac:dyDescent="0.2">
      <c r="A19648" s="733">
        <v>45444</v>
      </c>
      <c r="B19648" s="1071" t="s">
        <v>11077</v>
      </c>
      <c r="C19648" s="1049" t="s">
        <v>793</v>
      </c>
      <c r="D19648" s="1072" t="s">
        <v>12822</v>
      </c>
      <c r="E19648" s="1073">
        <v>45900</v>
      </c>
      <c r="F19648" s="57"/>
      <c r="G19648" s="125">
        <f t="shared" si="313"/>
        <v>-45900</v>
      </c>
      <c r="H19648" s="704" t="s">
        <v>13175</v>
      </c>
    </row>
    <row r="19649" spans="1:8" ht="15" x14ac:dyDescent="0.2">
      <c r="A19649" s="733">
        <v>45444</v>
      </c>
      <c r="B19649" s="1071" t="s">
        <v>12400</v>
      </c>
      <c r="C19649" s="1049" t="s">
        <v>793</v>
      </c>
      <c r="D19649" s="1072" t="s">
        <v>13181</v>
      </c>
      <c r="E19649" s="1073">
        <v>50330</v>
      </c>
      <c r="F19649" s="57"/>
      <c r="G19649" s="125">
        <f t="shared" si="313"/>
        <v>-50330</v>
      </c>
      <c r="H19649" s="704" t="s">
        <v>13175</v>
      </c>
    </row>
    <row r="19650" spans="1:8" ht="15" x14ac:dyDescent="0.2">
      <c r="A19650" s="733">
        <v>45446</v>
      </c>
      <c r="B19650" s="1071" t="s">
        <v>12346</v>
      </c>
      <c r="C19650" s="1049" t="s">
        <v>793</v>
      </c>
      <c r="D19650" s="1072" t="s">
        <v>13191</v>
      </c>
      <c r="E19650" s="1073">
        <v>166630</v>
      </c>
      <c r="F19650" s="57"/>
      <c r="G19650" s="125">
        <f t="shared" si="313"/>
        <v>-166630</v>
      </c>
      <c r="H19650" s="704" t="s">
        <v>13175</v>
      </c>
    </row>
    <row r="19651" spans="1:8" ht="15" x14ac:dyDescent="0.2">
      <c r="A19651" s="733">
        <v>45446</v>
      </c>
      <c r="B19651" s="1071" t="s">
        <v>11077</v>
      </c>
      <c r="C19651" s="1049" t="s">
        <v>793</v>
      </c>
      <c r="D19651" s="1072" t="s">
        <v>13192</v>
      </c>
      <c r="E19651" s="1073">
        <v>70770</v>
      </c>
      <c r="F19651" s="57"/>
      <c r="G19651" s="125">
        <f t="shared" si="313"/>
        <v>-70770</v>
      </c>
      <c r="H19651" s="704" t="s">
        <v>13175</v>
      </c>
    </row>
    <row r="19652" spans="1:8" ht="15" x14ac:dyDescent="0.2">
      <c r="A19652" s="733">
        <v>45447</v>
      </c>
      <c r="B19652" s="1071" t="s">
        <v>12400</v>
      </c>
      <c r="C19652" s="1049" t="s">
        <v>793</v>
      </c>
      <c r="D19652" s="1072" t="s">
        <v>13195</v>
      </c>
      <c r="E19652" s="1073">
        <v>174970</v>
      </c>
      <c r="F19652" s="57"/>
      <c r="G19652" s="125">
        <f t="shared" si="313"/>
        <v>-174970</v>
      </c>
      <c r="H19652" s="704" t="s">
        <v>13175</v>
      </c>
    </row>
    <row r="19653" spans="1:8" ht="15" x14ac:dyDescent="0.2">
      <c r="A19653" s="733">
        <v>45447</v>
      </c>
      <c r="B19653" s="1071" t="s">
        <v>37</v>
      </c>
      <c r="C19653" s="1049" t="s">
        <v>793</v>
      </c>
      <c r="D19653" s="1072" t="s">
        <v>11823</v>
      </c>
      <c r="E19653" s="1073">
        <v>187830</v>
      </c>
      <c r="F19653" s="57"/>
      <c r="G19653" s="125">
        <f t="shared" si="313"/>
        <v>-187830</v>
      </c>
      <c r="H19653" s="704" t="s">
        <v>13175</v>
      </c>
    </row>
    <row r="19654" spans="1:8" ht="15" x14ac:dyDescent="0.2">
      <c r="A19654" s="733">
        <v>45447</v>
      </c>
      <c r="B19654" s="1071" t="s">
        <v>11874</v>
      </c>
      <c r="C19654" s="1049" t="s">
        <v>793</v>
      </c>
      <c r="D19654" s="1072" t="s">
        <v>13196</v>
      </c>
      <c r="E19654" s="1073">
        <v>62710</v>
      </c>
      <c r="F19654" s="57"/>
      <c r="G19654" s="125">
        <f t="shared" si="313"/>
        <v>-62710</v>
      </c>
      <c r="H19654" s="704" t="s">
        <v>13175</v>
      </c>
    </row>
    <row r="19655" spans="1:8" ht="15" x14ac:dyDescent="0.2">
      <c r="A19655" s="733">
        <v>45447</v>
      </c>
      <c r="B19655" s="1071" t="s">
        <v>3945</v>
      </c>
      <c r="C19655" s="1049" t="s">
        <v>793</v>
      </c>
      <c r="D19655" s="1072" t="s">
        <v>12082</v>
      </c>
      <c r="E19655" s="1073">
        <v>137420</v>
      </c>
      <c r="F19655" s="57"/>
      <c r="G19655" s="125">
        <f t="shared" si="313"/>
        <v>-137420</v>
      </c>
      <c r="H19655" s="704" t="s">
        <v>13175</v>
      </c>
    </row>
    <row r="19656" spans="1:8" ht="15" x14ac:dyDescent="0.2">
      <c r="A19656" s="733">
        <v>45447</v>
      </c>
      <c r="B19656" s="1071" t="s">
        <v>3944</v>
      </c>
      <c r="C19656" s="1049" t="s">
        <v>793</v>
      </c>
      <c r="D19656" s="1072" t="s">
        <v>12389</v>
      </c>
      <c r="E19656" s="1073">
        <v>134710</v>
      </c>
      <c r="F19656" s="57"/>
      <c r="G19656" s="125">
        <f t="shared" si="313"/>
        <v>-134710</v>
      </c>
      <c r="H19656" s="704" t="s">
        <v>13175</v>
      </c>
    </row>
    <row r="19657" spans="1:8" ht="15" x14ac:dyDescent="0.2">
      <c r="A19657" s="733">
        <v>45447</v>
      </c>
      <c r="B19657" s="1071" t="s">
        <v>11077</v>
      </c>
      <c r="C19657" s="1049" t="s">
        <v>793</v>
      </c>
      <c r="D19657" s="1072" t="s">
        <v>11825</v>
      </c>
      <c r="E19657" s="1073">
        <v>41820</v>
      </c>
      <c r="F19657" s="57"/>
      <c r="G19657" s="125">
        <f t="shared" si="313"/>
        <v>-41820</v>
      </c>
      <c r="H19657" s="704" t="s">
        <v>13175</v>
      </c>
    </row>
    <row r="19658" spans="1:8" ht="15" x14ac:dyDescent="0.2">
      <c r="A19658" s="733">
        <v>45447</v>
      </c>
      <c r="B19658" s="1071" t="s">
        <v>11717</v>
      </c>
      <c r="C19658" s="1049" t="s">
        <v>793</v>
      </c>
      <c r="D19658" s="1072" t="s">
        <v>13199</v>
      </c>
      <c r="E19658" s="1073">
        <v>52660</v>
      </c>
      <c r="F19658" s="57"/>
      <c r="G19658" s="125">
        <f t="shared" si="313"/>
        <v>-52660</v>
      </c>
      <c r="H19658" s="704" t="s">
        <v>13175</v>
      </c>
    </row>
    <row r="19659" spans="1:8" ht="15" x14ac:dyDescent="0.2">
      <c r="A19659" s="733">
        <v>45447</v>
      </c>
      <c r="B19659" s="1071" t="s">
        <v>12346</v>
      </c>
      <c r="C19659" s="1049" t="s">
        <v>793</v>
      </c>
      <c r="D19659" s="1072" t="s">
        <v>3065</v>
      </c>
      <c r="E19659" s="1073">
        <v>21000</v>
      </c>
      <c r="F19659" s="57"/>
      <c r="G19659" s="125">
        <f t="shared" si="313"/>
        <v>-21000</v>
      </c>
      <c r="H19659" s="704" t="s">
        <v>13175</v>
      </c>
    </row>
    <row r="19660" spans="1:8" ht="15" x14ac:dyDescent="0.2">
      <c r="A19660" s="733">
        <v>45447</v>
      </c>
      <c r="B19660" s="1071" t="s">
        <v>3945</v>
      </c>
      <c r="C19660" s="1049" t="s">
        <v>793</v>
      </c>
      <c r="D19660" s="1072" t="s">
        <v>8427</v>
      </c>
      <c r="E19660" s="1073">
        <v>28000</v>
      </c>
      <c r="F19660" s="57"/>
      <c r="G19660" s="125">
        <f t="shared" si="313"/>
        <v>-28000</v>
      </c>
      <c r="H19660" s="704" t="s">
        <v>13175</v>
      </c>
    </row>
    <row r="19661" spans="1:8" ht="15" x14ac:dyDescent="0.2">
      <c r="A19661" s="733">
        <v>45447</v>
      </c>
      <c r="B19661" s="1071" t="s">
        <v>12607</v>
      </c>
      <c r="C19661" s="1049" t="s">
        <v>793</v>
      </c>
      <c r="D19661" s="1072" t="s">
        <v>13200</v>
      </c>
      <c r="E19661" s="1073">
        <v>108860</v>
      </c>
      <c r="F19661" s="57"/>
      <c r="G19661" s="125">
        <f t="shared" si="313"/>
        <v>-108860</v>
      </c>
      <c r="H19661" s="704" t="s">
        <v>13175</v>
      </c>
    </row>
    <row r="19662" spans="1:8" ht="15" x14ac:dyDescent="0.2">
      <c r="A19662" s="733">
        <v>45448</v>
      </c>
      <c r="B19662" s="1071" t="s">
        <v>11717</v>
      </c>
      <c r="C19662" s="1049" t="s">
        <v>793</v>
      </c>
      <c r="D19662" s="1072" t="s">
        <v>12385</v>
      </c>
      <c r="E19662" s="1073">
        <v>663140</v>
      </c>
      <c r="F19662" s="57"/>
      <c r="G19662" s="125">
        <f t="shared" si="313"/>
        <v>-663140</v>
      </c>
      <c r="H19662" s="704" t="s">
        <v>13175</v>
      </c>
    </row>
    <row r="19663" spans="1:8" ht="15" x14ac:dyDescent="0.2">
      <c r="A19663" s="733">
        <v>45449</v>
      </c>
      <c r="B19663" s="1071" t="s">
        <v>11077</v>
      </c>
      <c r="C19663" s="1049" t="s">
        <v>793</v>
      </c>
      <c r="D19663" s="1072" t="s">
        <v>10744</v>
      </c>
      <c r="E19663" s="1073">
        <v>51600</v>
      </c>
      <c r="F19663" s="57"/>
      <c r="G19663" s="125">
        <f t="shared" si="313"/>
        <v>-51600</v>
      </c>
      <c r="H19663" s="704" t="s">
        <v>13175</v>
      </c>
    </row>
    <row r="19664" spans="1:8" ht="15" x14ac:dyDescent="0.2">
      <c r="A19664" s="733">
        <v>45450</v>
      </c>
      <c r="B19664" s="1071" t="s">
        <v>13299</v>
      </c>
      <c r="C19664" s="1049" t="s">
        <v>793</v>
      </c>
      <c r="D19664" s="1072" t="s">
        <v>13214</v>
      </c>
      <c r="E19664" s="1073">
        <v>58050</v>
      </c>
      <c r="F19664" s="57"/>
      <c r="G19664" s="125">
        <f t="shared" si="313"/>
        <v>-58050</v>
      </c>
      <c r="H19664" s="704" t="s">
        <v>13175</v>
      </c>
    </row>
    <row r="19665" spans="1:8" ht="15" customHeight="1" x14ac:dyDescent="0.2">
      <c r="A19665" s="733">
        <v>45449</v>
      </c>
      <c r="B19665" s="1071" t="s">
        <v>12400</v>
      </c>
      <c r="C19665" s="1049" t="s">
        <v>793</v>
      </c>
      <c r="D19665" s="1072" t="s">
        <v>13212</v>
      </c>
      <c r="E19665" s="1073">
        <v>70000</v>
      </c>
      <c r="F19665" s="57"/>
      <c r="G19665" s="125">
        <f t="shared" si="313"/>
        <v>-70000</v>
      </c>
      <c r="H19665" s="704" t="s">
        <v>13175</v>
      </c>
    </row>
    <row r="19666" spans="1:8" ht="15" customHeight="1" x14ac:dyDescent="0.2">
      <c r="A19666" s="733">
        <v>45451</v>
      </c>
      <c r="B19666" s="1071" t="s">
        <v>11717</v>
      </c>
      <c r="C19666" s="1049" t="s">
        <v>793</v>
      </c>
      <c r="D19666" s="1072" t="s">
        <v>13216</v>
      </c>
      <c r="E19666" s="1073">
        <v>61350</v>
      </c>
      <c r="F19666" s="57"/>
      <c r="G19666" s="125">
        <f t="shared" si="313"/>
        <v>-61350</v>
      </c>
      <c r="H19666" s="704" t="s">
        <v>13175</v>
      </c>
    </row>
    <row r="19667" spans="1:8" ht="15" customHeight="1" x14ac:dyDescent="0.2">
      <c r="A19667" s="733">
        <v>45451</v>
      </c>
      <c r="B19667" s="1071" t="s">
        <v>11717</v>
      </c>
      <c r="C19667" s="1049" t="s">
        <v>793</v>
      </c>
      <c r="D19667" s="1072" t="s">
        <v>13217</v>
      </c>
      <c r="E19667" s="1073">
        <v>27100</v>
      </c>
      <c r="F19667" s="57"/>
      <c r="G19667" s="125">
        <f t="shared" si="313"/>
        <v>-27100</v>
      </c>
      <c r="H19667" s="704" t="s">
        <v>13175</v>
      </c>
    </row>
    <row r="19668" spans="1:8" ht="15" customHeight="1" x14ac:dyDescent="0.2">
      <c r="A19668" s="733">
        <v>45453</v>
      </c>
      <c r="B19668" s="1049" t="s">
        <v>3945</v>
      </c>
      <c r="C19668" s="1049" t="s">
        <v>793</v>
      </c>
      <c r="D19668" s="1072" t="s">
        <v>13220</v>
      </c>
      <c r="E19668" s="1073">
        <v>20000</v>
      </c>
      <c r="F19668" s="57"/>
      <c r="G19668" s="125">
        <f t="shared" si="313"/>
        <v>-20000</v>
      </c>
      <c r="H19668" s="704" t="s">
        <v>13175</v>
      </c>
    </row>
    <row r="19669" spans="1:8" ht="15" customHeight="1" x14ac:dyDescent="0.2">
      <c r="A19669" s="733">
        <v>45457</v>
      </c>
      <c r="B19669" s="1071" t="s">
        <v>11077</v>
      </c>
      <c r="C19669" s="1049" t="s">
        <v>793</v>
      </c>
      <c r="D19669" s="1072" t="s">
        <v>13293</v>
      </c>
      <c r="E19669" s="1073">
        <v>18500</v>
      </c>
      <c r="F19669" s="57"/>
      <c r="G19669" s="125">
        <f t="shared" si="313"/>
        <v>-18500</v>
      </c>
      <c r="H19669" s="704" t="s">
        <v>13175</v>
      </c>
    </row>
    <row r="19670" spans="1:8" ht="15" customHeight="1" x14ac:dyDescent="0.2">
      <c r="A19670" s="733">
        <v>45444</v>
      </c>
      <c r="B19670" s="40" t="s">
        <v>11077</v>
      </c>
      <c r="C19670" s="62" t="s">
        <v>391</v>
      </c>
      <c r="D19670" s="107" t="s">
        <v>13180</v>
      </c>
      <c r="E19670" s="57">
        <v>1500</v>
      </c>
      <c r="F19670" s="57"/>
      <c r="G19670" s="125">
        <f t="shared" si="313"/>
        <v>-1500</v>
      </c>
      <c r="H19670" s="704" t="s">
        <v>13175</v>
      </c>
    </row>
    <row r="19671" spans="1:8" ht="15" customHeight="1" x14ac:dyDescent="0.2">
      <c r="A19671" s="733">
        <v>45444</v>
      </c>
      <c r="B19671" s="40" t="s">
        <v>103</v>
      </c>
      <c r="C19671" s="62" t="s">
        <v>2671</v>
      </c>
      <c r="D19671" s="107" t="s">
        <v>8115</v>
      </c>
      <c r="E19671" s="57">
        <v>2000</v>
      </c>
      <c r="F19671" s="57"/>
      <c r="G19671" s="125">
        <f t="shared" si="313"/>
        <v>-2000</v>
      </c>
      <c r="H19671" s="704" t="s">
        <v>13175</v>
      </c>
    </row>
    <row r="19672" spans="1:8" ht="15" customHeight="1" x14ac:dyDescent="0.2">
      <c r="A19672" s="733">
        <v>45444</v>
      </c>
      <c r="B19672" s="40" t="s">
        <v>103</v>
      </c>
      <c r="C19672" s="62" t="s">
        <v>103</v>
      </c>
      <c r="D19672" s="107" t="s">
        <v>10208</v>
      </c>
      <c r="E19672" s="57">
        <v>2000</v>
      </c>
      <c r="F19672" s="57"/>
      <c r="G19672" s="125">
        <f t="shared" si="313"/>
        <v>-2000</v>
      </c>
      <c r="H19672" s="704" t="s">
        <v>13175</v>
      </c>
    </row>
    <row r="19673" spans="1:8" ht="15" customHeight="1" x14ac:dyDescent="0.2">
      <c r="A19673" s="733">
        <v>45444</v>
      </c>
      <c r="B19673" s="40" t="s">
        <v>12597</v>
      </c>
      <c r="C19673" s="62" t="s">
        <v>10981</v>
      </c>
      <c r="D19673" s="107" t="s">
        <v>13119</v>
      </c>
      <c r="E19673" s="57">
        <v>50000</v>
      </c>
      <c r="F19673" s="57"/>
      <c r="G19673" s="125">
        <f t="shared" si="313"/>
        <v>-50000</v>
      </c>
      <c r="H19673" s="704" t="s">
        <v>13175</v>
      </c>
    </row>
    <row r="19674" spans="1:8" ht="15" customHeight="1" x14ac:dyDescent="0.2">
      <c r="A19674" s="733">
        <v>45444</v>
      </c>
      <c r="B19674" s="40" t="s">
        <v>12340</v>
      </c>
      <c r="C19674" s="62" t="s">
        <v>391</v>
      </c>
      <c r="D19674" s="107" t="s">
        <v>13250</v>
      </c>
      <c r="E19674" s="57">
        <v>200000</v>
      </c>
      <c r="F19674" s="57"/>
      <c r="G19674" s="125">
        <f t="shared" si="313"/>
        <v>-200000</v>
      </c>
      <c r="H19674" s="704" t="s">
        <v>13175</v>
      </c>
    </row>
    <row r="19675" spans="1:8" ht="15" customHeight="1" x14ac:dyDescent="0.2">
      <c r="A19675" s="733">
        <v>45445</v>
      </c>
      <c r="B19675" s="40" t="s">
        <v>103</v>
      </c>
      <c r="C19675" s="62" t="s">
        <v>391</v>
      </c>
      <c r="D19675" s="107" t="s">
        <v>13193</v>
      </c>
      <c r="E19675" s="57">
        <v>40000</v>
      </c>
      <c r="F19675" s="57"/>
      <c r="G19675" s="125">
        <f t="shared" si="313"/>
        <v>-40000</v>
      </c>
      <c r="H19675" s="704" t="s">
        <v>13175</v>
      </c>
    </row>
    <row r="19676" spans="1:8" ht="15" customHeight="1" x14ac:dyDescent="0.2">
      <c r="A19676" s="733">
        <v>45446</v>
      </c>
      <c r="B19676" s="40" t="s">
        <v>37</v>
      </c>
      <c r="C19676" s="62" t="s">
        <v>3840</v>
      </c>
      <c r="D19676" s="107" t="s">
        <v>13190</v>
      </c>
      <c r="E19676" s="57">
        <v>50000</v>
      </c>
      <c r="F19676" s="57"/>
      <c r="G19676" s="125">
        <f t="shared" si="313"/>
        <v>-50000</v>
      </c>
      <c r="H19676" s="704" t="s">
        <v>13175</v>
      </c>
    </row>
    <row r="19677" spans="1:8" ht="15" customHeight="1" x14ac:dyDescent="0.2">
      <c r="A19677" s="733">
        <v>45446</v>
      </c>
      <c r="B19677" s="40" t="s">
        <v>11717</v>
      </c>
      <c r="C19677" s="62" t="s">
        <v>5740</v>
      </c>
      <c r="D19677" s="107" t="s">
        <v>369</v>
      </c>
      <c r="E19677" s="57">
        <v>1000</v>
      </c>
      <c r="F19677" s="57"/>
      <c r="G19677" s="125">
        <f t="shared" si="313"/>
        <v>-1000</v>
      </c>
      <c r="H19677" s="704" t="s">
        <v>13175</v>
      </c>
    </row>
    <row r="19678" spans="1:8" ht="15" customHeight="1" x14ac:dyDescent="0.2">
      <c r="A19678" s="733">
        <v>45446</v>
      </c>
      <c r="B19678" s="40" t="s">
        <v>11717</v>
      </c>
      <c r="C19678" s="62" t="s">
        <v>12995</v>
      </c>
      <c r="D19678" s="107" t="s">
        <v>13116</v>
      </c>
      <c r="E19678" s="57">
        <v>37000</v>
      </c>
      <c r="F19678" s="57"/>
      <c r="G19678" s="125">
        <f t="shared" si="313"/>
        <v>-37000</v>
      </c>
      <c r="H19678" s="704" t="s">
        <v>13175</v>
      </c>
    </row>
    <row r="19679" spans="1:8" ht="15" customHeight="1" x14ac:dyDescent="0.2">
      <c r="A19679" s="733">
        <v>45446</v>
      </c>
      <c r="B19679" s="40" t="s">
        <v>103</v>
      </c>
      <c r="C19679" s="62" t="s">
        <v>103</v>
      </c>
      <c r="D19679" s="107" t="s">
        <v>10208</v>
      </c>
      <c r="E19679" s="57">
        <v>5000</v>
      </c>
      <c r="F19679" s="57"/>
      <c r="G19679" s="125">
        <f t="shared" si="313"/>
        <v>-5000</v>
      </c>
      <c r="H19679" s="704" t="s">
        <v>13175</v>
      </c>
    </row>
    <row r="19680" spans="1:8" ht="15" customHeight="1" x14ac:dyDescent="0.2">
      <c r="A19680" s="733">
        <v>45446</v>
      </c>
      <c r="B19680" s="40" t="s">
        <v>12340</v>
      </c>
      <c r="C19680" s="62" t="s">
        <v>391</v>
      </c>
      <c r="D19680" s="107" t="s">
        <v>13194</v>
      </c>
      <c r="E19680" s="57">
        <v>35000</v>
      </c>
      <c r="F19680" s="57"/>
      <c r="G19680" s="125">
        <f t="shared" si="313"/>
        <v>-35000</v>
      </c>
      <c r="H19680" s="704" t="s">
        <v>13175</v>
      </c>
    </row>
    <row r="19681" spans="1:8" ht="15" customHeight="1" x14ac:dyDescent="0.2">
      <c r="A19681" s="733">
        <v>45447</v>
      </c>
      <c r="B19681" s="40" t="s">
        <v>37</v>
      </c>
      <c r="C19681" s="62" t="s">
        <v>391</v>
      </c>
      <c r="D19681" s="107" t="s">
        <v>6696</v>
      </c>
      <c r="E19681" s="57">
        <v>3000</v>
      </c>
      <c r="F19681" s="57"/>
      <c r="G19681" s="125">
        <f t="shared" si="313"/>
        <v>-3000</v>
      </c>
      <c r="H19681" s="704" t="s">
        <v>13175</v>
      </c>
    </row>
    <row r="19682" spans="1:8" ht="15" customHeight="1" x14ac:dyDescent="0.2">
      <c r="A19682" s="733">
        <v>45447</v>
      </c>
      <c r="B19682" s="40" t="s">
        <v>37</v>
      </c>
      <c r="C19682" s="62" t="s">
        <v>391</v>
      </c>
      <c r="D19682" s="107" t="s">
        <v>13197</v>
      </c>
      <c r="E19682" s="57">
        <v>2000</v>
      </c>
      <c r="F19682" s="57"/>
      <c r="G19682" s="125">
        <f t="shared" si="313"/>
        <v>-2000</v>
      </c>
      <c r="H19682" s="704" t="s">
        <v>13175</v>
      </c>
    </row>
    <row r="19683" spans="1:8" ht="15" customHeight="1" x14ac:dyDescent="0.2">
      <c r="A19683" s="733">
        <v>45447</v>
      </c>
      <c r="B19683" s="40" t="s">
        <v>103</v>
      </c>
      <c r="C19683" s="62" t="s">
        <v>103</v>
      </c>
      <c r="D19683" s="107" t="s">
        <v>10208</v>
      </c>
      <c r="E19683" s="57">
        <v>3000</v>
      </c>
      <c r="F19683" s="57"/>
      <c r="G19683" s="125">
        <f t="shared" si="313"/>
        <v>-3000</v>
      </c>
      <c r="H19683" s="704" t="s">
        <v>13175</v>
      </c>
    </row>
    <row r="19684" spans="1:8" ht="15" customHeight="1" x14ac:dyDescent="0.2">
      <c r="A19684" s="733">
        <v>45447</v>
      </c>
      <c r="B19684" s="40" t="s">
        <v>9512</v>
      </c>
      <c r="C19684" s="62" t="s">
        <v>13201</v>
      </c>
      <c r="D19684" s="107" t="s">
        <v>13202</v>
      </c>
      <c r="E19684" s="57">
        <v>37000</v>
      </c>
      <c r="F19684" s="57"/>
      <c r="G19684" s="125">
        <f t="shared" si="313"/>
        <v>-37000</v>
      </c>
      <c r="H19684" s="704" t="s">
        <v>13175</v>
      </c>
    </row>
    <row r="19685" spans="1:8" ht="15" customHeight="1" x14ac:dyDescent="0.2">
      <c r="A19685" s="733">
        <v>45447</v>
      </c>
      <c r="B19685" s="40" t="s">
        <v>3945</v>
      </c>
      <c r="C19685" s="62" t="s">
        <v>285</v>
      </c>
      <c r="D19685" s="107" t="s">
        <v>13203</v>
      </c>
      <c r="E19685" s="57">
        <v>500</v>
      </c>
      <c r="F19685" s="57"/>
      <c r="G19685" s="125">
        <f t="shared" si="313"/>
        <v>-500</v>
      </c>
      <c r="H19685" s="704" t="s">
        <v>13175</v>
      </c>
    </row>
    <row r="19686" spans="1:8" ht="15" customHeight="1" x14ac:dyDescent="0.2">
      <c r="A19686" s="733">
        <v>45447</v>
      </c>
      <c r="B19686" s="40" t="s">
        <v>10899</v>
      </c>
      <c r="C19686" s="62" t="s">
        <v>7221</v>
      </c>
      <c r="D19686" s="107" t="s">
        <v>13205</v>
      </c>
      <c r="E19686" s="57">
        <v>250000</v>
      </c>
      <c r="F19686" s="57"/>
      <c r="G19686" s="125">
        <f t="shared" si="313"/>
        <v>-250000</v>
      </c>
      <c r="H19686" s="704" t="s">
        <v>13175</v>
      </c>
    </row>
    <row r="19687" spans="1:8" ht="15" customHeight="1" x14ac:dyDescent="0.2">
      <c r="A19687" s="733">
        <v>45447</v>
      </c>
      <c r="B19687" s="40" t="s">
        <v>13115</v>
      </c>
      <c r="C19687" s="62" t="s">
        <v>7221</v>
      </c>
      <c r="D19687" s="107" t="s">
        <v>13205</v>
      </c>
      <c r="E19687" s="57">
        <v>250000</v>
      </c>
      <c r="F19687" s="57"/>
      <c r="G19687" s="125">
        <f t="shared" si="313"/>
        <v>-250000</v>
      </c>
      <c r="H19687" s="704" t="s">
        <v>13175</v>
      </c>
    </row>
    <row r="19688" spans="1:8" ht="15" customHeight="1" x14ac:dyDescent="0.2">
      <c r="A19688" s="733">
        <v>45447</v>
      </c>
      <c r="B19688" s="40" t="s">
        <v>10229</v>
      </c>
      <c r="C19688" s="62" t="s">
        <v>13204</v>
      </c>
      <c r="D19688" s="107" t="s">
        <v>12435</v>
      </c>
      <c r="E19688" s="57">
        <v>132500</v>
      </c>
      <c r="F19688" s="57"/>
      <c r="G19688" s="125">
        <f t="shared" si="313"/>
        <v>-132500</v>
      </c>
      <c r="H19688" s="704" t="s">
        <v>13175</v>
      </c>
    </row>
    <row r="19689" spans="1:8" ht="15" customHeight="1" x14ac:dyDescent="0.2">
      <c r="A19689" s="733">
        <v>45447</v>
      </c>
      <c r="B19689" s="40" t="s">
        <v>11077</v>
      </c>
      <c r="C19689" s="62" t="s">
        <v>391</v>
      </c>
      <c r="D19689" s="107" t="s">
        <v>9914</v>
      </c>
      <c r="E19689" s="57">
        <v>15540</v>
      </c>
      <c r="F19689" s="57"/>
      <c r="G19689" s="125">
        <f t="shared" si="313"/>
        <v>-15540</v>
      </c>
      <c r="H19689" s="704" t="s">
        <v>13175</v>
      </c>
    </row>
    <row r="19690" spans="1:8" ht="15" customHeight="1" x14ac:dyDescent="0.2">
      <c r="A19690" s="733">
        <v>45448</v>
      </c>
      <c r="B19690" s="40" t="s">
        <v>25</v>
      </c>
      <c r="C19690" s="62" t="s">
        <v>4064</v>
      </c>
      <c r="D19690" s="107" t="s">
        <v>9683</v>
      </c>
      <c r="E19690" s="57">
        <v>2500</v>
      </c>
      <c r="F19690" s="57"/>
      <c r="G19690" s="125">
        <f t="shared" si="313"/>
        <v>-2500</v>
      </c>
      <c r="H19690" s="704" t="s">
        <v>13175</v>
      </c>
    </row>
    <row r="19691" spans="1:8" ht="15" customHeight="1" x14ac:dyDescent="0.2">
      <c r="A19691" s="733">
        <v>45448</v>
      </c>
      <c r="B19691" s="40" t="s">
        <v>10229</v>
      </c>
      <c r="C19691" s="669" t="s">
        <v>2189</v>
      </c>
      <c r="D19691" s="912" t="s">
        <v>13290</v>
      </c>
      <c r="E19691" s="584">
        <v>5000</v>
      </c>
      <c r="F19691" s="57"/>
      <c r="G19691" s="125">
        <f t="shared" si="313"/>
        <v>-5000</v>
      </c>
      <c r="H19691" s="704" t="s">
        <v>13175</v>
      </c>
    </row>
    <row r="19692" spans="1:8" ht="15" x14ac:dyDescent="0.2">
      <c r="A19692" s="733">
        <v>45448</v>
      </c>
      <c r="B19692" s="40" t="s">
        <v>12400</v>
      </c>
      <c r="C19692" s="669" t="s">
        <v>2189</v>
      </c>
      <c r="D19692" s="912" t="s">
        <v>13290</v>
      </c>
      <c r="E19692" s="584">
        <v>3000</v>
      </c>
      <c r="F19692" s="57"/>
      <c r="G19692" s="125">
        <f t="shared" si="313"/>
        <v>-3000</v>
      </c>
      <c r="H19692" s="704" t="s">
        <v>13175</v>
      </c>
    </row>
    <row r="19693" spans="1:8" ht="15" x14ac:dyDescent="0.2">
      <c r="A19693" s="733">
        <v>45448</v>
      </c>
      <c r="B19693" s="40" t="s">
        <v>11123</v>
      </c>
      <c r="C19693" s="669" t="s">
        <v>2189</v>
      </c>
      <c r="D19693" s="912" t="s">
        <v>13290</v>
      </c>
      <c r="E19693" s="584">
        <v>4000</v>
      </c>
      <c r="F19693" s="57"/>
      <c r="G19693" s="125">
        <f t="shared" si="313"/>
        <v>-4000</v>
      </c>
      <c r="H19693" s="704" t="s">
        <v>13175</v>
      </c>
    </row>
    <row r="19694" spans="1:8" ht="15" x14ac:dyDescent="0.2">
      <c r="A19694" s="733">
        <v>45448</v>
      </c>
      <c r="B19694" s="40" t="s">
        <v>13115</v>
      </c>
      <c r="C19694" s="669" t="s">
        <v>2189</v>
      </c>
      <c r="D19694" s="912" t="s">
        <v>13290</v>
      </c>
      <c r="E19694" s="584">
        <v>3000</v>
      </c>
      <c r="F19694" s="57"/>
      <c r="G19694" s="125">
        <f t="shared" si="313"/>
        <v>-3000</v>
      </c>
      <c r="H19694" s="704" t="s">
        <v>13175</v>
      </c>
    </row>
    <row r="19695" spans="1:8" ht="15" x14ac:dyDescent="0.2">
      <c r="A19695" s="733">
        <v>45448</v>
      </c>
      <c r="B19695" s="40" t="s">
        <v>10176</v>
      </c>
      <c r="C19695" s="62" t="s">
        <v>9761</v>
      </c>
      <c r="D19695" s="107" t="s">
        <v>13206</v>
      </c>
      <c r="E19695" s="57">
        <v>3800</v>
      </c>
      <c r="F19695" s="57"/>
      <c r="G19695" s="125">
        <f t="shared" si="313"/>
        <v>-3800</v>
      </c>
      <c r="H19695" s="704" t="s">
        <v>13175</v>
      </c>
    </row>
    <row r="19696" spans="1:8" ht="15" x14ac:dyDescent="0.2">
      <c r="A19696" s="733">
        <v>45448</v>
      </c>
      <c r="B19696" s="40" t="s">
        <v>10898</v>
      </c>
      <c r="C19696" s="62" t="s">
        <v>5740</v>
      </c>
      <c r="D19696" s="107" t="s">
        <v>369</v>
      </c>
      <c r="E19696" s="57">
        <v>1300</v>
      </c>
      <c r="F19696" s="57"/>
      <c r="G19696" s="125">
        <f t="shared" si="313"/>
        <v>-1300</v>
      </c>
      <c r="H19696" s="704" t="s">
        <v>13175</v>
      </c>
    </row>
    <row r="19697" spans="1:8" ht="15" x14ac:dyDescent="0.2">
      <c r="A19697" s="733">
        <v>45449</v>
      </c>
      <c r="B19697" s="40" t="s">
        <v>11717</v>
      </c>
      <c r="C19697" s="62" t="s">
        <v>1494</v>
      </c>
      <c r="D19697" s="107" t="s">
        <v>13213</v>
      </c>
      <c r="E19697" s="57">
        <v>9180</v>
      </c>
      <c r="F19697" s="57"/>
      <c r="G19697" s="125">
        <f t="shared" si="313"/>
        <v>-9180</v>
      </c>
      <c r="H19697" s="704" t="s">
        <v>13175</v>
      </c>
    </row>
    <row r="19698" spans="1:8" ht="15" x14ac:dyDescent="0.2">
      <c r="A19698" s="733">
        <v>45449</v>
      </c>
      <c r="B19698" s="40" t="s">
        <v>13115</v>
      </c>
      <c r="C19698" s="62" t="s">
        <v>5409</v>
      </c>
      <c r="D19698" s="107" t="s">
        <v>12398</v>
      </c>
      <c r="E19698" s="57">
        <v>5000</v>
      </c>
      <c r="F19698" s="57"/>
      <c r="G19698" s="125">
        <f t="shared" si="313"/>
        <v>-5000</v>
      </c>
      <c r="H19698" s="704" t="s">
        <v>13175</v>
      </c>
    </row>
    <row r="19699" spans="1:8" ht="15" x14ac:dyDescent="0.2">
      <c r="A19699" s="733">
        <v>45450</v>
      </c>
      <c r="B19699" s="62" t="s">
        <v>13299</v>
      </c>
      <c r="C19699" s="62" t="s">
        <v>5740</v>
      </c>
      <c r="D19699" s="107" t="s">
        <v>369</v>
      </c>
      <c r="E19699" s="57">
        <v>1500</v>
      </c>
      <c r="F19699" s="57"/>
      <c r="G19699" s="125">
        <f t="shared" si="313"/>
        <v>-1500</v>
      </c>
      <c r="H19699" s="704" t="s">
        <v>13175</v>
      </c>
    </row>
    <row r="19700" spans="1:8" ht="15" x14ac:dyDescent="0.2">
      <c r="A19700" s="733">
        <v>45450</v>
      </c>
      <c r="B19700" s="40" t="s">
        <v>13115</v>
      </c>
      <c r="C19700" s="62" t="s">
        <v>391</v>
      </c>
      <c r="D19700" s="107" t="s">
        <v>13215</v>
      </c>
      <c r="E19700" s="57">
        <v>3000</v>
      </c>
      <c r="F19700" s="57"/>
      <c r="G19700" s="125">
        <f t="shared" si="313"/>
        <v>-3000</v>
      </c>
      <c r="H19700" s="704" t="s">
        <v>13175</v>
      </c>
    </row>
    <row r="19701" spans="1:8" ht="15" x14ac:dyDescent="0.2">
      <c r="A19701" s="733">
        <v>45450</v>
      </c>
      <c r="B19701" s="40" t="s">
        <v>103</v>
      </c>
      <c r="C19701" s="62" t="s">
        <v>103</v>
      </c>
      <c r="D19701" s="107" t="s">
        <v>10208</v>
      </c>
      <c r="E19701" s="57">
        <v>2000</v>
      </c>
      <c r="F19701" s="57"/>
      <c r="G19701" s="125">
        <f t="shared" si="313"/>
        <v>-2000</v>
      </c>
      <c r="H19701" s="704" t="s">
        <v>13175</v>
      </c>
    </row>
    <row r="19702" spans="1:8" ht="15" x14ac:dyDescent="0.2">
      <c r="A19702" s="733">
        <v>45450</v>
      </c>
      <c r="B19702" s="40" t="s">
        <v>11874</v>
      </c>
      <c r="C19702" s="62" t="s">
        <v>5740</v>
      </c>
      <c r="D19702" s="107" t="s">
        <v>369</v>
      </c>
      <c r="E19702" s="57">
        <v>3000</v>
      </c>
      <c r="F19702" s="57"/>
      <c r="G19702" s="125">
        <f t="shared" si="313"/>
        <v>-3000</v>
      </c>
      <c r="H19702" s="704" t="s">
        <v>13175</v>
      </c>
    </row>
    <row r="19703" spans="1:8" ht="15" x14ac:dyDescent="0.2">
      <c r="A19703" s="733">
        <v>45450</v>
      </c>
      <c r="B19703" s="40" t="s">
        <v>13260</v>
      </c>
      <c r="C19703" s="62" t="s">
        <v>5409</v>
      </c>
      <c r="D19703" s="107" t="s">
        <v>369</v>
      </c>
      <c r="E19703" s="57">
        <v>10000</v>
      </c>
      <c r="F19703" s="57"/>
      <c r="G19703" s="125">
        <f t="shared" si="313"/>
        <v>-10000</v>
      </c>
      <c r="H19703" s="704" t="s">
        <v>13175</v>
      </c>
    </row>
    <row r="19704" spans="1:8" ht="15" x14ac:dyDescent="0.2">
      <c r="A19704" s="733">
        <v>45451</v>
      </c>
      <c r="B19704" s="40" t="s">
        <v>103</v>
      </c>
      <c r="C19704" s="62" t="s">
        <v>103</v>
      </c>
      <c r="D19704" s="107" t="s">
        <v>10208</v>
      </c>
      <c r="E19704" s="57">
        <v>2000</v>
      </c>
      <c r="F19704" s="57"/>
      <c r="G19704" s="125">
        <f t="shared" si="313"/>
        <v>-2000</v>
      </c>
      <c r="H19704" s="704" t="s">
        <v>13175</v>
      </c>
    </row>
    <row r="19705" spans="1:8" ht="15" x14ac:dyDescent="0.2">
      <c r="A19705" s="733">
        <v>45451</v>
      </c>
      <c r="B19705" s="40" t="s">
        <v>11717</v>
      </c>
      <c r="C19705" s="62" t="s">
        <v>13218</v>
      </c>
      <c r="D19705" s="107" t="s">
        <v>13219</v>
      </c>
      <c r="E19705" s="57">
        <v>5000</v>
      </c>
      <c r="F19705" s="57"/>
      <c r="G19705" s="125">
        <f t="shared" si="313"/>
        <v>-5000</v>
      </c>
      <c r="H19705" s="704" t="s">
        <v>13175</v>
      </c>
    </row>
    <row r="19706" spans="1:8" ht="15" x14ac:dyDescent="0.2">
      <c r="A19706" s="733">
        <v>45451</v>
      </c>
      <c r="B19706" s="40" t="s">
        <v>103</v>
      </c>
      <c r="C19706" s="62" t="s">
        <v>1494</v>
      </c>
      <c r="D19706" s="107" t="s">
        <v>369</v>
      </c>
      <c r="E19706" s="57">
        <v>2750</v>
      </c>
      <c r="F19706" s="57"/>
      <c r="G19706" s="125">
        <f t="shared" si="313"/>
        <v>-2750</v>
      </c>
      <c r="H19706" s="704" t="s">
        <v>13175</v>
      </c>
    </row>
    <row r="19707" spans="1:8" ht="15" customHeight="1" x14ac:dyDescent="0.2">
      <c r="A19707" s="733">
        <v>45450</v>
      </c>
      <c r="B19707" s="40" t="s">
        <v>103</v>
      </c>
      <c r="C19707" s="62" t="s">
        <v>13252</v>
      </c>
      <c r="D19707" s="107" t="s">
        <v>10718</v>
      </c>
      <c r="E19707" s="57">
        <v>250000</v>
      </c>
      <c r="F19707" s="57"/>
      <c r="G19707" s="125">
        <f t="shared" si="313"/>
        <v>-250000</v>
      </c>
      <c r="H19707" s="704" t="s">
        <v>13175</v>
      </c>
    </row>
    <row r="19708" spans="1:8" ht="15" x14ac:dyDescent="0.2">
      <c r="A19708" s="733">
        <v>45451</v>
      </c>
      <c r="B19708" s="40" t="s">
        <v>11077</v>
      </c>
      <c r="C19708" s="62" t="s">
        <v>10981</v>
      </c>
      <c r="D19708" s="107" t="s">
        <v>13238</v>
      </c>
      <c r="E19708" s="57">
        <v>83000</v>
      </c>
      <c r="F19708" s="57"/>
      <c r="G19708" s="125">
        <f t="shared" si="313"/>
        <v>-83000</v>
      </c>
      <c r="H19708" s="704" t="s">
        <v>13175</v>
      </c>
    </row>
    <row r="19709" spans="1:8" ht="15" x14ac:dyDescent="0.2">
      <c r="A19709" s="733">
        <v>45453</v>
      </c>
      <c r="B19709" s="40" t="s">
        <v>103</v>
      </c>
      <c r="C19709" s="62" t="s">
        <v>103</v>
      </c>
      <c r="D19709" s="107" t="s">
        <v>10208</v>
      </c>
      <c r="E19709" s="57">
        <v>3500</v>
      </c>
      <c r="F19709" s="57"/>
      <c r="G19709" s="125">
        <f t="shared" si="313"/>
        <v>-3500</v>
      </c>
      <c r="H19709" s="704" t="s">
        <v>13175</v>
      </c>
    </row>
    <row r="19710" spans="1:8" ht="15" x14ac:dyDescent="0.2">
      <c r="A19710" s="733">
        <v>45453</v>
      </c>
      <c r="B19710" s="62" t="s">
        <v>10468</v>
      </c>
      <c r="C19710" s="62" t="s">
        <v>12282</v>
      </c>
      <c r="D19710" s="107" t="s">
        <v>1156</v>
      </c>
      <c r="E19710" s="57">
        <v>10000</v>
      </c>
      <c r="F19710" s="57"/>
      <c r="G19710" s="125">
        <f t="shared" si="313"/>
        <v>-10000</v>
      </c>
      <c r="H19710" s="704" t="s">
        <v>13175</v>
      </c>
    </row>
    <row r="19711" spans="1:8" ht="15" x14ac:dyDescent="0.2">
      <c r="A19711" s="733">
        <v>45453</v>
      </c>
      <c r="B19711" s="62" t="s">
        <v>25</v>
      </c>
      <c r="C19711" s="62" t="s">
        <v>212</v>
      </c>
      <c r="D19711" s="107" t="s">
        <v>13221</v>
      </c>
      <c r="E19711" s="57">
        <v>7900</v>
      </c>
      <c r="F19711" s="57"/>
      <c r="G19711" s="125">
        <f t="shared" ref="G19711:G19774" si="314">F19711-E19711</f>
        <v>-7900</v>
      </c>
      <c r="H19711" s="704" t="s">
        <v>13175</v>
      </c>
    </row>
    <row r="19712" spans="1:8" ht="15" x14ac:dyDescent="0.2">
      <c r="A19712" s="733">
        <v>45453</v>
      </c>
      <c r="B19712" s="62" t="s">
        <v>11874</v>
      </c>
      <c r="C19712" s="62" t="s">
        <v>12282</v>
      </c>
      <c r="D19712" s="107" t="s">
        <v>13223</v>
      </c>
      <c r="E19712" s="57">
        <v>40000</v>
      </c>
      <c r="F19712" s="57"/>
      <c r="G19712" s="125">
        <f t="shared" si="314"/>
        <v>-40000</v>
      </c>
      <c r="H19712" s="704" t="s">
        <v>13175</v>
      </c>
    </row>
    <row r="19713" spans="1:8" ht="15" x14ac:dyDescent="0.2">
      <c r="A19713" s="733">
        <v>45453</v>
      </c>
      <c r="B19713" s="40" t="s">
        <v>12340</v>
      </c>
      <c r="C19713" s="62" t="s">
        <v>12081</v>
      </c>
      <c r="D19713" s="107" t="s">
        <v>13224</v>
      </c>
      <c r="E19713" s="57">
        <v>247325</v>
      </c>
      <c r="F19713" s="57"/>
      <c r="G19713" s="125">
        <f t="shared" si="314"/>
        <v>-247325</v>
      </c>
      <c r="H19713" s="704" t="s">
        <v>13175</v>
      </c>
    </row>
    <row r="19714" spans="1:8" ht="15" x14ac:dyDescent="0.2">
      <c r="A19714" s="733">
        <v>45453</v>
      </c>
      <c r="B19714" s="40" t="s">
        <v>12757</v>
      </c>
      <c r="C19714" s="62" t="s">
        <v>12081</v>
      </c>
      <c r="D19714" s="107" t="s">
        <v>13225</v>
      </c>
      <c r="E19714" s="57">
        <v>288500</v>
      </c>
      <c r="F19714" s="57"/>
      <c r="G19714" s="125">
        <f t="shared" si="314"/>
        <v>-288500</v>
      </c>
      <c r="H19714" s="704" t="s">
        <v>13175</v>
      </c>
    </row>
    <row r="19715" spans="1:8" ht="15" x14ac:dyDescent="0.2">
      <c r="A19715" s="733">
        <v>45453</v>
      </c>
      <c r="B19715" s="40" t="s">
        <v>11063</v>
      </c>
      <c r="C19715" s="62" t="s">
        <v>12081</v>
      </c>
      <c r="D19715" s="107" t="s">
        <v>13226</v>
      </c>
      <c r="E19715" s="57">
        <v>41812</v>
      </c>
      <c r="F19715" s="57"/>
      <c r="G19715" s="125">
        <f t="shared" si="314"/>
        <v>-41812</v>
      </c>
      <c r="H19715" s="704" t="s">
        <v>13175</v>
      </c>
    </row>
    <row r="19716" spans="1:8" ht="15" x14ac:dyDescent="0.2">
      <c r="A19716" s="733">
        <v>45453</v>
      </c>
      <c r="B19716" s="40" t="s">
        <v>11717</v>
      </c>
      <c r="C19716" s="62" t="s">
        <v>11094</v>
      </c>
      <c r="D19716" s="107" t="s">
        <v>13227</v>
      </c>
      <c r="E19716" s="57">
        <v>25000</v>
      </c>
      <c r="F19716" s="57"/>
      <c r="G19716" s="125">
        <f t="shared" si="314"/>
        <v>-25000</v>
      </c>
      <c r="H19716" s="704" t="s">
        <v>13175</v>
      </c>
    </row>
    <row r="19717" spans="1:8" ht="15" x14ac:dyDescent="0.2">
      <c r="A19717" s="733">
        <v>45453</v>
      </c>
      <c r="B19717" s="40" t="s">
        <v>11874</v>
      </c>
      <c r="C19717" s="62" t="s">
        <v>5409</v>
      </c>
      <c r="D19717" s="107" t="s">
        <v>13251</v>
      </c>
      <c r="E19717" s="57">
        <v>8000</v>
      </c>
      <c r="F19717" s="57"/>
      <c r="G19717" s="125">
        <f t="shared" si="314"/>
        <v>-8000</v>
      </c>
      <c r="H19717" s="704" t="s">
        <v>13175</v>
      </c>
    </row>
    <row r="19718" spans="1:8" ht="15" x14ac:dyDescent="0.2">
      <c r="A19718" s="733">
        <v>45453</v>
      </c>
      <c r="B19718" s="40" t="s">
        <v>11077</v>
      </c>
      <c r="C19718" s="62" t="s">
        <v>13236</v>
      </c>
      <c r="D19718" s="107" t="s">
        <v>13237</v>
      </c>
      <c r="E19718" s="57">
        <v>10200</v>
      </c>
      <c r="F19718" s="57"/>
      <c r="G19718" s="125">
        <f t="shared" si="314"/>
        <v>-10200</v>
      </c>
      <c r="H19718" s="704" t="s">
        <v>13175</v>
      </c>
    </row>
    <row r="19719" spans="1:8" ht="15" x14ac:dyDescent="0.2">
      <c r="A19719" s="733">
        <v>45453</v>
      </c>
      <c r="B19719" s="40" t="s">
        <v>13182</v>
      </c>
      <c r="C19719" s="62" t="s">
        <v>5409</v>
      </c>
      <c r="D19719" s="107" t="s">
        <v>369</v>
      </c>
      <c r="E19719" s="57">
        <v>5000</v>
      </c>
      <c r="F19719" s="57"/>
      <c r="G19719" s="125">
        <f t="shared" si="314"/>
        <v>-5000</v>
      </c>
      <c r="H19719" s="704" t="s">
        <v>13175</v>
      </c>
    </row>
    <row r="19720" spans="1:8" ht="15" x14ac:dyDescent="0.2">
      <c r="A19720" s="733">
        <v>45453</v>
      </c>
      <c r="B19720" s="40" t="s">
        <v>11077</v>
      </c>
      <c r="C19720" s="669" t="s">
        <v>8391</v>
      </c>
      <c r="D19720" s="912" t="s">
        <v>13241</v>
      </c>
      <c r="E19720" s="584">
        <v>250000</v>
      </c>
      <c r="F19720" s="57"/>
      <c r="G19720" s="125">
        <f t="shared" si="314"/>
        <v>-250000</v>
      </c>
      <c r="H19720" s="704" t="s">
        <v>13175</v>
      </c>
    </row>
    <row r="19721" spans="1:8" ht="15" x14ac:dyDescent="0.2">
      <c r="A19721" s="733">
        <v>45453</v>
      </c>
      <c r="B19721" s="40" t="s">
        <v>11717</v>
      </c>
      <c r="C19721" s="669" t="s">
        <v>8391</v>
      </c>
      <c r="D19721" s="912" t="s">
        <v>13241</v>
      </c>
      <c r="E19721" s="584">
        <v>250000</v>
      </c>
      <c r="F19721" s="57"/>
      <c r="G19721" s="125">
        <f t="shared" si="314"/>
        <v>-250000</v>
      </c>
      <c r="H19721" s="704" t="s">
        <v>13175</v>
      </c>
    </row>
    <row r="19722" spans="1:8" ht="15" x14ac:dyDescent="0.2">
      <c r="A19722" s="733">
        <v>45454</v>
      </c>
      <c r="B19722" s="40" t="s">
        <v>13115</v>
      </c>
      <c r="C19722" s="62" t="s">
        <v>10981</v>
      </c>
      <c r="D19722" s="107" t="s">
        <v>13233</v>
      </c>
      <c r="E19722" s="57">
        <v>11300</v>
      </c>
      <c r="F19722" s="57"/>
      <c r="G19722" s="125">
        <f t="shared" si="314"/>
        <v>-11300</v>
      </c>
      <c r="H19722" s="704" t="s">
        <v>13175</v>
      </c>
    </row>
    <row r="19723" spans="1:8" ht="15" x14ac:dyDescent="0.2">
      <c r="A19723" s="733">
        <v>45454</v>
      </c>
      <c r="B19723" s="62" t="s">
        <v>13299</v>
      </c>
      <c r="C19723" s="62" t="s">
        <v>10981</v>
      </c>
      <c r="D19723" s="107" t="s">
        <v>13234</v>
      </c>
      <c r="E19723" s="57">
        <v>1700</v>
      </c>
      <c r="F19723" s="57"/>
      <c r="G19723" s="125">
        <f t="shared" si="314"/>
        <v>-1700</v>
      </c>
      <c r="H19723" s="704" t="s">
        <v>13175</v>
      </c>
    </row>
    <row r="19724" spans="1:8" ht="15" x14ac:dyDescent="0.2">
      <c r="A19724" s="733">
        <v>45454</v>
      </c>
      <c r="B19724" s="62" t="s">
        <v>13299</v>
      </c>
      <c r="C19724" s="62" t="s">
        <v>10981</v>
      </c>
      <c r="D19724" s="107" t="s">
        <v>13235</v>
      </c>
      <c r="E19724" s="57">
        <v>3860</v>
      </c>
      <c r="F19724" s="57"/>
      <c r="G19724" s="125">
        <f t="shared" si="314"/>
        <v>-3860</v>
      </c>
      <c r="H19724" s="704" t="s">
        <v>13175</v>
      </c>
    </row>
    <row r="19725" spans="1:8" ht="15" x14ac:dyDescent="0.2">
      <c r="A19725" s="733">
        <v>45454</v>
      </c>
      <c r="B19725" s="40" t="s">
        <v>11123</v>
      </c>
      <c r="C19725" s="669" t="s">
        <v>2189</v>
      </c>
      <c r="D19725" s="912" t="s">
        <v>13289</v>
      </c>
      <c r="E19725" s="584">
        <v>9000</v>
      </c>
      <c r="F19725" s="57"/>
      <c r="G19725" s="125">
        <f t="shared" si="314"/>
        <v>-9000</v>
      </c>
      <c r="H19725" s="704" t="s">
        <v>13175</v>
      </c>
    </row>
    <row r="19726" spans="1:8" ht="15" x14ac:dyDescent="0.2">
      <c r="A19726" s="733">
        <v>45454</v>
      </c>
      <c r="B19726" s="40" t="s">
        <v>12400</v>
      </c>
      <c r="C19726" s="669" t="s">
        <v>2189</v>
      </c>
      <c r="D19726" s="912" t="s">
        <v>13289</v>
      </c>
      <c r="E19726" s="584">
        <v>2000</v>
      </c>
      <c r="F19726" s="57"/>
      <c r="G19726" s="125">
        <f t="shared" si="314"/>
        <v>-2000</v>
      </c>
      <c r="H19726" s="704" t="s">
        <v>13175</v>
      </c>
    </row>
    <row r="19727" spans="1:8" ht="15" x14ac:dyDescent="0.2">
      <c r="A19727" s="733">
        <v>45454</v>
      </c>
      <c r="B19727" s="40" t="s">
        <v>13115</v>
      </c>
      <c r="C19727" s="669" t="s">
        <v>2189</v>
      </c>
      <c r="D19727" s="912" t="s">
        <v>13289</v>
      </c>
      <c r="E19727" s="584">
        <v>1000</v>
      </c>
      <c r="F19727" s="57"/>
      <c r="G19727" s="125">
        <f t="shared" si="314"/>
        <v>-1000</v>
      </c>
      <c r="H19727" s="704" t="s">
        <v>13175</v>
      </c>
    </row>
    <row r="19728" spans="1:8" ht="15" x14ac:dyDescent="0.2">
      <c r="A19728" s="733">
        <v>45454</v>
      </c>
      <c r="B19728" s="40" t="s">
        <v>13230</v>
      </c>
      <c r="C19728" s="669" t="s">
        <v>2189</v>
      </c>
      <c r="D19728" s="912" t="s">
        <v>13289</v>
      </c>
      <c r="E19728" s="584">
        <v>1000</v>
      </c>
      <c r="F19728" s="57"/>
      <c r="G19728" s="125">
        <f t="shared" si="314"/>
        <v>-1000</v>
      </c>
      <c r="H19728" s="704" t="s">
        <v>13175</v>
      </c>
    </row>
    <row r="19729" spans="1:8" ht="15" x14ac:dyDescent="0.2">
      <c r="A19729" s="733">
        <v>45454</v>
      </c>
      <c r="B19729" s="40" t="s">
        <v>103</v>
      </c>
      <c r="C19729" s="62" t="s">
        <v>103</v>
      </c>
      <c r="D19729" s="107" t="s">
        <v>10208</v>
      </c>
      <c r="E19729" s="57">
        <v>5000</v>
      </c>
      <c r="F19729" s="57"/>
      <c r="G19729" s="125">
        <f t="shared" si="314"/>
        <v>-5000</v>
      </c>
      <c r="H19729" s="704" t="s">
        <v>13175</v>
      </c>
    </row>
    <row r="19730" spans="1:8" ht="15" x14ac:dyDescent="0.2">
      <c r="A19730" s="733">
        <v>45454</v>
      </c>
      <c r="B19730" s="40" t="s">
        <v>11717</v>
      </c>
      <c r="C19730" s="62" t="s">
        <v>10981</v>
      </c>
      <c r="D19730" s="107" t="s">
        <v>13243</v>
      </c>
      <c r="E19730" s="57">
        <v>4380</v>
      </c>
      <c r="F19730" s="57"/>
      <c r="G19730" s="125">
        <f t="shared" si="314"/>
        <v>-4380</v>
      </c>
      <c r="H19730" s="704" t="s">
        <v>13175</v>
      </c>
    </row>
    <row r="19731" spans="1:8" ht="15" x14ac:dyDescent="0.2">
      <c r="A19731" s="733">
        <v>45454</v>
      </c>
      <c r="B19731" s="40" t="s">
        <v>25</v>
      </c>
      <c r="C19731" s="62" t="s">
        <v>2107</v>
      </c>
      <c r="D19731" s="107" t="s">
        <v>13244</v>
      </c>
      <c r="E19731" s="57">
        <v>5000</v>
      </c>
      <c r="F19731" s="57"/>
      <c r="G19731" s="125">
        <f t="shared" si="314"/>
        <v>-5000</v>
      </c>
      <c r="H19731" s="704" t="s">
        <v>13175</v>
      </c>
    </row>
    <row r="19732" spans="1:8" ht="15" x14ac:dyDescent="0.2">
      <c r="A19732" s="733">
        <v>45454</v>
      </c>
      <c r="B19732" s="40" t="s">
        <v>11717</v>
      </c>
      <c r="C19732" s="62" t="s">
        <v>10981</v>
      </c>
      <c r="D19732" s="107" t="s">
        <v>13243</v>
      </c>
      <c r="E19732" s="57">
        <v>1840</v>
      </c>
      <c r="F19732" s="57"/>
      <c r="G19732" s="125">
        <f t="shared" si="314"/>
        <v>-1840</v>
      </c>
      <c r="H19732" s="704" t="s">
        <v>13175</v>
      </c>
    </row>
    <row r="19733" spans="1:8" ht="15" x14ac:dyDescent="0.2">
      <c r="A19733" s="733">
        <v>45454</v>
      </c>
      <c r="B19733" s="40" t="s">
        <v>3945</v>
      </c>
      <c r="C19733" s="62" t="s">
        <v>10981</v>
      </c>
      <c r="D19733" s="107" t="s">
        <v>13261</v>
      </c>
      <c r="E19733" s="57">
        <v>10500</v>
      </c>
      <c r="F19733" s="57"/>
      <c r="G19733" s="125">
        <f t="shared" si="314"/>
        <v>-10500</v>
      </c>
      <c r="H19733" s="704" t="s">
        <v>13175</v>
      </c>
    </row>
    <row r="19734" spans="1:8" ht="15" x14ac:dyDescent="0.2">
      <c r="A19734" s="733">
        <v>45454</v>
      </c>
      <c r="B19734" s="40" t="s">
        <v>103</v>
      </c>
      <c r="C19734" s="62" t="s">
        <v>103</v>
      </c>
      <c r="D19734" s="107" t="s">
        <v>10208</v>
      </c>
      <c r="E19734" s="57">
        <v>3000</v>
      </c>
      <c r="F19734" s="57"/>
      <c r="G19734" s="125">
        <f t="shared" si="314"/>
        <v>-3000</v>
      </c>
      <c r="H19734" s="704" t="s">
        <v>13175</v>
      </c>
    </row>
    <row r="19735" spans="1:8" ht="15" x14ac:dyDescent="0.2">
      <c r="A19735" s="733">
        <v>45454</v>
      </c>
      <c r="B19735" s="40" t="s">
        <v>12340</v>
      </c>
      <c r="C19735" s="62" t="s">
        <v>10981</v>
      </c>
      <c r="D19735" s="107" t="s">
        <v>13262</v>
      </c>
      <c r="E19735" s="57">
        <v>40000</v>
      </c>
      <c r="F19735" s="57"/>
      <c r="G19735" s="125">
        <f t="shared" si="314"/>
        <v>-40000</v>
      </c>
      <c r="H19735" s="704" t="s">
        <v>13175</v>
      </c>
    </row>
    <row r="19736" spans="1:8" ht="15" x14ac:dyDescent="0.2">
      <c r="A19736" s="733">
        <v>45454</v>
      </c>
      <c r="B19736" s="40" t="s">
        <v>13115</v>
      </c>
      <c r="C19736" s="62" t="s">
        <v>13264</v>
      </c>
      <c r="D19736" s="107" t="s">
        <v>13265</v>
      </c>
      <c r="E19736" s="57">
        <v>200000</v>
      </c>
      <c r="F19736" s="57"/>
      <c r="G19736" s="125">
        <f t="shared" si="314"/>
        <v>-200000</v>
      </c>
      <c r="H19736" s="704" t="s">
        <v>13175</v>
      </c>
    </row>
    <row r="19737" spans="1:8" ht="15" x14ac:dyDescent="0.2">
      <c r="A19737" s="733">
        <v>45454</v>
      </c>
      <c r="B19737" s="40" t="s">
        <v>13115</v>
      </c>
      <c r="C19737" s="62" t="s">
        <v>13264</v>
      </c>
      <c r="D19737" s="107" t="s">
        <v>13265</v>
      </c>
      <c r="E19737" s="57">
        <v>200000</v>
      </c>
      <c r="F19737" s="57"/>
      <c r="G19737" s="125">
        <f t="shared" si="314"/>
        <v>-200000</v>
      </c>
      <c r="H19737" s="704" t="s">
        <v>13175</v>
      </c>
    </row>
    <row r="19738" spans="1:8" ht="15" x14ac:dyDescent="0.2">
      <c r="A19738" s="733">
        <v>45454</v>
      </c>
      <c r="B19738" s="40" t="s">
        <v>11717</v>
      </c>
      <c r="C19738" s="62" t="s">
        <v>13266</v>
      </c>
      <c r="D19738" s="107" t="s">
        <v>13263</v>
      </c>
      <c r="E19738" s="57">
        <v>200000</v>
      </c>
      <c r="F19738" s="57"/>
      <c r="G19738" s="125">
        <f t="shared" si="314"/>
        <v>-200000</v>
      </c>
      <c r="H19738" s="704" t="s">
        <v>13175</v>
      </c>
    </row>
    <row r="19739" spans="1:8" ht="15" x14ac:dyDescent="0.2">
      <c r="A19739" s="733">
        <v>45454</v>
      </c>
      <c r="B19739" s="583" t="s">
        <v>11077</v>
      </c>
      <c r="C19739" s="669" t="s">
        <v>6422</v>
      </c>
      <c r="D19739" s="912" t="s">
        <v>13267</v>
      </c>
      <c r="E19739" s="584">
        <v>65000</v>
      </c>
      <c r="F19739" s="57"/>
      <c r="G19739" s="125">
        <f t="shared" si="314"/>
        <v>-65000</v>
      </c>
      <c r="H19739" s="704" t="s">
        <v>13175</v>
      </c>
    </row>
    <row r="19740" spans="1:8" ht="15" x14ac:dyDescent="0.2">
      <c r="A19740" s="733">
        <v>45454</v>
      </c>
      <c r="B19740" s="583" t="s">
        <v>13005</v>
      </c>
      <c r="C19740" s="669" t="s">
        <v>6422</v>
      </c>
      <c r="D19740" s="912" t="s">
        <v>13267</v>
      </c>
      <c r="E19740" s="584">
        <v>35000</v>
      </c>
      <c r="F19740" s="57"/>
      <c r="G19740" s="125">
        <f t="shared" si="314"/>
        <v>-35000</v>
      </c>
      <c r="H19740" s="704" t="s">
        <v>13175</v>
      </c>
    </row>
    <row r="19741" spans="1:8" ht="15" x14ac:dyDescent="0.2">
      <c r="A19741" s="733">
        <v>45454</v>
      </c>
      <c r="B19741" s="62" t="s">
        <v>13299</v>
      </c>
      <c r="C19741" s="62" t="s">
        <v>13268</v>
      </c>
      <c r="D19741" s="107" t="s">
        <v>13269</v>
      </c>
      <c r="E19741" s="57">
        <v>193760</v>
      </c>
      <c r="F19741" s="57"/>
      <c r="G19741" s="125">
        <f t="shared" si="314"/>
        <v>-193760</v>
      </c>
      <c r="H19741" s="704" t="s">
        <v>13175</v>
      </c>
    </row>
    <row r="19742" spans="1:8" ht="15" x14ac:dyDescent="0.2">
      <c r="A19742" s="733">
        <v>45454</v>
      </c>
      <c r="B19742" s="40" t="s">
        <v>12684</v>
      </c>
      <c r="C19742" s="62" t="s">
        <v>6584</v>
      </c>
      <c r="D19742" s="107" t="s">
        <v>13270</v>
      </c>
      <c r="E19742" s="57">
        <v>300000</v>
      </c>
      <c r="F19742" s="57"/>
      <c r="G19742" s="125">
        <f t="shared" si="314"/>
        <v>-300000</v>
      </c>
      <c r="H19742" s="704" t="s">
        <v>13175</v>
      </c>
    </row>
    <row r="19743" spans="1:8" ht="15" x14ac:dyDescent="0.2">
      <c r="A19743" s="733">
        <v>45454</v>
      </c>
      <c r="B19743" s="40" t="s">
        <v>12400</v>
      </c>
      <c r="C19743" s="62" t="s">
        <v>11098</v>
      </c>
      <c r="D19743" s="107" t="s">
        <v>13271</v>
      </c>
      <c r="E19743" s="57">
        <v>2000000</v>
      </c>
      <c r="F19743" s="57"/>
      <c r="G19743" s="125">
        <f t="shared" si="314"/>
        <v>-2000000</v>
      </c>
      <c r="H19743" s="704" t="s">
        <v>13175</v>
      </c>
    </row>
    <row r="19744" spans="1:8" ht="15" x14ac:dyDescent="0.2">
      <c r="A19744" s="733">
        <v>45454</v>
      </c>
      <c r="B19744" s="40" t="s">
        <v>12340</v>
      </c>
      <c r="C19744" s="62" t="s">
        <v>11415</v>
      </c>
      <c r="D19744" s="107" t="s">
        <v>10718</v>
      </c>
      <c r="E19744" s="57">
        <v>100000</v>
      </c>
      <c r="F19744" s="57"/>
      <c r="G19744" s="125">
        <f t="shared" si="314"/>
        <v>-100000</v>
      </c>
      <c r="H19744" s="704" t="s">
        <v>13175</v>
      </c>
    </row>
    <row r="19745" spans="1:8" ht="15" x14ac:dyDescent="0.2">
      <c r="A19745" s="733">
        <v>45455</v>
      </c>
      <c r="B19745" s="40" t="s">
        <v>11077</v>
      </c>
      <c r="C19745" s="62" t="s">
        <v>5740</v>
      </c>
      <c r="D19745" s="107" t="s">
        <v>369</v>
      </c>
      <c r="E19745" s="57">
        <v>1200</v>
      </c>
      <c r="F19745" s="57"/>
      <c r="G19745" s="125">
        <f t="shared" si="314"/>
        <v>-1200</v>
      </c>
      <c r="H19745" s="704" t="s">
        <v>13175</v>
      </c>
    </row>
    <row r="19746" spans="1:8" ht="15" x14ac:dyDescent="0.2">
      <c r="A19746" s="733">
        <v>45455</v>
      </c>
      <c r="B19746" s="40" t="s">
        <v>103</v>
      </c>
      <c r="C19746" s="62" t="s">
        <v>103</v>
      </c>
      <c r="D19746" s="107" t="s">
        <v>10208</v>
      </c>
      <c r="E19746" s="57">
        <v>5000</v>
      </c>
      <c r="F19746" s="57"/>
      <c r="G19746" s="125">
        <f t="shared" si="314"/>
        <v>-5000</v>
      </c>
      <c r="H19746" s="704" t="s">
        <v>13175</v>
      </c>
    </row>
    <row r="19747" spans="1:8" ht="15" x14ac:dyDescent="0.2">
      <c r="A19747" s="733">
        <v>45455</v>
      </c>
      <c r="B19747" s="40" t="s">
        <v>12400</v>
      </c>
      <c r="C19747" s="62" t="s">
        <v>12004</v>
      </c>
      <c r="D19747" s="107" t="s">
        <v>10718</v>
      </c>
      <c r="E19747" s="57">
        <v>300000</v>
      </c>
      <c r="F19747" s="57"/>
      <c r="G19747" s="125">
        <f t="shared" si="314"/>
        <v>-300000</v>
      </c>
      <c r="H19747" s="704" t="s">
        <v>13175</v>
      </c>
    </row>
    <row r="19748" spans="1:8" ht="15" x14ac:dyDescent="0.2">
      <c r="A19748" s="733">
        <v>45455</v>
      </c>
      <c r="B19748" s="40" t="s">
        <v>11874</v>
      </c>
      <c r="C19748" s="62" t="s">
        <v>10897</v>
      </c>
      <c r="D19748" s="107" t="s">
        <v>13272</v>
      </c>
      <c r="E19748" s="57">
        <v>80000</v>
      </c>
      <c r="F19748" s="57"/>
      <c r="G19748" s="125">
        <f t="shared" si="314"/>
        <v>-80000</v>
      </c>
      <c r="H19748" s="704" t="s">
        <v>13175</v>
      </c>
    </row>
    <row r="19749" spans="1:8" ht="15" x14ac:dyDescent="0.2">
      <c r="A19749" s="733">
        <v>45456</v>
      </c>
      <c r="B19749" s="40" t="s">
        <v>11717</v>
      </c>
      <c r="C19749" s="62" t="s">
        <v>5740</v>
      </c>
      <c r="D19749" s="107" t="s">
        <v>369</v>
      </c>
      <c r="E19749" s="57">
        <v>800</v>
      </c>
      <c r="F19749" s="57"/>
      <c r="G19749" s="125">
        <f t="shared" si="314"/>
        <v>-800</v>
      </c>
      <c r="H19749" s="704" t="s">
        <v>13175</v>
      </c>
    </row>
    <row r="19750" spans="1:8" ht="15" x14ac:dyDescent="0.2">
      <c r="A19750" s="733">
        <v>45456</v>
      </c>
      <c r="B19750" s="40" t="s">
        <v>12684</v>
      </c>
      <c r="C19750" s="62" t="s">
        <v>6584</v>
      </c>
      <c r="D19750" s="107" t="s">
        <v>13270</v>
      </c>
      <c r="E19750" s="57">
        <v>200000</v>
      </c>
      <c r="F19750" s="57"/>
      <c r="G19750" s="125">
        <f t="shared" si="314"/>
        <v>-200000</v>
      </c>
      <c r="H19750" s="704" t="s">
        <v>13175</v>
      </c>
    </row>
    <row r="19751" spans="1:8" ht="15" x14ac:dyDescent="0.2">
      <c r="A19751" s="733">
        <v>45456</v>
      </c>
      <c r="B19751" s="40" t="s">
        <v>8873</v>
      </c>
      <c r="C19751" s="62" t="s">
        <v>13275</v>
      </c>
      <c r="D19751" s="107" t="s">
        <v>6925</v>
      </c>
      <c r="E19751" s="57">
        <v>150000</v>
      </c>
      <c r="F19751" s="57"/>
      <c r="G19751" s="125">
        <f t="shared" si="314"/>
        <v>-150000</v>
      </c>
      <c r="H19751" s="704" t="s">
        <v>13175</v>
      </c>
    </row>
    <row r="19752" spans="1:8" ht="15" x14ac:dyDescent="0.2">
      <c r="A19752" s="733">
        <v>45456</v>
      </c>
      <c r="B19752" s="40" t="s">
        <v>13115</v>
      </c>
      <c r="C19752" s="62" t="s">
        <v>5740</v>
      </c>
      <c r="D19752" s="107" t="s">
        <v>13276</v>
      </c>
      <c r="E19752" s="57">
        <v>5000</v>
      </c>
      <c r="F19752" s="57"/>
      <c r="G19752" s="125">
        <f t="shared" si="314"/>
        <v>-5000</v>
      </c>
      <c r="H19752" s="704" t="s">
        <v>13175</v>
      </c>
    </row>
    <row r="19753" spans="1:8" ht="15" x14ac:dyDescent="0.2">
      <c r="A19753" s="733">
        <v>45456</v>
      </c>
      <c r="B19753" s="40" t="s">
        <v>3945</v>
      </c>
      <c r="C19753" s="62" t="s">
        <v>13167</v>
      </c>
      <c r="D19753" s="107" t="s">
        <v>13277</v>
      </c>
      <c r="E19753" s="57">
        <v>150000</v>
      </c>
      <c r="F19753" s="57"/>
      <c r="G19753" s="125">
        <f t="shared" si="314"/>
        <v>-150000</v>
      </c>
      <c r="H19753" s="704" t="s">
        <v>13175</v>
      </c>
    </row>
    <row r="19754" spans="1:8" ht="15" x14ac:dyDescent="0.2">
      <c r="A19754" s="733">
        <v>45456</v>
      </c>
      <c r="B19754" s="40" t="s">
        <v>11874</v>
      </c>
      <c r="C19754" s="62" t="s">
        <v>13278</v>
      </c>
      <c r="D19754" s="107" t="s">
        <v>1156</v>
      </c>
      <c r="E19754" s="57">
        <v>250000</v>
      </c>
      <c r="F19754" s="57"/>
      <c r="G19754" s="125">
        <f t="shared" si="314"/>
        <v>-250000</v>
      </c>
      <c r="H19754" s="704" t="s">
        <v>13175</v>
      </c>
    </row>
    <row r="19755" spans="1:8" ht="15" x14ac:dyDescent="0.2">
      <c r="A19755" s="733">
        <v>45456</v>
      </c>
      <c r="B19755" s="40" t="s">
        <v>10176</v>
      </c>
      <c r="C19755" s="62" t="s">
        <v>13279</v>
      </c>
      <c r="D19755" s="107" t="s">
        <v>13314</v>
      </c>
      <c r="E19755" s="57">
        <v>12500</v>
      </c>
      <c r="F19755" s="57"/>
      <c r="G19755" s="125">
        <f t="shared" si="314"/>
        <v>-12500</v>
      </c>
      <c r="H19755" s="704" t="s">
        <v>13175</v>
      </c>
    </row>
    <row r="19756" spans="1:8" ht="15" x14ac:dyDescent="0.2">
      <c r="A19756" s="733">
        <v>45456</v>
      </c>
      <c r="B19756" s="40" t="s">
        <v>13115</v>
      </c>
      <c r="C19756" s="62" t="s">
        <v>11279</v>
      </c>
      <c r="D19756" s="107" t="s">
        <v>1156</v>
      </c>
      <c r="E19756" s="57">
        <v>120000</v>
      </c>
      <c r="F19756" s="57"/>
      <c r="G19756" s="125">
        <f t="shared" si="314"/>
        <v>-120000</v>
      </c>
      <c r="H19756" s="704" t="s">
        <v>13175</v>
      </c>
    </row>
    <row r="19757" spans="1:8" ht="15" x14ac:dyDescent="0.2">
      <c r="A19757" s="733">
        <v>45456</v>
      </c>
      <c r="B19757" s="40" t="s">
        <v>12400</v>
      </c>
      <c r="C19757" s="62" t="s">
        <v>669</v>
      </c>
      <c r="D19757" s="107" t="s">
        <v>13280</v>
      </c>
      <c r="E19757" s="57">
        <v>54400</v>
      </c>
      <c r="F19757" s="57"/>
      <c r="G19757" s="125">
        <f t="shared" si="314"/>
        <v>-54400</v>
      </c>
      <c r="H19757" s="704" t="s">
        <v>13175</v>
      </c>
    </row>
    <row r="19758" spans="1:8" ht="15" x14ac:dyDescent="0.2">
      <c r="A19758" s="733">
        <v>45456</v>
      </c>
      <c r="B19758" s="40" t="s">
        <v>11874</v>
      </c>
      <c r="C19758" s="62" t="s">
        <v>7465</v>
      </c>
      <c r="D19758" s="107" t="s">
        <v>13281</v>
      </c>
      <c r="E19758" s="57">
        <v>500000</v>
      </c>
      <c r="F19758" s="57"/>
      <c r="G19758" s="125">
        <f t="shared" si="314"/>
        <v>-500000</v>
      </c>
      <c r="H19758" s="704" t="s">
        <v>13175</v>
      </c>
    </row>
    <row r="19759" spans="1:8" ht="15" x14ac:dyDescent="0.2">
      <c r="A19759" s="733">
        <v>45456</v>
      </c>
      <c r="B19759" s="40" t="s">
        <v>10176</v>
      </c>
      <c r="C19759" s="669" t="s">
        <v>378</v>
      </c>
      <c r="D19759" s="912" t="s">
        <v>13283</v>
      </c>
      <c r="E19759" s="584">
        <v>7183</v>
      </c>
      <c r="F19759" s="57"/>
      <c r="G19759" s="125">
        <f t="shared" si="314"/>
        <v>-7183</v>
      </c>
      <c r="H19759" s="704" t="s">
        <v>13175</v>
      </c>
    </row>
    <row r="19760" spans="1:8" ht="15" x14ac:dyDescent="0.2">
      <c r="A19760" s="733">
        <v>45456</v>
      </c>
      <c r="B19760" s="40" t="s">
        <v>6503</v>
      </c>
      <c r="C19760" s="669" t="s">
        <v>378</v>
      </c>
      <c r="D19760" s="912" t="s">
        <v>13283</v>
      </c>
      <c r="E19760" s="584">
        <v>9034</v>
      </c>
      <c r="F19760" s="57"/>
      <c r="G19760" s="125">
        <f t="shared" si="314"/>
        <v>-9034</v>
      </c>
      <c r="H19760" s="704" t="s">
        <v>13175</v>
      </c>
    </row>
    <row r="19761" spans="1:8" ht="15" x14ac:dyDescent="0.2">
      <c r="A19761" s="733">
        <v>45456</v>
      </c>
      <c r="B19761" s="40" t="s">
        <v>8556</v>
      </c>
      <c r="C19761" s="669" t="s">
        <v>378</v>
      </c>
      <c r="D19761" s="912" t="s">
        <v>13283</v>
      </c>
      <c r="E19761" s="584">
        <v>5194</v>
      </c>
      <c r="F19761" s="57"/>
      <c r="G19761" s="125">
        <f t="shared" si="314"/>
        <v>-5194</v>
      </c>
      <c r="H19761" s="704" t="s">
        <v>13175</v>
      </c>
    </row>
    <row r="19762" spans="1:8" ht="15" x14ac:dyDescent="0.2">
      <c r="A19762" s="733">
        <v>45456</v>
      </c>
      <c r="B19762" s="40" t="s">
        <v>11077</v>
      </c>
      <c r="C19762" s="669" t="s">
        <v>378</v>
      </c>
      <c r="D19762" s="912" t="s">
        <v>13283</v>
      </c>
      <c r="E19762" s="584">
        <v>81179</v>
      </c>
      <c r="F19762" s="57"/>
      <c r="G19762" s="125">
        <f t="shared" si="314"/>
        <v>-81179</v>
      </c>
      <c r="H19762" s="704" t="s">
        <v>13175</v>
      </c>
    </row>
    <row r="19763" spans="1:8" ht="15" x14ac:dyDescent="0.2">
      <c r="A19763" s="733">
        <v>45456</v>
      </c>
      <c r="B19763" s="40" t="s">
        <v>10229</v>
      </c>
      <c r="C19763" s="669" t="s">
        <v>378</v>
      </c>
      <c r="D19763" s="912" t="s">
        <v>13283</v>
      </c>
      <c r="E19763" s="584">
        <v>21030</v>
      </c>
      <c r="F19763" s="57"/>
      <c r="G19763" s="125">
        <f t="shared" si="314"/>
        <v>-21030</v>
      </c>
      <c r="H19763" s="704" t="s">
        <v>13175</v>
      </c>
    </row>
    <row r="19764" spans="1:8" ht="15" x14ac:dyDescent="0.2">
      <c r="A19764" s="733">
        <v>45456</v>
      </c>
      <c r="B19764" s="40" t="s">
        <v>10899</v>
      </c>
      <c r="C19764" s="669" t="s">
        <v>378</v>
      </c>
      <c r="D19764" s="912" t="s">
        <v>13283</v>
      </c>
      <c r="E19764" s="584">
        <v>5434</v>
      </c>
      <c r="F19764" s="57"/>
      <c r="G19764" s="125">
        <f t="shared" si="314"/>
        <v>-5434</v>
      </c>
      <c r="H19764" s="704" t="s">
        <v>13175</v>
      </c>
    </row>
    <row r="19765" spans="1:8" ht="15" x14ac:dyDescent="0.2">
      <c r="A19765" s="733">
        <v>45456</v>
      </c>
      <c r="B19765" s="40" t="s">
        <v>11596</v>
      </c>
      <c r="C19765" s="669" t="s">
        <v>378</v>
      </c>
      <c r="D19765" s="912" t="s">
        <v>13283</v>
      </c>
      <c r="E19765" s="584">
        <v>10407</v>
      </c>
      <c r="F19765" s="57"/>
      <c r="G19765" s="125">
        <f t="shared" si="314"/>
        <v>-10407</v>
      </c>
      <c r="H19765" s="704" t="s">
        <v>13175</v>
      </c>
    </row>
    <row r="19766" spans="1:8" ht="15" x14ac:dyDescent="0.2">
      <c r="A19766" s="733">
        <v>45456</v>
      </c>
      <c r="B19766" s="40" t="s">
        <v>11498</v>
      </c>
      <c r="C19766" s="669" t="s">
        <v>378</v>
      </c>
      <c r="D19766" s="912" t="s">
        <v>13283</v>
      </c>
      <c r="E19766" s="584">
        <v>43136</v>
      </c>
      <c r="F19766" s="57"/>
      <c r="G19766" s="125">
        <f t="shared" si="314"/>
        <v>-43136</v>
      </c>
      <c r="H19766" s="704" t="s">
        <v>13175</v>
      </c>
    </row>
    <row r="19767" spans="1:8" ht="15" x14ac:dyDescent="0.2">
      <c r="A19767" s="733">
        <v>45456</v>
      </c>
      <c r="B19767" s="40" t="s">
        <v>12182</v>
      </c>
      <c r="C19767" s="669" t="s">
        <v>378</v>
      </c>
      <c r="D19767" s="912" t="s">
        <v>13283</v>
      </c>
      <c r="E19767" s="584">
        <v>2016</v>
      </c>
      <c r="F19767" s="57"/>
      <c r="G19767" s="125">
        <f t="shared" si="314"/>
        <v>-2016</v>
      </c>
      <c r="H19767" s="704" t="s">
        <v>13175</v>
      </c>
    </row>
    <row r="19768" spans="1:8" ht="15" x14ac:dyDescent="0.2">
      <c r="A19768" s="733">
        <v>45456</v>
      </c>
      <c r="B19768" s="40" t="s">
        <v>12400</v>
      </c>
      <c r="C19768" s="669" t="s">
        <v>378</v>
      </c>
      <c r="D19768" s="912" t="s">
        <v>13283</v>
      </c>
      <c r="E19768" s="584">
        <v>387</v>
      </c>
      <c r="F19768" s="57"/>
      <c r="G19768" s="125">
        <f t="shared" si="314"/>
        <v>-387</v>
      </c>
      <c r="H19768" s="704" t="s">
        <v>13175</v>
      </c>
    </row>
    <row r="19769" spans="1:8" ht="15" x14ac:dyDescent="0.2">
      <c r="A19769" s="733">
        <v>45457</v>
      </c>
      <c r="B19769" s="40" t="s">
        <v>3945</v>
      </c>
      <c r="C19769" s="62" t="s">
        <v>13167</v>
      </c>
      <c r="D19769" s="107" t="s">
        <v>13284</v>
      </c>
      <c r="E19769" s="57">
        <v>50000</v>
      </c>
      <c r="F19769" s="57"/>
      <c r="G19769" s="125">
        <f t="shared" si="314"/>
        <v>-50000</v>
      </c>
      <c r="H19769" s="704" t="s">
        <v>13175</v>
      </c>
    </row>
    <row r="19770" spans="1:8" ht="15" x14ac:dyDescent="0.2">
      <c r="A19770" s="733">
        <v>45457</v>
      </c>
      <c r="B19770" s="40" t="s">
        <v>13115</v>
      </c>
      <c r="C19770" s="62" t="s">
        <v>391</v>
      </c>
      <c r="D19770" s="107" t="s">
        <v>13285</v>
      </c>
      <c r="E19770" s="57">
        <v>600</v>
      </c>
      <c r="F19770" s="57"/>
      <c r="G19770" s="125">
        <f t="shared" si="314"/>
        <v>-600</v>
      </c>
      <c r="H19770" s="704" t="s">
        <v>13175</v>
      </c>
    </row>
    <row r="19771" spans="1:8" ht="15" x14ac:dyDescent="0.2">
      <c r="A19771" s="733">
        <v>45457</v>
      </c>
      <c r="B19771" s="40" t="s">
        <v>12400</v>
      </c>
      <c r="C19771" s="62" t="s">
        <v>9868</v>
      </c>
      <c r="D19771" s="107" t="s">
        <v>13287</v>
      </c>
      <c r="E19771" s="57">
        <v>215140</v>
      </c>
      <c r="F19771" s="57"/>
      <c r="G19771" s="125">
        <f t="shared" si="314"/>
        <v>-215140</v>
      </c>
      <c r="H19771" s="704" t="s">
        <v>13175</v>
      </c>
    </row>
    <row r="19772" spans="1:8" ht="15" x14ac:dyDescent="0.2">
      <c r="A19772" s="733">
        <v>45457</v>
      </c>
      <c r="B19772" s="40" t="s">
        <v>3945</v>
      </c>
      <c r="C19772" s="62" t="s">
        <v>12836</v>
      </c>
      <c r="D19772" s="107" t="s">
        <v>13286</v>
      </c>
      <c r="E19772" s="57">
        <v>30000</v>
      </c>
      <c r="F19772" s="57"/>
      <c r="G19772" s="125">
        <f t="shared" si="314"/>
        <v>-30000</v>
      </c>
      <c r="H19772" s="704" t="s">
        <v>13175</v>
      </c>
    </row>
    <row r="19773" spans="1:8" ht="15" x14ac:dyDescent="0.2">
      <c r="A19773" s="733">
        <v>45457</v>
      </c>
      <c r="B19773" s="40" t="s">
        <v>12400</v>
      </c>
      <c r="C19773" s="62" t="s">
        <v>13291</v>
      </c>
      <c r="D19773" s="107" t="s">
        <v>13292</v>
      </c>
      <c r="E19773" s="57">
        <v>52000</v>
      </c>
      <c r="F19773" s="57"/>
      <c r="G19773" s="125">
        <f t="shared" si="314"/>
        <v>-52000</v>
      </c>
      <c r="H19773" s="704" t="s">
        <v>13175</v>
      </c>
    </row>
    <row r="19774" spans="1:8" ht="15" x14ac:dyDescent="0.2">
      <c r="A19774" s="733">
        <v>45457</v>
      </c>
      <c r="B19774" s="40" t="s">
        <v>103</v>
      </c>
      <c r="C19774" s="62" t="s">
        <v>103</v>
      </c>
      <c r="D19774" s="107" t="s">
        <v>10208</v>
      </c>
      <c r="E19774" s="57">
        <v>4000</v>
      </c>
      <c r="F19774" s="57"/>
      <c r="G19774" s="125">
        <f t="shared" si="314"/>
        <v>-4000</v>
      </c>
      <c r="H19774" s="704" t="s">
        <v>13175</v>
      </c>
    </row>
    <row r="19775" spans="1:8" ht="15" customHeight="1" x14ac:dyDescent="0.2">
      <c r="A19775" s="733">
        <v>45457</v>
      </c>
      <c r="B19775" s="40" t="s">
        <v>13115</v>
      </c>
      <c r="C19775" s="62" t="s">
        <v>285</v>
      </c>
      <c r="D19775" s="107" t="s">
        <v>8482</v>
      </c>
      <c r="E19775" s="57">
        <v>500</v>
      </c>
      <c r="F19775" s="57"/>
      <c r="G19775" s="125">
        <f t="shared" ref="G19775:G19839" si="315">F19775-E19775</f>
        <v>-500</v>
      </c>
      <c r="H19775" s="704" t="s">
        <v>13175</v>
      </c>
    </row>
    <row r="19776" spans="1:8" ht="15" x14ac:dyDescent="0.2">
      <c r="A19776" s="733">
        <v>45457</v>
      </c>
      <c r="B19776" s="40" t="s">
        <v>10229</v>
      </c>
      <c r="C19776" s="62" t="s">
        <v>2189</v>
      </c>
      <c r="D19776" s="107" t="s">
        <v>1156</v>
      </c>
      <c r="E19776" s="57">
        <v>10000</v>
      </c>
      <c r="F19776" s="57"/>
      <c r="G19776" s="125">
        <f t="shared" si="315"/>
        <v>-10000</v>
      </c>
      <c r="H19776" s="704" t="s">
        <v>13175</v>
      </c>
    </row>
    <row r="19777" spans="1:8" ht="15" x14ac:dyDescent="0.2">
      <c r="A19777" s="733">
        <v>45457</v>
      </c>
      <c r="B19777" s="40" t="s">
        <v>25</v>
      </c>
      <c r="C19777" s="62" t="s">
        <v>8148</v>
      </c>
      <c r="D19777" s="107" t="s">
        <v>6342</v>
      </c>
      <c r="E19777" s="57">
        <v>3090</v>
      </c>
      <c r="F19777" s="57"/>
      <c r="G19777" s="125">
        <f t="shared" si="315"/>
        <v>-3090</v>
      </c>
      <c r="H19777" s="704" t="s">
        <v>13175</v>
      </c>
    </row>
    <row r="19778" spans="1:8" ht="15" x14ac:dyDescent="0.2">
      <c r="A19778" s="733">
        <v>45457</v>
      </c>
      <c r="B19778" s="40" t="s">
        <v>103</v>
      </c>
      <c r="C19778" s="62" t="s">
        <v>8148</v>
      </c>
      <c r="D19778" s="107" t="s">
        <v>6342</v>
      </c>
      <c r="E19778" s="57">
        <v>9435</v>
      </c>
      <c r="F19778" s="57"/>
      <c r="G19778" s="125">
        <f t="shared" si="315"/>
        <v>-9435</v>
      </c>
      <c r="H19778" s="704" t="s">
        <v>13175</v>
      </c>
    </row>
    <row r="19779" spans="1:8" ht="15" x14ac:dyDescent="0.2">
      <c r="A19779" s="733">
        <v>45457</v>
      </c>
      <c r="B19779" s="40" t="s">
        <v>11077</v>
      </c>
      <c r="C19779" s="62" t="s">
        <v>6782</v>
      </c>
      <c r="D19779" s="107" t="s">
        <v>1156</v>
      </c>
      <c r="E19779" s="57">
        <v>250000</v>
      </c>
      <c r="F19779" s="57"/>
      <c r="G19779" s="125">
        <f t="shared" si="315"/>
        <v>-250000</v>
      </c>
      <c r="H19779" s="704" t="s">
        <v>13175</v>
      </c>
    </row>
    <row r="19780" spans="1:8" ht="15" x14ac:dyDescent="0.2">
      <c r="A19780" s="733">
        <v>45457</v>
      </c>
      <c r="B19780" s="40" t="s">
        <v>25</v>
      </c>
      <c r="C19780" s="62" t="s">
        <v>2427</v>
      </c>
      <c r="D19780" s="107" t="s">
        <v>13484</v>
      </c>
      <c r="E19780" s="57">
        <v>98000</v>
      </c>
      <c r="F19780" s="57"/>
      <c r="G19780" s="125">
        <f t="shared" si="315"/>
        <v>-98000</v>
      </c>
      <c r="H19780" s="704" t="s">
        <v>13175</v>
      </c>
    </row>
    <row r="19781" spans="1:8" ht="15" x14ac:dyDescent="0.2">
      <c r="A19781" s="733">
        <v>45458</v>
      </c>
      <c r="B19781" s="40" t="s">
        <v>6503</v>
      </c>
      <c r="C19781" s="62" t="s">
        <v>13294</v>
      </c>
      <c r="D19781" s="107" t="s">
        <v>1156</v>
      </c>
      <c r="E19781" s="57">
        <v>22000</v>
      </c>
      <c r="F19781" s="57"/>
      <c r="G19781" s="125">
        <f t="shared" si="315"/>
        <v>-22000</v>
      </c>
      <c r="H19781" s="704" t="s">
        <v>13175</v>
      </c>
    </row>
    <row r="19782" spans="1:8" ht="15" x14ac:dyDescent="0.2">
      <c r="A19782" s="733">
        <v>45458</v>
      </c>
      <c r="B19782" s="40" t="s">
        <v>11077</v>
      </c>
      <c r="C19782" s="62" t="s">
        <v>13294</v>
      </c>
      <c r="D19782" s="107" t="s">
        <v>1156</v>
      </c>
      <c r="E19782" s="57">
        <v>43600</v>
      </c>
      <c r="F19782" s="57"/>
      <c r="G19782" s="125">
        <f t="shared" si="315"/>
        <v>-43600</v>
      </c>
      <c r="H19782" s="704" t="s">
        <v>13175</v>
      </c>
    </row>
    <row r="19783" spans="1:8" ht="15" x14ac:dyDescent="0.2">
      <c r="A19783" s="733">
        <v>45458</v>
      </c>
      <c r="B19783" s="40" t="s">
        <v>12684</v>
      </c>
      <c r="C19783" s="62" t="s">
        <v>5386</v>
      </c>
      <c r="D19783" s="107" t="s">
        <v>13295</v>
      </c>
      <c r="E19783" s="57">
        <v>20000</v>
      </c>
      <c r="F19783" s="57"/>
      <c r="G19783" s="125">
        <f t="shared" si="315"/>
        <v>-20000</v>
      </c>
      <c r="H19783" s="704" t="s">
        <v>13175</v>
      </c>
    </row>
    <row r="19784" spans="1:8" ht="15" x14ac:dyDescent="0.2">
      <c r="A19784" s="733">
        <v>45458</v>
      </c>
      <c r="B19784" s="40" t="s">
        <v>3945</v>
      </c>
      <c r="C19784" s="62" t="s">
        <v>10981</v>
      </c>
      <c r="D19784" s="107" t="s">
        <v>13306</v>
      </c>
      <c r="E19784" s="57">
        <v>5000</v>
      </c>
      <c r="F19784" s="57"/>
      <c r="G19784" s="125">
        <f t="shared" si="315"/>
        <v>-5000</v>
      </c>
      <c r="H19784" s="704" t="s">
        <v>13175</v>
      </c>
    </row>
    <row r="19785" spans="1:8" ht="15" x14ac:dyDescent="0.2">
      <c r="A19785" s="733">
        <v>45458</v>
      </c>
      <c r="B19785" s="40" t="s">
        <v>3945</v>
      </c>
      <c r="C19785" s="62" t="s">
        <v>13307</v>
      </c>
      <c r="D19785" s="107" t="s">
        <v>13308</v>
      </c>
      <c r="E19785" s="57">
        <v>20000</v>
      </c>
      <c r="F19785" s="57"/>
      <c r="G19785" s="125">
        <f t="shared" si="315"/>
        <v>-20000</v>
      </c>
      <c r="H19785" s="704" t="s">
        <v>13175</v>
      </c>
    </row>
    <row r="19786" spans="1:8" ht="15" customHeight="1" x14ac:dyDescent="0.2">
      <c r="A19786" s="733">
        <v>45458</v>
      </c>
      <c r="B19786" s="40" t="s">
        <v>103</v>
      </c>
      <c r="C19786" s="62" t="s">
        <v>103</v>
      </c>
      <c r="D19786" s="107" t="s">
        <v>10208</v>
      </c>
      <c r="E19786" s="57">
        <v>2000</v>
      </c>
      <c r="F19786" s="57"/>
      <c r="G19786" s="125">
        <f t="shared" si="315"/>
        <v>-2000</v>
      </c>
      <c r="H19786" s="704" t="s">
        <v>13175</v>
      </c>
    </row>
    <row r="19787" spans="1:8" ht="15" customHeight="1" x14ac:dyDescent="0.2">
      <c r="A19787" s="733">
        <v>45463</v>
      </c>
      <c r="B19787" s="40" t="s">
        <v>103</v>
      </c>
      <c r="C19787" s="62" t="s">
        <v>103</v>
      </c>
      <c r="D19787" s="107" t="s">
        <v>10208</v>
      </c>
      <c r="E19787" s="57">
        <v>3000</v>
      </c>
      <c r="F19787" s="57"/>
      <c r="G19787" s="125">
        <f t="shared" si="315"/>
        <v>-3000</v>
      </c>
      <c r="H19787" s="704" t="s">
        <v>13175</v>
      </c>
    </row>
    <row r="19788" spans="1:8" ht="15" x14ac:dyDescent="0.2">
      <c r="A19788" s="733">
        <v>45463</v>
      </c>
      <c r="B19788" s="40" t="s">
        <v>37</v>
      </c>
      <c r="C19788" s="62" t="s">
        <v>5740</v>
      </c>
      <c r="D19788" s="107" t="s">
        <v>13309</v>
      </c>
      <c r="E19788" s="57">
        <v>300</v>
      </c>
      <c r="F19788" s="57"/>
      <c r="G19788" s="125">
        <f t="shared" si="315"/>
        <v>-300</v>
      </c>
      <c r="H19788" s="704" t="s">
        <v>13175</v>
      </c>
    </row>
    <row r="19789" spans="1:8" ht="15" x14ac:dyDescent="0.2">
      <c r="A19789" s="733">
        <v>45463</v>
      </c>
      <c r="B19789" s="1071" t="s">
        <v>12607</v>
      </c>
      <c r="C19789" s="1049" t="s">
        <v>793</v>
      </c>
      <c r="D19789" s="1072" t="s">
        <v>13310</v>
      </c>
      <c r="E19789" s="1073">
        <v>7060</v>
      </c>
      <c r="F19789" s="57"/>
      <c r="G19789" s="125">
        <f t="shared" si="315"/>
        <v>-7060</v>
      </c>
      <c r="H19789" s="704" t="s">
        <v>13175</v>
      </c>
    </row>
    <row r="19790" spans="1:8" ht="15" customHeight="1" x14ac:dyDescent="0.2">
      <c r="A19790" s="733">
        <v>45463</v>
      </c>
      <c r="B19790" s="40" t="s">
        <v>10898</v>
      </c>
      <c r="C19790" s="62" t="s">
        <v>8230</v>
      </c>
      <c r="D19790" s="107" t="s">
        <v>13311</v>
      </c>
      <c r="E19790" s="57">
        <v>11850</v>
      </c>
      <c r="F19790" s="57"/>
      <c r="G19790" s="125">
        <f t="shared" si="315"/>
        <v>-11850</v>
      </c>
      <c r="H19790" s="704" t="s">
        <v>13175</v>
      </c>
    </row>
    <row r="19791" spans="1:8" ht="15" x14ac:dyDescent="0.2">
      <c r="A19791" s="733">
        <v>45463</v>
      </c>
      <c r="B19791" s="40" t="s">
        <v>12400</v>
      </c>
      <c r="C19791" s="62" t="s">
        <v>5740</v>
      </c>
      <c r="D19791" s="107" t="s">
        <v>369</v>
      </c>
      <c r="E19791" s="57">
        <v>230</v>
      </c>
      <c r="F19791" s="57"/>
      <c r="G19791" s="125">
        <f t="shared" si="315"/>
        <v>-230</v>
      </c>
      <c r="H19791" s="704" t="s">
        <v>13175</v>
      </c>
    </row>
    <row r="19792" spans="1:8" ht="15" x14ac:dyDescent="0.2">
      <c r="A19792" s="733">
        <v>45464</v>
      </c>
      <c r="B19792" s="40" t="s">
        <v>103</v>
      </c>
      <c r="C19792" s="62" t="s">
        <v>103</v>
      </c>
      <c r="D19792" s="107" t="s">
        <v>10208</v>
      </c>
      <c r="E19792" s="57">
        <v>4000</v>
      </c>
      <c r="F19792" s="57"/>
      <c r="G19792" s="125">
        <f t="shared" si="315"/>
        <v>-4000</v>
      </c>
      <c r="H19792" s="704" t="s">
        <v>13175</v>
      </c>
    </row>
    <row r="19793" spans="1:8" ht="15" x14ac:dyDescent="0.2">
      <c r="A19793" s="733">
        <v>45464</v>
      </c>
      <c r="B19793" s="40" t="s">
        <v>6503</v>
      </c>
      <c r="C19793" s="62" t="s">
        <v>13312</v>
      </c>
      <c r="D19793" s="107" t="s">
        <v>13313</v>
      </c>
      <c r="E19793" s="57">
        <v>29210</v>
      </c>
      <c r="F19793" s="57"/>
      <c r="G19793" s="125">
        <f t="shared" si="315"/>
        <v>-29210</v>
      </c>
      <c r="H19793" s="704" t="s">
        <v>13175</v>
      </c>
    </row>
    <row r="19794" spans="1:8" ht="15" x14ac:dyDescent="0.2">
      <c r="A19794" s="733">
        <v>45464</v>
      </c>
      <c r="B19794" s="40" t="s">
        <v>11874</v>
      </c>
      <c r="C19794" s="62" t="s">
        <v>5740</v>
      </c>
      <c r="D19794" s="107" t="s">
        <v>369</v>
      </c>
      <c r="E19794" s="57">
        <v>450</v>
      </c>
      <c r="F19794" s="57"/>
      <c r="G19794" s="125">
        <f t="shared" si="315"/>
        <v>-450</v>
      </c>
      <c r="H19794" s="704" t="s">
        <v>13175</v>
      </c>
    </row>
    <row r="19795" spans="1:8" ht="15" x14ac:dyDescent="0.2">
      <c r="A19795" s="733">
        <v>45464</v>
      </c>
      <c r="B19795" s="40" t="s">
        <v>13115</v>
      </c>
      <c r="C19795" s="62" t="s">
        <v>11545</v>
      </c>
      <c r="D19795" s="107" t="s">
        <v>13317</v>
      </c>
      <c r="E19795" s="57">
        <v>23000</v>
      </c>
      <c r="F19795" s="57"/>
      <c r="G19795" s="125">
        <f t="shared" si="315"/>
        <v>-23000</v>
      </c>
      <c r="H19795" s="704" t="s">
        <v>13175</v>
      </c>
    </row>
    <row r="19796" spans="1:8" ht="15" customHeight="1" x14ac:dyDescent="0.2">
      <c r="A19796" s="733">
        <v>45464</v>
      </c>
      <c r="B19796" s="40" t="s">
        <v>13260</v>
      </c>
      <c r="C19796" s="62" t="s">
        <v>391</v>
      </c>
      <c r="D19796" s="107" t="s">
        <v>13321</v>
      </c>
      <c r="E19796" s="57">
        <v>1500</v>
      </c>
      <c r="F19796" s="57"/>
      <c r="G19796" s="125">
        <f t="shared" si="315"/>
        <v>-1500</v>
      </c>
      <c r="H19796" s="704" t="s">
        <v>13175</v>
      </c>
    </row>
    <row r="19797" spans="1:8" ht="15" customHeight="1" x14ac:dyDescent="0.2">
      <c r="A19797" s="733">
        <v>45465</v>
      </c>
      <c r="B19797" s="40" t="s">
        <v>11874</v>
      </c>
      <c r="C19797" s="62" t="s">
        <v>5740</v>
      </c>
      <c r="D19797" s="107" t="s">
        <v>1156</v>
      </c>
      <c r="E19797" s="57">
        <v>1600</v>
      </c>
      <c r="F19797" s="57"/>
      <c r="G19797" s="125">
        <f t="shared" si="315"/>
        <v>-1600</v>
      </c>
      <c r="H19797" s="704" t="s">
        <v>13175</v>
      </c>
    </row>
    <row r="19798" spans="1:8" ht="15" customHeight="1" x14ac:dyDescent="0.2">
      <c r="A19798" s="733">
        <v>45465</v>
      </c>
      <c r="B19798" s="40" t="s">
        <v>12400</v>
      </c>
      <c r="C19798" s="62" t="s">
        <v>5740</v>
      </c>
      <c r="D19798" s="107" t="s">
        <v>1156</v>
      </c>
      <c r="E19798" s="57">
        <v>2700</v>
      </c>
      <c r="F19798" s="57"/>
      <c r="G19798" s="125">
        <f t="shared" si="315"/>
        <v>-2700</v>
      </c>
      <c r="H19798" s="704" t="s">
        <v>13175</v>
      </c>
    </row>
    <row r="19799" spans="1:8" ht="15" customHeight="1" x14ac:dyDescent="0.2">
      <c r="A19799" s="733">
        <v>45465</v>
      </c>
      <c r="B19799" s="40" t="s">
        <v>13319</v>
      </c>
      <c r="C19799" s="62" t="s">
        <v>10981</v>
      </c>
      <c r="D19799" s="107" t="s">
        <v>13318</v>
      </c>
      <c r="E19799" s="57">
        <v>10000</v>
      </c>
      <c r="F19799" s="57"/>
      <c r="G19799" s="125">
        <f t="shared" si="315"/>
        <v>-10000</v>
      </c>
      <c r="H19799" s="704" t="s">
        <v>13175</v>
      </c>
    </row>
    <row r="19800" spans="1:8" ht="15" customHeight="1" x14ac:dyDescent="0.2">
      <c r="A19800" s="733">
        <v>45465</v>
      </c>
      <c r="B19800" s="40" t="s">
        <v>103</v>
      </c>
      <c r="C19800" s="62" t="s">
        <v>103</v>
      </c>
      <c r="D19800" s="107" t="s">
        <v>10208</v>
      </c>
      <c r="E19800" s="57">
        <v>4000</v>
      </c>
      <c r="F19800" s="57"/>
      <c r="G19800" s="125">
        <f t="shared" si="315"/>
        <v>-4000</v>
      </c>
      <c r="H19800" s="704" t="s">
        <v>13175</v>
      </c>
    </row>
    <row r="19801" spans="1:8" ht="15" customHeight="1" x14ac:dyDescent="0.2">
      <c r="A19801" s="733">
        <v>45465</v>
      </c>
      <c r="B19801" s="40" t="s">
        <v>13115</v>
      </c>
      <c r="C19801" s="62" t="s">
        <v>5740</v>
      </c>
      <c r="D19801" s="107" t="s">
        <v>369</v>
      </c>
      <c r="E19801" s="57">
        <v>2000</v>
      </c>
      <c r="F19801" s="57"/>
      <c r="G19801" s="125">
        <f t="shared" si="315"/>
        <v>-2000</v>
      </c>
      <c r="H19801" s="704" t="s">
        <v>13175</v>
      </c>
    </row>
    <row r="19802" spans="1:8" ht="15" customHeight="1" x14ac:dyDescent="0.2">
      <c r="A19802" s="733">
        <v>45465</v>
      </c>
      <c r="B19802" s="40" t="s">
        <v>13115</v>
      </c>
      <c r="C19802" s="62" t="s">
        <v>5386</v>
      </c>
      <c r="D19802" s="107" t="s">
        <v>369</v>
      </c>
      <c r="E19802" s="57">
        <v>13000</v>
      </c>
      <c r="F19802" s="57"/>
      <c r="G19802" s="125">
        <f t="shared" si="315"/>
        <v>-13000</v>
      </c>
      <c r="H19802" s="704" t="s">
        <v>13175</v>
      </c>
    </row>
    <row r="19803" spans="1:8" ht="15" customHeight="1" x14ac:dyDescent="0.2">
      <c r="A19803" s="733">
        <v>45465</v>
      </c>
      <c r="B19803" s="40" t="s">
        <v>13115</v>
      </c>
      <c r="C19803" s="62" t="s">
        <v>285</v>
      </c>
      <c r="D19803" s="107" t="s">
        <v>8660</v>
      </c>
      <c r="E19803" s="57">
        <v>1000</v>
      </c>
      <c r="F19803" s="57"/>
      <c r="G19803" s="125">
        <f t="shared" si="315"/>
        <v>-1000</v>
      </c>
      <c r="H19803" s="704" t="s">
        <v>13175</v>
      </c>
    </row>
    <row r="19804" spans="1:8" ht="15" customHeight="1" x14ac:dyDescent="0.2">
      <c r="A19804" s="733">
        <v>45467</v>
      </c>
      <c r="B19804" s="40" t="s">
        <v>13322</v>
      </c>
      <c r="C19804" s="62" t="s">
        <v>391</v>
      </c>
      <c r="D19804" s="107" t="s">
        <v>13323</v>
      </c>
      <c r="E19804" s="57">
        <v>1000</v>
      </c>
      <c r="F19804" s="57"/>
      <c r="G19804" s="125">
        <f t="shared" si="315"/>
        <v>-1000</v>
      </c>
      <c r="H19804" s="704" t="s">
        <v>13175</v>
      </c>
    </row>
    <row r="19805" spans="1:8" ht="15" customHeight="1" x14ac:dyDescent="0.2">
      <c r="A19805" s="733">
        <v>45467</v>
      </c>
      <c r="B19805" s="40" t="s">
        <v>12400</v>
      </c>
      <c r="C19805" s="62" t="s">
        <v>391</v>
      </c>
      <c r="D19805" s="107" t="s">
        <v>13324</v>
      </c>
      <c r="E19805" s="57">
        <v>1300</v>
      </c>
      <c r="F19805" s="57"/>
      <c r="G19805" s="125">
        <f t="shared" si="315"/>
        <v>-1300</v>
      </c>
      <c r="H19805" s="704" t="s">
        <v>13175</v>
      </c>
    </row>
    <row r="19806" spans="1:8" ht="15" customHeight="1" x14ac:dyDescent="0.2">
      <c r="A19806" s="733">
        <v>45467</v>
      </c>
      <c r="B19806" s="40" t="s">
        <v>11874</v>
      </c>
      <c r="C19806" s="62" t="s">
        <v>10981</v>
      </c>
      <c r="D19806" s="107" t="s">
        <v>13325</v>
      </c>
      <c r="E19806" s="57">
        <v>17500</v>
      </c>
      <c r="F19806" s="57"/>
      <c r="G19806" s="125">
        <f t="shared" si="315"/>
        <v>-17500</v>
      </c>
      <c r="H19806" s="704" t="s">
        <v>13175</v>
      </c>
    </row>
    <row r="19807" spans="1:8" ht="15" customHeight="1" x14ac:dyDescent="0.2">
      <c r="A19807" s="733">
        <v>45467</v>
      </c>
      <c r="B19807" s="40" t="s">
        <v>103</v>
      </c>
      <c r="C19807" s="62" t="s">
        <v>103</v>
      </c>
      <c r="D19807" s="107" t="s">
        <v>10208</v>
      </c>
      <c r="E19807" s="57">
        <v>5000</v>
      </c>
      <c r="F19807" s="57"/>
      <c r="G19807" s="125">
        <f t="shared" si="315"/>
        <v>-5000</v>
      </c>
      <c r="H19807" s="704" t="s">
        <v>13175</v>
      </c>
    </row>
    <row r="19808" spans="1:8" ht="15" customHeight="1" x14ac:dyDescent="0.2">
      <c r="A19808" s="733">
        <v>45467</v>
      </c>
      <c r="B19808" s="40" t="s">
        <v>12400</v>
      </c>
      <c r="C19808" s="62" t="s">
        <v>5740</v>
      </c>
      <c r="D19808" s="107" t="s">
        <v>369</v>
      </c>
      <c r="E19808" s="57">
        <v>270</v>
      </c>
      <c r="F19808" s="57"/>
      <c r="G19808" s="125">
        <f t="shared" si="315"/>
        <v>-270</v>
      </c>
      <c r="H19808" s="704" t="s">
        <v>13175</v>
      </c>
    </row>
    <row r="19809" spans="1:8" ht="15" x14ac:dyDescent="0.2">
      <c r="A19809" s="733">
        <v>45467</v>
      </c>
      <c r="B19809" s="40" t="s">
        <v>13322</v>
      </c>
      <c r="C19809" s="62" t="s">
        <v>5740</v>
      </c>
      <c r="D19809" s="107" t="s">
        <v>369</v>
      </c>
      <c r="E19809" s="57">
        <v>400</v>
      </c>
      <c r="F19809" s="57"/>
      <c r="G19809" s="125">
        <f t="shared" si="315"/>
        <v>-400</v>
      </c>
      <c r="H19809" s="704" t="s">
        <v>13175</v>
      </c>
    </row>
    <row r="19810" spans="1:8" ht="15" x14ac:dyDescent="0.2">
      <c r="A19810" s="733">
        <v>45467</v>
      </c>
      <c r="B19810" s="40" t="s">
        <v>12400</v>
      </c>
      <c r="C19810" s="62" t="s">
        <v>5740</v>
      </c>
      <c r="D19810" s="107" t="s">
        <v>369</v>
      </c>
      <c r="E19810" s="57">
        <v>1500</v>
      </c>
      <c r="F19810" s="57"/>
      <c r="G19810" s="125">
        <f t="shared" si="315"/>
        <v>-1500</v>
      </c>
      <c r="H19810" s="704" t="s">
        <v>13175</v>
      </c>
    </row>
    <row r="19811" spans="1:8" ht="15" x14ac:dyDescent="0.2">
      <c r="A19811" s="733">
        <v>45467</v>
      </c>
      <c r="B19811" s="40" t="s">
        <v>12607</v>
      </c>
      <c r="C19811" s="62" t="s">
        <v>10981</v>
      </c>
      <c r="D19811" s="107" t="s">
        <v>13327</v>
      </c>
      <c r="E19811" s="57">
        <v>210000</v>
      </c>
      <c r="F19811" s="57"/>
      <c r="G19811" s="125">
        <f t="shared" si="315"/>
        <v>-210000</v>
      </c>
      <c r="H19811" s="704" t="s">
        <v>13175</v>
      </c>
    </row>
    <row r="19812" spans="1:8" ht="15" x14ac:dyDescent="0.2">
      <c r="A19812" s="733">
        <v>45467</v>
      </c>
      <c r="B19812" s="40" t="s">
        <v>12400</v>
      </c>
      <c r="C19812" s="550" t="s">
        <v>10981</v>
      </c>
      <c r="D19812" s="892" t="s">
        <v>13328</v>
      </c>
      <c r="E19812" s="582">
        <v>237000</v>
      </c>
      <c r="F19812" s="57"/>
      <c r="G19812" s="125">
        <f t="shared" si="315"/>
        <v>-237000</v>
      </c>
      <c r="H19812" s="704" t="s">
        <v>13175</v>
      </c>
    </row>
    <row r="19813" spans="1:8" ht="15" x14ac:dyDescent="0.2">
      <c r="A19813" s="733">
        <v>45467</v>
      </c>
      <c r="B19813" s="40" t="s">
        <v>13115</v>
      </c>
      <c r="C19813" s="550" t="s">
        <v>10981</v>
      </c>
      <c r="D19813" s="892" t="s">
        <v>13328</v>
      </c>
      <c r="E19813" s="582">
        <v>237000</v>
      </c>
      <c r="F19813" s="57"/>
      <c r="G19813" s="125">
        <f t="shared" si="315"/>
        <v>-237000</v>
      </c>
      <c r="H19813" s="704" t="s">
        <v>13175</v>
      </c>
    </row>
    <row r="19814" spans="1:8" ht="15" x14ac:dyDescent="0.2">
      <c r="A19814" s="733">
        <v>45467</v>
      </c>
      <c r="B19814" s="40" t="s">
        <v>13260</v>
      </c>
      <c r="C19814" s="62" t="s">
        <v>8069</v>
      </c>
      <c r="D19814" s="107" t="s">
        <v>13326</v>
      </c>
      <c r="E19814" s="57">
        <v>50000</v>
      </c>
      <c r="F19814" s="57"/>
      <c r="G19814" s="125">
        <f t="shared" si="315"/>
        <v>-50000</v>
      </c>
      <c r="H19814" s="704" t="s">
        <v>13175</v>
      </c>
    </row>
    <row r="19815" spans="1:8" ht="15" x14ac:dyDescent="0.2">
      <c r="A19815" s="733">
        <v>45467</v>
      </c>
      <c r="B19815" s="40" t="s">
        <v>11874</v>
      </c>
      <c r="C19815" s="62" t="s">
        <v>391</v>
      </c>
      <c r="D19815" s="107" t="s">
        <v>4308</v>
      </c>
      <c r="E19815" s="57">
        <v>3800</v>
      </c>
      <c r="F19815" s="57"/>
      <c r="G19815" s="125">
        <f t="shared" si="315"/>
        <v>-3800</v>
      </c>
      <c r="H19815" s="704" t="s">
        <v>13175</v>
      </c>
    </row>
    <row r="19816" spans="1:8" ht="15" x14ac:dyDescent="0.2">
      <c r="A19816" s="733">
        <v>45467</v>
      </c>
      <c r="B19816" s="40" t="s">
        <v>25</v>
      </c>
      <c r="C19816" s="550" t="s">
        <v>8148</v>
      </c>
      <c r="D19816" s="892" t="s">
        <v>13368</v>
      </c>
      <c r="E19816" s="582">
        <f>29062+82316</f>
        <v>111378</v>
      </c>
      <c r="F19816" s="57"/>
      <c r="G19816" s="125">
        <f t="shared" si="315"/>
        <v>-111378</v>
      </c>
      <c r="H19816" s="704" t="s">
        <v>13175</v>
      </c>
    </row>
    <row r="19817" spans="1:8" ht="15" x14ac:dyDescent="0.2">
      <c r="A19817" s="733">
        <v>45467</v>
      </c>
      <c r="B19817" s="40" t="s">
        <v>103</v>
      </c>
      <c r="C19817" s="550" t="s">
        <v>8148</v>
      </c>
      <c r="D19817" s="892" t="s">
        <v>13368</v>
      </c>
      <c r="E19817" s="582">
        <f>70704+2874</f>
        <v>73578</v>
      </c>
      <c r="F19817" s="57"/>
      <c r="G19817" s="125">
        <f t="shared" si="315"/>
        <v>-73578</v>
      </c>
      <c r="H19817" s="704" t="s">
        <v>13175</v>
      </c>
    </row>
    <row r="19818" spans="1:8" ht="15" x14ac:dyDescent="0.2">
      <c r="A19818" s="733">
        <v>45468</v>
      </c>
      <c r="B19818" s="40" t="s">
        <v>12400</v>
      </c>
      <c r="C19818" s="62" t="s">
        <v>2189</v>
      </c>
      <c r="D19818" s="107" t="s">
        <v>1156</v>
      </c>
      <c r="E19818" s="57">
        <v>15000</v>
      </c>
      <c r="F19818" s="57"/>
      <c r="G19818" s="125">
        <f t="shared" si="315"/>
        <v>-15000</v>
      </c>
      <c r="H19818" s="704" t="s">
        <v>13175</v>
      </c>
    </row>
    <row r="19819" spans="1:8" ht="15" x14ac:dyDescent="0.2">
      <c r="A19819" s="733">
        <v>45468</v>
      </c>
      <c r="B19819" s="40" t="s">
        <v>13115</v>
      </c>
      <c r="C19819" s="62" t="s">
        <v>10981</v>
      </c>
      <c r="D19819" s="107" t="s">
        <v>13332</v>
      </c>
      <c r="E19819" s="57">
        <v>25600</v>
      </c>
      <c r="F19819" s="57"/>
      <c r="G19819" s="125">
        <f t="shared" si="315"/>
        <v>-25600</v>
      </c>
      <c r="H19819" s="704" t="s">
        <v>13175</v>
      </c>
    </row>
    <row r="19820" spans="1:8" ht="15" x14ac:dyDescent="0.2">
      <c r="A19820" s="733">
        <v>45468</v>
      </c>
      <c r="B19820" s="40" t="s">
        <v>13115</v>
      </c>
      <c r="C19820" s="62" t="s">
        <v>10981</v>
      </c>
      <c r="D19820" s="107" t="s">
        <v>13333</v>
      </c>
      <c r="E19820" s="57">
        <v>42000</v>
      </c>
      <c r="F19820" s="57"/>
      <c r="G19820" s="125">
        <f t="shared" si="315"/>
        <v>-42000</v>
      </c>
      <c r="H19820" s="704" t="s">
        <v>13175</v>
      </c>
    </row>
    <row r="19821" spans="1:8" ht="15" x14ac:dyDescent="0.2">
      <c r="A19821" s="733">
        <v>45468</v>
      </c>
      <c r="B19821" s="40" t="s">
        <v>103</v>
      </c>
      <c r="C19821" s="62" t="s">
        <v>103</v>
      </c>
      <c r="D19821" s="107" t="s">
        <v>10208</v>
      </c>
      <c r="E19821" s="57">
        <v>4000</v>
      </c>
      <c r="F19821" s="57"/>
      <c r="G19821" s="125">
        <f t="shared" si="315"/>
        <v>-4000</v>
      </c>
      <c r="H19821" s="704" t="s">
        <v>13175</v>
      </c>
    </row>
    <row r="19822" spans="1:8" ht="15" x14ac:dyDescent="0.2">
      <c r="A19822" s="733">
        <v>45468</v>
      </c>
      <c r="B19822" s="40" t="s">
        <v>12607</v>
      </c>
      <c r="C19822" s="62" t="s">
        <v>3103</v>
      </c>
      <c r="D19822" s="107" t="s">
        <v>7777</v>
      </c>
      <c r="E19822" s="57">
        <v>100000</v>
      </c>
      <c r="F19822" s="57"/>
      <c r="G19822" s="125">
        <f t="shared" si="315"/>
        <v>-100000</v>
      </c>
      <c r="H19822" s="704" t="s">
        <v>13175</v>
      </c>
    </row>
    <row r="19823" spans="1:8" ht="15" x14ac:dyDescent="0.2">
      <c r="A19823" s="733">
        <v>45468</v>
      </c>
      <c r="B19823" s="40" t="s">
        <v>11874</v>
      </c>
      <c r="C19823" s="62" t="s">
        <v>8369</v>
      </c>
      <c r="D19823" s="107" t="s">
        <v>13334</v>
      </c>
      <c r="E19823" s="57">
        <v>8000</v>
      </c>
      <c r="F19823" s="57"/>
      <c r="G19823" s="125">
        <f t="shared" si="315"/>
        <v>-8000</v>
      </c>
      <c r="H19823" s="704" t="s">
        <v>13175</v>
      </c>
    </row>
    <row r="19824" spans="1:8" ht="15" x14ac:dyDescent="0.2">
      <c r="A19824" s="733">
        <v>45468</v>
      </c>
      <c r="B19824" s="40" t="s">
        <v>13115</v>
      </c>
      <c r="C19824" s="62" t="s">
        <v>13335</v>
      </c>
      <c r="D19824" s="107" t="s">
        <v>13336</v>
      </c>
      <c r="E19824" s="57">
        <v>34000</v>
      </c>
      <c r="F19824" s="57"/>
      <c r="G19824" s="125">
        <f t="shared" si="315"/>
        <v>-34000</v>
      </c>
      <c r="H19824" s="704" t="s">
        <v>13175</v>
      </c>
    </row>
    <row r="19825" spans="1:8" ht="15" x14ac:dyDescent="0.2">
      <c r="A19825" s="733">
        <v>45468</v>
      </c>
      <c r="B19825" s="40" t="s">
        <v>13115</v>
      </c>
      <c r="C19825" s="62" t="s">
        <v>10981</v>
      </c>
      <c r="D19825" s="107" t="s">
        <v>13337</v>
      </c>
      <c r="E19825" s="57">
        <v>1000</v>
      </c>
      <c r="F19825" s="57"/>
      <c r="G19825" s="125">
        <f t="shared" si="315"/>
        <v>-1000</v>
      </c>
      <c r="H19825" s="704" t="s">
        <v>13175</v>
      </c>
    </row>
    <row r="19826" spans="1:8" ht="15" x14ac:dyDescent="0.2">
      <c r="A19826" s="733">
        <v>45468</v>
      </c>
      <c r="B19826" s="40" t="s">
        <v>12607</v>
      </c>
      <c r="C19826" s="62" t="s">
        <v>13338</v>
      </c>
      <c r="D19826" s="107" t="s">
        <v>13339</v>
      </c>
      <c r="E19826" s="57">
        <v>70000</v>
      </c>
      <c r="F19826" s="57"/>
      <c r="G19826" s="125">
        <f t="shared" si="315"/>
        <v>-70000</v>
      </c>
      <c r="H19826" s="704" t="s">
        <v>13175</v>
      </c>
    </row>
    <row r="19827" spans="1:8" ht="15" x14ac:dyDescent="0.2">
      <c r="A19827" s="733">
        <v>45468</v>
      </c>
      <c r="B19827" s="40" t="s">
        <v>13299</v>
      </c>
      <c r="C19827" s="62" t="s">
        <v>11442</v>
      </c>
      <c r="D19827" s="107" t="s">
        <v>13340</v>
      </c>
      <c r="E19827" s="57">
        <v>187340</v>
      </c>
      <c r="F19827" s="57"/>
      <c r="G19827" s="125">
        <f t="shared" si="315"/>
        <v>-187340</v>
      </c>
      <c r="H19827" s="704" t="s">
        <v>13175</v>
      </c>
    </row>
    <row r="19828" spans="1:8" ht="15" x14ac:dyDescent="0.2">
      <c r="A19828" s="733">
        <v>45468</v>
      </c>
      <c r="B19828" s="40" t="s">
        <v>13230</v>
      </c>
      <c r="C19828" s="62" t="s">
        <v>8089</v>
      </c>
      <c r="D19828" s="107" t="s">
        <v>13346</v>
      </c>
      <c r="E19828" s="57">
        <v>2000000</v>
      </c>
      <c r="F19828" s="57"/>
      <c r="G19828" s="125">
        <f t="shared" si="315"/>
        <v>-2000000</v>
      </c>
      <c r="H19828" s="704" t="s">
        <v>13175</v>
      </c>
    </row>
    <row r="19829" spans="1:8" ht="15" x14ac:dyDescent="0.2">
      <c r="A19829" s="733">
        <v>45468</v>
      </c>
      <c r="B19829" s="40" t="s">
        <v>13319</v>
      </c>
      <c r="C19829" s="62" t="s">
        <v>10981</v>
      </c>
      <c r="D19829" s="107" t="s">
        <v>13527</v>
      </c>
      <c r="E19829" s="57">
        <v>20000</v>
      </c>
      <c r="F19829" s="57"/>
      <c r="G19829" s="125">
        <f t="shared" si="315"/>
        <v>-20000</v>
      </c>
      <c r="H19829" s="704" t="s">
        <v>13175</v>
      </c>
    </row>
    <row r="19830" spans="1:8" ht="15" customHeight="1" x14ac:dyDescent="0.2">
      <c r="A19830" s="733">
        <v>45469</v>
      </c>
      <c r="B19830" s="40" t="s">
        <v>13115</v>
      </c>
      <c r="C19830" s="62" t="s">
        <v>5740</v>
      </c>
      <c r="D19830" s="107" t="s">
        <v>1156</v>
      </c>
      <c r="E19830" s="57">
        <v>3200</v>
      </c>
      <c r="F19830" s="57"/>
      <c r="G19830" s="125">
        <f t="shared" si="315"/>
        <v>-3200</v>
      </c>
      <c r="H19830" s="704" t="s">
        <v>13175</v>
      </c>
    </row>
    <row r="19831" spans="1:8" ht="15" customHeight="1" x14ac:dyDescent="0.2">
      <c r="A19831" s="733">
        <v>45469</v>
      </c>
      <c r="B19831" s="40" t="s">
        <v>13115</v>
      </c>
      <c r="C19831" s="62" t="s">
        <v>10981</v>
      </c>
      <c r="D19831" s="107" t="s">
        <v>13341</v>
      </c>
      <c r="E19831" s="57">
        <v>7050</v>
      </c>
      <c r="F19831" s="57"/>
      <c r="G19831" s="125">
        <f t="shared" si="315"/>
        <v>-7050</v>
      </c>
      <c r="H19831" s="704" t="s">
        <v>13175</v>
      </c>
    </row>
    <row r="19832" spans="1:8" ht="15" customHeight="1" x14ac:dyDescent="0.2">
      <c r="A19832" s="733">
        <v>45469</v>
      </c>
      <c r="B19832" s="40" t="s">
        <v>103</v>
      </c>
      <c r="C19832" s="62" t="s">
        <v>103</v>
      </c>
      <c r="D19832" s="107" t="s">
        <v>10208</v>
      </c>
      <c r="E19832" s="57">
        <v>3000</v>
      </c>
      <c r="F19832" s="57"/>
      <c r="G19832" s="125">
        <f t="shared" si="315"/>
        <v>-3000</v>
      </c>
      <c r="H19832" s="704" t="s">
        <v>13175</v>
      </c>
    </row>
    <row r="19833" spans="1:8" ht="15" x14ac:dyDescent="0.2">
      <c r="A19833" s="733">
        <v>45469</v>
      </c>
      <c r="B19833" s="40" t="s">
        <v>103</v>
      </c>
      <c r="C19833" s="62" t="s">
        <v>10981</v>
      </c>
      <c r="D19833" s="107" t="s">
        <v>13342</v>
      </c>
      <c r="E19833" s="57">
        <v>4280</v>
      </c>
      <c r="F19833" s="57"/>
      <c r="G19833" s="125">
        <f t="shared" si="315"/>
        <v>-4280</v>
      </c>
      <c r="H19833" s="704" t="s">
        <v>13175</v>
      </c>
    </row>
    <row r="19834" spans="1:8" ht="15" x14ac:dyDescent="0.2">
      <c r="A19834" s="733">
        <v>45469</v>
      </c>
      <c r="B19834" s="40" t="s">
        <v>13115</v>
      </c>
      <c r="C19834" s="669" t="s">
        <v>13343</v>
      </c>
      <c r="D19834" s="912" t="s">
        <v>13344</v>
      </c>
      <c r="E19834" s="584">
        <v>30000</v>
      </c>
      <c r="F19834" s="57"/>
      <c r="G19834" s="125">
        <f t="shared" si="315"/>
        <v>-30000</v>
      </c>
      <c r="H19834" s="704" t="s">
        <v>13175</v>
      </c>
    </row>
    <row r="19835" spans="1:8" ht="15" x14ac:dyDescent="0.2">
      <c r="A19835" s="733">
        <v>45469</v>
      </c>
      <c r="B19835" s="40" t="s">
        <v>12400</v>
      </c>
      <c r="C19835" s="669" t="s">
        <v>13343</v>
      </c>
      <c r="D19835" s="912" t="s">
        <v>13344</v>
      </c>
      <c r="E19835" s="584">
        <v>30000</v>
      </c>
      <c r="F19835" s="57"/>
      <c r="G19835" s="125">
        <f t="shared" si="315"/>
        <v>-30000</v>
      </c>
      <c r="H19835" s="704" t="s">
        <v>13175</v>
      </c>
    </row>
    <row r="19836" spans="1:8" ht="15" x14ac:dyDescent="0.2">
      <c r="A19836" s="733">
        <v>45469</v>
      </c>
      <c r="B19836" s="40" t="s">
        <v>11874</v>
      </c>
      <c r="C19836" s="62" t="s">
        <v>8230</v>
      </c>
      <c r="D19836" s="107" t="s">
        <v>13345</v>
      </c>
      <c r="E19836" s="57">
        <v>44000</v>
      </c>
      <c r="F19836" s="57"/>
      <c r="G19836" s="125">
        <f t="shared" si="315"/>
        <v>-44000</v>
      </c>
      <c r="H19836" s="704" t="s">
        <v>13175</v>
      </c>
    </row>
    <row r="19837" spans="1:8" ht="15" x14ac:dyDescent="0.2">
      <c r="A19837" s="733">
        <v>45469</v>
      </c>
      <c r="B19837" s="40" t="s">
        <v>12400</v>
      </c>
      <c r="C19837" s="62" t="s">
        <v>285</v>
      </c>
      <c r="D19837" s="107" t="s">
        <v>9892</v>
      </c>
      <c r="E19837" s="57">
        <v>500</v>
      </c>
      <c r="F19837" s="57"/>
      <c r="G19837" s="125">
        <f t="shared" si="315"/>
        <v>-500</v>
      </c>
      <c r="H19837" s="704" t="s">
        <v>13175</v>
      </c>
    </row>
    <row r="19838" spans="1:8" ht="15" x14ac:dyDescent="0.2">
      <c r="A19838" s="733">
        <v>45469</v>
      </c>
      <c r="B19838" s="40" t="s">
        <v>103</v>
      </c>
      <c r="C19838" s="62" t="s">
        <v>103</v>
      </c>
      <c r="D19838" s="107" t="s">
        <v>10208</v>
      </c>
      <c r="E19838" s="57">
        <v>4000</v>
      </c>
      <c r="F19838" s="57"/>
      <c r="G19838" s="125">
        <f t="shared" si="315"/>
        <v>-4000</v>
      </c>
      <c r="H19838" s="704" t="s">
        <v>13175</v>
      </c>
    </row>
    <row r="19839" spans="1:8" ht="15" x14ac:dyDescent="0.2">
      <c r="A19839" s="733">
        <v>45469</v>
      </c>
      <c r="B19839" s="40" t="s">
        <v>12400</v>
      </c>
      <c r="C19839" s="62" t="s">
        <v>12004</v>
      </c>
      <c r="D19839" s="107" t="s">
        <v>13352</v>
      </c>
      <c r="E19839" s="57">
        <v>500000</v>
      </c>
      <c r="F19839" s="57"/>
      <c r="G19839" s="125">
        <f t="shared" si="315"/>
        <v>-500000</v>
      </c>
      <c r="H19839" s="704" t="s">
        <v>13175</v>
      </c>
    </row>
    <row r="19840" spans="1:8" ht="15" x14ac:dyDescent="0.2">
      <c r="A19840" s="733">
        <v>45470</v>
      </c>
      <c r="B19840" s="40" t="s">
        <v>13230</v>
      </c>
      <c r="C19840" s="62" t="s">
        <v>5409</v>
      </c>
      <c r="D19840" s="107" t="s">
        <v>1156</v>
      </c>
      <c r="E19840" s="57">
        <v>10000</v>
      </c>
      <c r="F19840" s="57"/>
      <c r="G19840" s="125">
        <f t="shared" ref="G19840:G19903" si="316">F19840-E19840</f>
        <v>-10000</v>
      </c>
      <c r="H19840" s="704" t="s">
        <v>13175</v>
      </c>
    </row>
    <row r="19841" spans="1:8" ht="15" x14ac:dyDescent="0.2">
      <c r="A19841" s="1085">
        <v>45470</v>
      </c>
      <c r="B19841" s="69" t="s">
        <v>13230</v>
      </c>
      <c r="C19841" s="1086" t="s">
        <v>10981</v>
      </c>
      <c r="D19841" s="792" t="s">
        <v>13357</v>
      </c>
      <c r="E19841" s="70">
        <v>118000</v>
      </c>
      <c r="F19841" s="70"/>
      <c r="G19841" s="1087">
        <f t="shared" si="316"/>
        <v>-118000</v>
      </c>
      <c r="H19841" s="1088" t="s">
        <v>13175</v>
      </c>
    </row>
    <row r="19842" spans="1:8" ht="15" x14ac:dyDescent="0.2">
      <c r="A19842" s="733">
        <v>45470</v>
      </c>
      <c r="B19842" s="40" t="s">
        <v>13319</v>
      </c>
      <c r="C19842" s="62" t="s">
        <v>5740</v>
      </c>
      <c r="D19842" s="107" t="s">
        <v>1156</v>
      </c>
      <c r="E19842" s="57">
        <v>1800</v>
      </c>
      <c r="F19842" s="57"/>
      <c r="G19842" s="125">
        <f t="shared" si="316"/>
        <v>-1800</v>
      </c>
      <c r="H19842" s="704" t="s">
        <v>13175</v>
      </c>
    </row>
    <row r="19843" spans="1:8" ht="15" x14ac:dyDescent="0.2">
      <c r="A19843" s="733">
        <v>45470</v>
      </c>
      <c r="B19843" s="40" t="s">
        <v>13260</v>
      </c>
      <c r="C19843" s="62" t="s">
        <v>10981</v>
      </c>
      <c r="D19843" s="107" t="s">
        <v>13358</v>
      </c>
      <c r="E19843" s="57">
        <v>1750</v>
      </c>
      <c r="F19843" s="57"/>
      <c r="G19843" s="125">
        <f t="shared" si="316"/>
        <v>-1750</v>
      </c>
      <c r="H19843" s="704" t="s">
        <v>13175</v>
      </c>
    </row>
    <row r="19844" spans="1:8" ht="15" x14ac:dyDescent="0.2">
      <c r="A19844" s="733">
        <v>45470</v>
      </c>
      <c r="B19844" s="40" t="s">
        <v>11874</v>
      </c>
      <c r="C19844" s="62" t="s">
        <v>10981</v>
      </c>
      <c r="D19844" s="107" t="s">
        <v>13359</v>
      </c>
      <c r="E19844" s="57">
        <v>6500</v>
      </c>
      <c r="F19844" s="57"/>
      <c r="G19844" s="125">
        <f t="shared" si="316"/>
        <v>-6500</v>
      </c>
      <c r="H19844" s="704" t="s">
        <v>13175</v>
      </c>
    </row>
    <row r="19845" spans="1:8" ht="15" x14ac:dyDescent="0.2">
      <c r="A19845" s="733">
        <v>45470</v>
      </c>
      <c r="B19845" s="40" t="s">
        <v>103</v>
      </c>
      <c r="C19845" s="62" t="s">
        <v>103</v>
      </c>
      <c r="D19845" s="107" t="s">
        <v>10208</v>
      </c>
      <c r="E19845" s="57">
        <v>4000</v>
      </c>
      <c r="F19845" s="57"/>
      <c r="G19845" s="125">
        <f t="shared" si="316"/>
        <v>-4000</v>
      </c>
      <c r="H19845" s="704" t="s">
        <v>13175</v>
      </c>
    </row>
    <row r="19846" spans="1:8" ht="15" x14ac:dyDescent="0.2">
      <c r="A19846" s="733">
        <v>45470</v>
      </c>
      <c r="B19846" s="40" t="s">
        <v>10899</v>
      </c>
      <c r="C19846" s="62" t="s">
        <v>12799</v>
      </c>
      <c r="D19846" s="107" t="s">
        <v>13464</v>
      </c>
      <c r="E19846" s="57">
        <v>245000</v>
      </c>
      <c r="F19846" s="57"/>
      <c r="G19846" s="125">
        <f t="shared" si="316"/>
        <v>-245000</v>
      </c>
      <c r="H19846" s="704" t="s">
        <v>13175</v>
      </c>
    </row>
    <row r="19847" spans="1:8" ht="15" x14ac:dyDescent="0.2">
      <c r="A19847" s="733">
        <v>45470</v>
      </c>
      <c r="B19847" s="40" t="s">
        <v>11717</v>
      </c>
      <c r="C19847" s="62" t="s">
        <v>12930</v>
      </c>
      <c r="D19847" s="107" t="s">
        <v>13546</v>
      </c>
      <c r="E19847" s="57">
        <v>400000</v>
      </c>
      <c r="F19847" s="57"/>
      <c r="G19847" s="125">
        <f t="shared" si="316"/>
        <v>-400000</v>
      </c>
      <c r="H19847" s="704" t="s">
        <v>13175</v>
      </c>
    </row>
    <row r="19848" spans="1:8" ht="15" x14ac:dyDescent="0.2">
      <c r="A19848" s="733">
        <v>45471</v>
      </c>
      <c r="B19848" s="40" t="s">
        <v>11498</v>
      </c>
      <c r="C19848" s="669" t="s">
        <v>8391</v>
      </c>
      <c r="D19848" s="912" t="s">
        <v>13362</v>
      </c>
      <c r="E19848" s="584">
        <v>54293</v>
      </c>
      <c r="F19848" s="57"/>
      <c r="G19848" s="125">
        <f t="shared" si="316"/>
        <v>-54293</v>
      </c>
      <c r="H19848" s="704" t="s">
        <v>13175</v>
      </c>
    </row>
    <row r="19849" spans="1:8" ht="15" x14ac:dyDescent="0.2">
      <c r="A19849" s="733">
        <v>45471</v>
      </c>
      <c r="B19849" s="40" t="s">
        <v>11874</v>
      </c>
      <c r="C19849" s="669" t="s">
        <v>8391</v>
      </c>
      <c r="D19849" s="912" t="s">
        <v>13362</v>
      </c>
      <c r="E19849" s="584">
        <v>214017</v>
      </c>
      <c r="F19849" s="57"/>
      <c r="G19849" s="125">
        <f t="shared" si="316"/>
        <v>-214017</v>
      </c>
      <c r="H19849" s="704" t="s">
        <v>13175</v>
      </c>
    </row>
    <row r="19850" spans="1:8" ht="15" x14ac:dyDescent="0.2">
      <c r="A19850" s="733">
        <v>45471</v>
      </c>
      <c r="B19850" s="40" t="s">
        <v>12182</v>
      </c>
      <c r="C19850" s="669" t="s">
        <v>8391</v>
      </c>
      <c r="D19850" s="912" t="s">
        <v>13362</v>
      </c>
      <c r="E19850" s="584">
        <v>231690</v>
      </c>
      <c r="F19850" s="57"/>
      <c r="G19850" s="125">
        <f t="shared" si="316"/>
        <v>-231690</v>
      </c>
      <c r="H19850" s="704" t="s">
        <v>13175</v>
      </c>
    </row>
    <row r="19851" spans="1:8" s="681" customFormat="1" ht="16.5" customHeight="1" x14ac:dyDescent="0.25">
      <c r="A19851" s="733">
        <v>45471</v>
      </c>
      <c r="B19851" s="62" t="s">
        <v>13299</v>
      </c>
      <c r="C19851" s="1098" t="s">
        <v>13268</v>
      </c>
      <c r="D19851" s="1099" t="s">
        <v>13361</v>
      </c>
      <c r="E19851" s="1100">
        <v>87880</v>
      </c>
      <c r="F19851" s="125"/>
      <c r="G19851" s="125">
        <f t="shared" si="316"/>
        <v>-87880</v>
      </c>
      <c r="H19851" s="704" t="s">
        <v>13175</v>
      </c>
    </row>
    <row r="19852" spans="1:8" ht="15" x14ac:dyDescent="0.2">
      <c r="A19852" s="733">
        <v>45471</v>
      </c>
      <c r="B19852" s="40" t="s">
        <v>13115</v>
      </c>
      <c r="C19852" s="1098" t="s">
        <v>13268</v>
      </c>
      <c r="D19852" s="1099" t="s">
        <v>13361</v>
      </c>
      <c r="E19852" s="1100">
        <v>87880</v>
      </c>
      <c r="F19852" s="57"/>
      <c r="G19852" s="125">
        <f t="shared" si="316"/>
        <v>-87880</v>
      </c>
      <c r="H19852" s="704" t="s">
        <v>13175</v>
      </c>
    </row>
    <row r="19853" spans="1:8" ht="15" x14ac:dyDescent="0.2">
      <c r="A19853" s="733">
        <v>45471</v>
      </c>
      <c r="B19853" s="40" t="s">
        <v>11874</v>
      </c>
      <c r="C19853" s="669" t="s">
        <v>8230</v>
      </c>
      <c r="D19853" s="912" t="s">
        <v>13363</v>
      </c>
      <c r="E19853" s="584">
        <v>11000</v>
      </c>
      <c r="F19853" s="57"/>
      <c r="G19853" s="125">
        <f t="shared" si="316"/>
        <v>-11000</v>
      </c>
      <c r="H19853" s="704" t="s">
        <v>13175</v>
      </c>
    </row>
    <row r="19854" spans="1:8" ht="15" x14ac:dyDescent="0.2">
      <c r="A19854" s="733">
        <v>45471</v>
      </c>
      <c r="B19854" s="40" t="s">
        <v>12400</v>
      </c>
      <c r="C19854" s="669" t="s">
        <v>8230</v>
      </c>
      <c r="D19854" s="912" t="s">
        <v>13363</v>
      </c>
      <c r="E19854" s="584">
        <v>11500</v>
      </c>
      <c r="F19854" s="57"/>
      <c r="G19854" s="125">
        <f t="shared" si="316"/>
        <v>-11500</v>
      </c>
      <c r="H19854" s="704" t="s">
        <v>13175</v>
      </c>
    </row>
    <row r="19855" spans="1:8" ht="15" x14ac:dyDescent="0.2">
      <c r="A19855" s="733">
        <v>45471</v>
      </c>
      <c r="B19855" s="40" t="s">
        <v>11874</v>
      </c>
      <c r="C19855" s="565" t="s">
        <v>9868</v>
      </c>
      <c r="D19855" s="894" t="s">
        <v>13364</v>
      </c>
      <c r="E19855" s="629">
        <v>4600</v>
      </c>
      <c r="F19855" s="57"/>
      <c r="G19855" s="125">
        <f t="shared" si="316"/>
        <v>-4600</v>
      </c>
      <c r="H19855" s="704" t="s">
        <v>13175</v>
      </c>
    </row>
    <row r="19856" spans="1:8" ht="15" x14ac:dyDescent="0.2">
      <c r="A19856" s="733">
        <v>45471</v>
      </c>
      <c r="B19856" s="40" t="s">
        <v>13115</v>
      </c>
      <c r="C19856" s="565" t="s">
        <v>9868</v>
      </c>
      <c r="D19856" s="894" t="s">
        <v>13364</v>
      </c>
      <c r="E19856" s="629">
        <v>78900</v>
      </c>
      <c r="F19856" s="57"/>
      <c r="G19856" s="125">
        <f t="shared" si="316"/>
        <v>-78900</v>
      </c>
      <c r="H19856" s="704" t="s">
        <v>13175</v>
      </c>
    </row>
    <row r="19857" spans="1:8" ht="15" x14ac:dyDescent="0.2">
      <c r="A19857" s="733">
        <v>45471</v>
      </c>
      <c r="B19857" s="40" t="s">
        <v>10293</v>
      </c>
      <c r="C19857" s="649" t="s">
        <v>7465</v>
      </c>
      <c r="D19857" s="893" t="s">
        <v>13365</v>
      </c>
      <c r="E19857" s="626">
        <v>43900</v>
      </c>
      <c r="F19857" s="57"/>
      <c r="G19857" s="125">
        <f t="shared" si="316"/>
        <v>-43900</v>
      </c>
      <c r="H19857" s="704" t="s">
        <v>13175</v>
      </c>
    </row>
    <row r="19858" spans="1:8" ht="15" x14ac:dyDescent="0.2">
      <c r="A19858" s="733">
        <v>45471</v>
      </c>
      <c r="B19858" s="40" t="s">
        <v>9353</v>
      </c>
      <c r="C19858" s="649" t="s">
        <v>7465</v>
      </c>
      <c r="D19858" s="893" t="s">
        <v>13365</v>
      </c>
      <c r="E19858" s="626">
        <v>33559</v>
      </c>
      <c r="F19858" s="57"/>
      <c r="G19858" s="125">
        <f t="shared" si="316"/>
        <v>-33559</v>
      </c>
      <c r="H19858" s="704" t="s">
        <v>13175</v>
      </c>
    </row>
    <row r="19859" spans="1:8" ht="15" x14ac:dyDescent="0.2">
      <c r="A19859" s="733">
        <v>45471</v>
      </c>
      <c r="B19859" s="40" t="s">
        <v>10573</v>
      </c>
      <c r="C19859" s="649" t="s">
        <v>7465</v>
      </c>
      <c r="D19859" s="893" t="s">
        <v>13365</v>
      </c>
      <c r="E19859" s="626">
        <v>93755</v>
      </c>
      <c r="F19859" s="57"/>
      <c r="G19859" s="125">
        <f t="shared" si="316"/>
        <v>-93755</v>
      </c>
      <c r="H19859" s="704" t="s">
        <v>13175</v>
      </c>
    </row>
    <row r="19860" spans="1:8" ht="15" x14ac:dyDescent="0.2">
      <c r="A19860" s="733">
        <v>45471</v>
      </c>
      <c r="B19860" s="40" t="s">
        <v>10899</v>
      </c>
      <c r="C19860" s="649" t="s">
        <v>7465</v>
      </c>
      <c r="D19860" s="893" t="s">
        <v>13365</v>
      </c>
      <c r="E19860" s="626">
        <v>22780</v>
      </c>
      <c r="F19860" s="57"/>
      <c r="G19860" s="125">
        <f t="shared" si="316"/>
        <v>-22780</v>
      </c>
      <c r="H19860" s="704" t="s">
        <v>13175</v>
      </c>
    </row>
    <row r="19861" spans="1:8" ht="15" x14ac:dyDescent="0.2">
      <c r="A19861" s="733">
        <v>45471</v>
      </c>
      <c r="B19861" s="40" t="s">
        <v>11874</v>
      </c>
      <c r="C19861" s="649" t="s">
        <v>7465</v>
      </c>
      <c r="D19861" s="893" t="s">
        <v>13365</v>
      </c>
      <c r="E19861" s="626">
        <v>306006</v>
      </c>
      <c r="F19861" s="57"/>
      <c r="G19861" s="125">
        <f t="shared" si="316"/>
        <v>-306006</v>
      </c>
      <c r="H19861" s="704" t="s">
        <v>13175</v>
      </c>
    </row>
    <row r="19862" spans="1:8" ht="15" x14ac:dyDescent="0.2">
      <c r="A19862" s="733">
        <v>45471</v>
      </c>
      <c r="B19862" s="40" t="s">
        <v>3945</v>
      </c>
      <c r="C19862" s="62" t="s">
        <v>6422</v>
      </c>
      <c r="D19862" s="107" t="s">
        <v>13477</v>
      </c>
      <c r="E19862" s="57">
        <v>100000</v>
      </c>
      <c r="F19862" s="57"/>
      <c r="G19862" s="125">
        <f t="shared" si="316"/>
        <v>-100000</v>
      </c>
      <c r="H19862" s="704" t="s">
        <v>13175</v>
      </c>
    </row>
    <row r="19863" spans="1:8" ht="15" x14ac:dyDescent="0.2">
      <c r="A19863" s="733">
        <v>45471</v>
      </c>
      <c r="B19863" s="40" t="s">
        <v>13319</v>
      </c>
      <c r="C19863" s="62" t="s">
        <v>10981</v>
      </c>
      <c r="D19863" s="107" t="s">
        <v>13366</v>
      </c>
      <c r="E19863" s="57">
        <v>15500</v>
      </c>
      <c r="F19863" s="57"/>
      <c r="G19863" s="125">
        <f t="shared" si="316"/>
        <v>-15500</v>
      </c>
      <c r="H19863" s="704" t="s">
        <v>13175</v>
      </c>
    </row>
    <row r="19864" spans="1:8" ht="15" x14ac:dyDescent="0.2">
      <c r="A19864" s="733">
        <v>45471</v>
      </c>
      <c r="B19864" s="40" t="s">
        <v>103</v>
      </c>
      <c r="C19864" s="62" t="s">
        <v>103</v>
      </c>
      <c r="D19864" s="107" t="s">
        <v>10208</v>
      </c>
      <c r="E19864" s="57">
        <v>4000</v>
      </c>
      <c r="F19864" s="57"/>
      <c r="G19864" s="125">
        <f t="shared" si="316"/>
        <v>-4000</v>
      </c>
      <c r="H19864" s="704" t="s">
        <v>13175</v>
      </c>
    </row>
    <row r="19865" spans="1:8" ht="15" x14ac:dyDescent="0.2">
      <c r="A19865" s="733">
        <v>45471</v>
      </c>
      <c r="B19865" s="40" t="s">
        <v>13319</v>
      </c>
      <c r="C19865" s="62" t="s">
        <v>10981</v>
      </c>
      <c r="D19865" s="107" t="s">
        <v>2158</v>
      </c>
      <c r="E19865" s="57">
        <v>1936</v>
      </c>
      <c r="F19865" s="57"/>
      <c r="G19865" s="125">
        <f t="shared" si="316"/>
        <v>-1936</v>
      </c>
      <c r="H19865" s="704" t="s">
        <v>13175</v>
      </c>
    </row>
    <row r="19866" spans="1:8" ht="15" x14ac:dyDescent="0.2">
      <c r="A19866" s="733">
        <v>45471</v>
      </c>
      <c r="B19866" s="40" t="s">
        <v>3945</v>
      </c>
      <c r="C19866" s="62" t="s">
        <v>10981</v>
      </c>
      <c r="D19866" s="107" t="s">
        <v>13367</v>
      </c>
      <c r="E19866" s="57">
        <v>10000</v>
      </c>
      <c r="F19866" s="57"/>
      <c r="G19866" s="125">
        <f t="shared" si="316"/>
        <v>-10000</v>
      </c>
      <c r="H19866" s="704" t="s">
        <v>13175</v>
      </c>
    </row>
    <row r="19867" spans="1:8" ht="15" customHeight="1" x14ac:dyDescent="0.2">
      <c r="A19867" s="733">
        <v>45471</v>
      </c>
      <c r="B19867" s="40" t="s">
        <v>3945</v>
      </c>
      <c r="C19867" s="62" t="s">
        <v>5740</v>
      </c>
      <c r="D19867" s="107" t="s">
        <v>369</v>
      </c>
      <c r="E19867" s="57">
        <v>1000</v>
      </c>
      <c r="F19867" s="57"/>
      <c r="G19867" s="125">
        <f t="shared" si="316"/>
        <v>-1000</v>
      </c>
      <c r="H19867" s="704" t="s">
        <v>13175</v>
      </c>
    </row>
    <row r="19868" spans="1:8" ht="15" x14ac:dyDescent="0.2">
      <c r="A19868" s="733">
        <v>45471</v>
      </c>
      <c r="B19868" s="40" t="s">
        <v>13319</v>
      </c>
      <c r="C19868" s="62" t="s">
        <v>5740</v>
      </c>
      <c r="D19868" s="107" t="s">
        <v>369</v>
      </c>
      <c r="E19868" s="57">
        <v>500</v>
      </c>
      <c r="F19868" s="57"/>
      <c r="G19868" s="125">
        <f t="shared" si="316"/>
        <v>-500</v>
      </c>
      <c r="H19868" s="704" t="s">
        <v>13175</v>
      </c>
    </row>
    <row r="19869" spans="1:8" ht="15" x14ac:dyDescent="0.2">
      <c r="A19869" s="733">
        <v>45471</v>
      </c>
      <c r="B19869" s="40" t="s">
        <v>13319</v>
      </c>
      <c r="C19869" s="62" t="s">
        <v>285</v>
      </c>
      <c r="D19869" s="107" t="s">
        <v>13378</v>
      </c>
      <c r="E19869" s="57">
        <v>1000</v>
      </c>
      <c r="F19869" s="57"/>
      <c r="G19869" s="125">
        <f t="shared" si="316"/>
        <v>-1000</v>
      </c>
      <c r="H19869" s="704" t="s">
        <v>13175</v>
      </c>
    </row>
    <row r="19870" spans="1:8" ht="15" x14ac:dyDescent="0.2">
      <c r="A19870" s="733">
        <v>45472</v>
      </c>
      <c r="B19870" s="40" t="s">
        <v>12400</v>
      </c>
      <c r="C19870" s="62" t="s">
        <v>5740</v>
      </c>
      <c r="D19870" s="107" t="s">
        <v>1156</v>
      </c>
      <c r="E19870" s="57">
        <v>1000</v>
      </c>
      <c r="F19870" s="57"/>
      <c r="G19870" s="125">
        <f t="shared" si="316"/>
        <v>-1000</v>
      </c>
      <c r="H19870" s="704" t="s">
        <v>13175</v>
      </c>
    </row>
    <row r="19871" spans="1:8" ht="15" x14ac:dyDescent="0.2">
      <c r="A19871" s="733">
        <v>45472</v>
      </c>
      <c r="B19871" s="40" t="s">
        <v>11717</v>
      </c>
      <c r="C19871" s="62" t="s">
        <v>13371</v>
      </c>
      <c r="D19871" s="107" t="s">
        <v>13372</v>
      </c>
      <c r="E19871" s="57">
        <v>25000</v>
      </c>
      <c r="F19871" s="57"/>
      <c r="G19871" s="125">
        <f t="shared" si="316"/>
        <v>-25000</v>
      </c>
      <c r="H19871" s="704" t="s">
        <v>13175</v>
      </c>
    </row>
    <row r="19872" spans="1:8" ht="15" x14ac:dyDescent="0.2">
      <c r="A19872" s="733">
        <v>45472</v>
      </c>
      <c r="B19872" s="40" t="s">
        <v>11717</v>
      </c>
      <c r="C19872" s="62" t="s">
        <v>391</v>
      </c>
      <c r="D19872" s="107" t="s">
        <v>13373</v>
      </c>
      <c r="E19872" s="57">
        <v>5000</v>
      </c>
      <c r="F19872" s="57"/>
      <c r="G19872" s="125">
        <f t="shared" si="316"/>
        <v>-5000</v>
      </c>
      <c r="H19872" s="704" t="s">
        <v>13175</v>
      </c>
    </row>
    <row r="19873" spans="1:8" ht="15" x14ac:dyDescent="0.2">
      <c r="A19873" s="733">
        <v>45472</v>
      </c>
      <c r="B19873" s="40" t="s">
        <v>11077</v>
      </c>
      <c r="C19873" s="62" t="s">
        <v>5740</v>
      </c>
      <c r="D19873" s="107" t="s">
        <v>13374</v>
      </c>
      <c r="E19873" s="57">
        <v>5500</v>
      </c>
      <c r="F19873" s="57"/>
      <c r="G19873" s="125">
        <f t="shared" si="316"/>
        <v>-5500</v>
      </c>
      <c r="H19873" s="704" t="s">
        <v>13175</v>
      </c>
    </row>
    <row r="19874" spans="1:8" ht="15" x14ac:dyDescent="0.2">
      <c r="A19874" s="733">
        <v>45472</v>
      </c>
      <c r="B19874" s="40" t="s">
        <v>12607</v>
      </c>
      <c r="C19874" s="62" t="s">
        <v>13098</v>
      </c>
      <c r="D19874" s="107" t="s">
        <v>13375</v>
      </c>
      <c r="E19874" s="57">
        <v>107000</v>
      </c>
      <c r="F19874" s="57"/>
      <c r="G19874" s="125">
        <f t="shared" si="316"/>
        <v>-107000</v>
      </c>
      <c r="H19874" s="704" t="s">
        <v>13175</v>
      </c>
    </row>
    <row r="19875" spans="1:8" ht="15" x14ac:dyDescent="0.2">
      <c r="A19875" s="733">
        <v>45472</v>
      </c>
      <c r="B19875" s="40" t="s">
        <v>13319</v>
      </c>
      <c r="C19875" s="62" t="s">
        <v>10981</v>
      </c>
      <c r="D19875" s="107" t="s">
        <v>13376</v>
      </c>
      <c r="E19875" s="57">
        <v>20190</v>
      </c>
      <c r="F19875" s="57"/>
      <c r="G19875" s="125">
        <f t="shared" si="316"/>
        <v>-20190</v>
      </c>
      <c r="H19875" s="704" t="s">
        <v>13175</v>
      </c>
    </row>
    <row r="19876" spans="1:8" ht="15" x14ac:dyDescent="0.2">
      <c r="A19876" s="733">
        <v>45472</v>
      </c>
      <c r="B19876" s="40" t="s">
        <v>12607</v>
      </c>
      <c r="C19876" s="62" t="s">
        <v>10981</v>
      </c>
      <c r="D19876" s="107" t="s">
        <v>13376</v>
      </c>
      <c r="E19876" s="57">
        <v>39570</v>
      </c>
      <c r="F19876" s="57"/>
      <c r="G19876" s="125">
        <f t="shared" si="316"/>
        <v>-39570</v>
      </c>
      <c r="H19876" s="704" t="s">
        <v>13175</v>
      </c>
    </row>
    <row r="19877" spans="1:8" ht="15" customHeight="1" x14ac:dyDescent="0.2">
      <c r="A19877" s="733">
        <v>45472</v>
      </c>
      <c r="B19877" s="40" t="s">
        <v>12607</v>
      </c>
      <c r="C19877" s="62" t="s">
        <v>10981</v>
      </c>
      <c r="D19877" s="107" t="s">
        <v>13376</v>
      </c>
      <c r="E19877" s="57">
        <v>41265</v>
      </c>
      <c r="F19877" s="57"/>
      <c r="G19877" s="125">
        <f t="shared" si="316"/>
        <v>-41265</v>
      </c>
      <c r="H19877" s="704" t="s">
        <v>13175</v>
      </c>
    </row>
    <row r="19878" spans="1:8" ht="15" x14ac:dyDescent="0.2">
      <c r="A19878" s="733">
        <v>45472</v>
      </c>
      <c r="B19878" s="40" t="s">
        <v>12607</v>
      </c>
      <c r="C19878" s="62" t="s">
        <v>10981</v>
      </c>
      <c r="D19878" s="107" t="s">
        <v>13376</v>
      </c>
      <c r="E19878" s="57">
        <v>78619</v>
      </c>
      <c r="F19878" s="57"/>
      <c r="G19878" s="125">
        <f t="shared" si="316"/>
        <v>-78619</v>
      </c>
      <c r="H19878" s="704" t="s">
        <v>13175</v>
      </c>
    </row>
    <row r="19879" spans="1:8" ht="15" x14ac:dyDescent="0.2">
      <c r="A19879" s="733">
        <v>45472</v>
      </c>
      <c r="B19879" s="40" t="s">
        <v>12607</v>
      </c>
      <c r="C19879" s="62" t="s">
        <v>10981</v>
      </c>
      <c r="D19879" s="107" t="s">
        <v>13376</v>
      </c>
      <c r="E19879" s="57">
        <v>46130</v>
      </c>
      <c r="F19879" s="57"/>
      <c r="G19879" s="125">
        <f t="shared" si="316"/>
        <v>-46130</v>
      </c>
      <c r="H19879" s="704" t="s">
        <v>13175</v>
      </c>
    </row>
    <row r="19880" spans="1:8" ht="15" customHeight="1" x14ac:dyDescent="0.2">
      <c r="A19880" s="733">
        <v>45472</v>
      </c>
      <c r="B19880" s="40" t="s">
        <v>12607</v>
      </c>
      <c r="C19880" s="62" t="s">
        <v>13098</v>
      </c>
      <c r="D19880" s="107" t="s">
        <v>13377</v>
      </c>
      <c r="E19880" s="57">
        <v>54000</v>
      </c>
      <c r="F19880" s="57"/>
      <c r="G19880" s="125">
        <f t="shared" si="316"/>
        <v>-54000</v>
      </c>
      <c r="H19880" s="704" t="s">
        <v>13175</v>
      </c>
    </row>
    <row r="19881" spans="1:8" ht="15" x14ac:dyDescent="0.2">
      <c r="A19881" s="733">
        <v>45472</v>
      </c>
      <c r="B19881" s="40" t="s">
        <v>9353</v>
      </c>
      <c r="C19881" s="633" t="s">
        <v>1062</v>
      </c>
      <c r="D19881" s="917" t="s">
        <v>13379</v>
      </c>
      <c r="E19881" s="734">
        <v>100000</v>
      </c>
      <c r="F19881" s="57"/>
      <c r="G19881" s="125">
        <f t="shared" si="316"/>
        <v>-100000</v>
      </c>
      <c r="H19881" s="704" t="s">
        <v>13175</v>
      </c>
    </row>
    <row r="19882" spans="1:8" ht="15" x14ac:dyDescent="0.2">
      <c r="A19882" s="733">
        <v>45472</v>
      </c>
      <c r="B19882" s="40" t="s">
        <v>12400</v>
      </c>
      <c r="C19882" s="633" t="s">
        <v>1062</v>
      </c>
      <c r="D19882" s="917" t="s">
        <v>13379</v>
      </c>
      <c r="E19882" s="734">
        <v>200000</v>
      </c>
      <c r="F19882" s="57"/>
      <c r="G19882" s="125">
        <f t="shared" si="316"/>
        <v>-200000</v>
      </c>
      <c r="H19882" s="704" t="s">
        <v>13175</v>
      </c>
    </row>
    <row r="19883" spans="1:8" ht="15" x14ac:dyDescent="0.2">
      <c r="A19883" s="733">
        <v>45472</v>
      </c>
      <c r="B19883" s="40" t="s">
        <v>11717</v>
      </c>
      <c r="C19883" s="62" t="s">
        <v>10981</v>
      </c>
      <c r="D19883" s="107" t="s">
        <v>13380</v>
      </c>
      <c r="E19883" s="57">
        <v>1200</v>
      </c>
      <c r="F19883" s="57"/>
      <c r="G19883" s="125">
        <f t="shared" si="316"/>
        <v>-1200</v>
      </c>
      <c r="H19883" s="704" t="s">
        <v>13175</v>
      </c>
    </row>
    <row r="19884" spans="1:8" ht="15" x14ac:dyDescent="0.2">
      <c r="A19884" s="733">
        <v>45472</v>
      </c>
      <c r="B19884" s="40" t="s">
        <v>103</v>
      </c>
      <c r="C19884" s="62" t="s">
        <v>103</v>
      </c>
      <c r="D19884" s="107" t="s">
        <v>10208</v>
      </c>
      <c r="E19884" s="57">
        <v>5000</v>
      </c>
      <c r="F19884" s="57"/>
      <c r="G19884" s="125">
        <f t="shared" si="316"/>
        <v>-5000</v>
      </c>
      <c r="H19884" s="704" t="s">
        <v>13175</v>
      </c>
    </row>
    <row r="19885" spans="1:8" ht="15" x14ac:dyDescent="0.2">
      <c r="A19885" s="733">
        <v>45472</v>
      </c>
      <c r="B19885" s="40" t="s">
        <v>13260</v>
      </c>
      <c r="C19885" s="62" t="s">
        <v>5740</v>
      </c>
      <c r="D19885" s="107" t="s">
        <v>369</v>
      </c>
      <c r="E19885" s="57">
        <v>5500</v>
      </c>
      <c r="F19885" s="57"/>
      <c r="G19885" s="125">
        <f t="shared" si="316"/>
        <v>-5500</v>
      </c>
      <c r="H19885" s="704" t="s">
        <v>13175</v>
      </c>
    </row>
    <row r="19886" spans="1:8" ht="15" x14ac:dyDescent="0.2">
      <c r="A19886" s="733">
        <v>45472</v>
      </c>
      <c r="B19886" s="40" t="s">
        <v>3945</v>
      </c>
      <c r="C19886" s="62" t="s">
        <v>391</v>
      </c>
      <c r="D19886" s="107" t="s">
        <v>13383</v>
      </c>
      <c r="E19886" s="57">
        <v>50000</v>
      </c>
      <c r="F19886" s="57"/>
      <c r="G19886" s="125">
        <f t="shared" si="316"/>
        <v>-50000</v>
      </c>
      <c r="H19886" s="704" t="s">
        <v>13175</v>
      </c>
    </row>
    <row r="19887" spans="1:8" ht="15" x14ac:dyDescent="0.2">
      <c r="A19887" s="733">
        <v>45472</v>
      </c>
      <c r="B19887" s="40" t="s">
        <v>3945</v>
      </c>
      <c r="C19887" s="62" t="s">
        <v>12836</v>
      </c>
      <c r="D19887" s="107" t="s">
        <v>13382</v>
      </c>
      <c r="E19887" s="57">
        <v>40000</v>
      </c>
      <c r="F19887" s="57"/>
      <c r="G19887" s="125">
        <f t="shared" si="316"/>
        <v>-40000</v>
      </c>
      <c r="H19887" s="704" t="s">
        <v>13175</v>
      </c>
    </row>
    <row r="19888" spans="1:8" ht="15" x14ac:dyDescent="0.2">
      <c r="A19888" s="733">
        <v>45472</v>
      </c>
      <c r="B19888" s="40" t="s">
        <v>13260</v>
      </c>
      <c r="C19888" s="62" t="s">
        <v>10981</v>
      </c>
      <c r="D19888" s="107" t="s">
        <v>13381</v>
      </c>
      <c r="E19888" s="57">
        <v>10000</v>
      </c>
      <c r="F19888" s="57"/>
      <c r="G19888" s="125">
        <f t="shared" si="316"/>
        <v>-10000</v>
      </c>
      <c r="H19888" s="704" t="s">
        <v>13175</v>
      </c>
    </row>
    <row r="19889" spans="1:8" ht="15" x14ac:dyDescent="0.2">
      <c r="A19889" s="732">
        <v>45449</v>
      </c>
      <c r="B19889" s="173" t="s">
        <v>11717</v>
      </c>
      <c r="C19889" s="173" t="s">
        <v>12930</v>
      </c>
      <c r="D19889" s="227" t="s">
        <v>13544</v>
      </c>
      <c r="E19889" s="235">
        <v>400000</v>
      </c>
      <c r="F19889" s="235"/>
      <c r="G19889" s="235">
        <f t="shared" si="316"/>
        <v>-400000</v>
      </c>
      <c r="H19889" s="708" t="s">
        <v>13175</v>
      </c>
    </row>
    <row r="19890" spans="1:8" ht="15" x14ac:dyDescent="0.2">
      <c r="A19890" s="732">
        <v>45449</v>
      </c>
      <c r="B19890" s="173" t="s">
        <v>11717</v>
      </c>
      <c r="C19890" s="173" t="s">
        <v>12930</v>
      </c>
      <c r="D19890" s="227" t="s">
        <v>13545</v>
      </c>
      <c r="E19890" s="235">
        <v>400000</v>
      </c>
      <c r="F19890" s="235"/>
      <c r="G19890" s="235">
        <f t="shared" si="316"/>
        <v>-400000</v>
      </c>
      <c r="H19890" s="708" t="s">
        <v>13175</v>
      </c>
    </row>
    <row r="19891" spans="1:8" ht="24" x14ac:dyDescent="0.2">
      <c r="A19891" s="732">
        <v>45450</v>
      </c>
      <c r="B19891" s="173" t="s">
        <v>13115</v>
      </c>
      <c r="C19891" s="173" t="s">
        <v>13228</v>
      </c>
      <c r="D19891" s="227" t="s">
        <v>13229</v>
      </c>
      <c r="E19891" s="235">
        <v>1458946</v>
      </c>
      <c r="F19891" s="235"/>
      <c r="G19891" s="235">
        <f t="shared" si="316"/>
        <v>-1458946</v>
      </c>
      <c r="H19891" s="708" t="s">
        <v>13175</v>
      </c>
    </row>
    <row r="19892" spans="1:8" ht="15" x14ac:dyDescent="0.2">
      <c r="A19892" s="732">
        <v>45451</v>
      </c>
      <c r="B19892" s="173" t="s">
        <v>12607</v>
      </c>
      <c r="C19892" s="173" t="s">
        <v>10981</v>
      </c>
      <c r="D19892" s="227" t="s">
        <v>13222</v>
      </c>
      <c r="E19892" s="235">
        <v>105000</v>
      </c>
      <c r="F19892" s="235"/>
      <c r="G19892" s="235">
        <f t="shared" si="316"/>
        <v>-105000</v>
      </c>
      <c r="H19892" s="708" t="s">
        <v>13175</v>
      </c>
    </row>
    <row r="19893" spans="1:8" ht="36" x14ac:dyDescent="0.2">
      <c r="A19893" s="732">
        <v>45451</v>
      </c>
      <c r="B19893" s="173" t="s">
        <v>12400</v>
      </c>
      <c r="C19893" s="173" t="s">
        <v>4724</v>
      </c>
      <c r="D19893" s="227" t="s">
        <v>13209</v>
      </c>
      <c r="E19893" s="235">
        <v>1056979</v>
      </c>
      <c r="F19893" s="235"/>
      <c r="G19893" s="235">
        <f t="shared" si="316"/>
        <v>-1056979</v>
      </c>
      <c r="H19893" s="708" t="s">
        <v>13175</v>
      </c>
    </row>
    <row r="19894" spans="1:8" ht="27.75" customHeight="1" x14ac:dyDescent="0.2">
      <c r="A19894" s="732">
        <v>45453</v>
      </c>
      <c r="B19894" s="173" t="s">
        <v>13230</v>
      </c>
      <c r="C19894" s="173" t="s">
        <v>430</v>
      </c>
      <c r="D19894" s="227" t="s">
        <v>13231</v>
      </c>
      <c r="E19894" s="235">
        <v>1056979</v>
      </c>
      <c r="F19894" s="235"/>
      <c r="G19894" s="235">
        <f t="shared" si="316"/>
        <v>-1056979</v>
      </c>
      <c r="H19894" s="708" t="s">
        <v>13175</v>
      </c>
    </row>
    <row r="19895" spans="1:8" ht="27.75" customHeight="1" x14ac:dyDescent="0.2">
      <c r="A19895" s="732">
        <v>45453</v>
      </c>
      <c r="B19895" s="173" t="s">
        <v>12400</v>
      </c>
      <c r="C19895" s="173" t="s">
        <v>8089</v>
      </c>
      <c r="D19895" s="227" t="s">
        <v>13211</v>
      </c>
      <c r="E19895" s="235">
        <v>1056979</v>
      </c>
      <c r="F19895" s="235"/>
      <c r="G19895" s="235">
        <f t="shared" si="316"/>
        <v>-1056979</v>
      </c>
      <c r="H19895" s="708" t="s">
        <v>13175</v>
      </c>
    </row>
    <row r="19896" spans="1:8" ht="27.75" customHeight="1" x14ac:dyDescent="0.2">
      <c r="A19896" s="732">
        <v>45453</v>
      </c>
      <c r="B19896" s="173" t="s">
        <v>12400</v>
      </c>
      <c r="C19896" s="173" t="s">
        <v>8089</v>
      </c>
      <c r="D19896" s="227" t="s">
        <v>13211</v>
      </c>
      <c r="E19896" s="235">
        <v>1056979</v>
      </c>
      <c r="F19896" s="235"/>
      <c r="G19896" s="235">
        <f t="shared" si="316"/>
        <v>-1056979</v>
      </c>
      <c r="H19896" s="708" t="s">
        <v>13175</v>
      </c>
    </row>
    <row r="19897" spans="1:8" ht="21" customHeight="1" x14ac:dyDescent="0.2">
      <c r="A19897" s="732">
        <v>45453</v>
      </c>
      <c r="B19897" s="173" t="s">
        <v>12400</v>
      </c>
      <c r="C19897" s="173" t="s">
        <v>8089</v>
      </c>
      <c r="D19897" s="227" t="s">
        <v>13232</v>
      </c>
      <c r="E19897" s="235">
        <v>700000</v>
      </c>
      <c r="F19897" s="235"/>
      <c r="G19897" s="235">
        <f t="shared" si="316"/>
        <v>-700000</v>
      </c>
      <c r="H19897" s="708" t="s">
        <v>13175</v>
      </c>
    </row>
    <row r="19898" spans="1:8" ht="21" customHeight="1" x14ac:dyDescent="0.2">
      <c r="A19898" s="732">
        <v>45453</v>
      </c>
      <c r="B19898" s="173" t="s">
        <v>12400</v>
      </c>
      <c r="C19898" s="173" t="s">
        <v>8089</v>
      </c>
      <c r="D19898" s="227" t="s">
        <v>13232</v>
      </c>
      <c r="E19898" s="235">
        <v>770000</v>
      </c>
      <c r="F19898" s="235"/>
      <c r="G19898" s="235">
        <f t="shared" si="316"/>
        <v>-770000</v>
      </c>
      <c r="H19898" s="708" t="s">
        <v>13175</v>
      </c>
    </row>
    <row r="19899" spans="1:8" ht="21" customHeight="1" x14ac:dyDescent="0.2">
      <c r="A19899" s="732">
        <v>45453</v>
      </c>
      <c r="B19899" s="173" t="s">
        <v>12400</v>
      </c>
      <c r="C19899" s="173" t="s">
        <v>8089</v>
      </c>
      <c r="D19899" s="227" t="s">
        <v>13232</v>
      </c>
      <c r="E19899" s="235">
        <v>525000</v>
      </c>
      <c r="F19899" s="235"/>
      <c r="G19899" s="235">
        <f t="shared" si="316"/>
        <v>-525000</v>
      </c>
      <c r="H19899" s="708" t="s">
        <v>13175</v>
      </c>
    </row>
    <row r="19900" spans="1:8" ht="21" customHeight="1" x14ac:dyDescent="0.2">
      <c r="A19900" s="732">
        <v>45463</v>
      </c>
      <c r="B19900" s="173" t="s">
        <v>13115</v>
      </c>
      <c r="C19900" s="173" t="s">
        <v>4321</v>
      </c>
      <c r="D19900" s="227" t="s">
        <v>13303</v>
      </c>
      <c r="E19900" s="235">
        <v>178564</v>
      </c>
      <c r="F19900" s="235"/>
      <c r="G19900" s="235">
        <f t="shared" si="316"/>
        <v>-178564</v>
      </c>
      <c r="H19900" s="708" t="s">
        <v>13175</v>
      </c>
    </row>
    <row r="19901" spans="1:8" ht="21" customHeight="1" x14ac:dyDescent="0.2">
      <c r="A19901" s="732">
        <v>45469</v>
      </c>
      <c r="B19901" s="173" t="s">
        <v>13115</v>
      </c>
      <c r="C19901" s="173" t="s">
        <v>2709</v>
      </c>
      <c r="D19901" s="227" t="s">
        <v>13369</v>
      </c>
      <c r="E19901" s="235">
        <v>177832</v>
      </c>
      <c r="F19901" s="235"/>
      <c r="G19901" s="235">
        <f t="shared" si="316"/>
        <v>-177832</v>
      </c>
      <c r="H19901" s="708" t="s">
        <v>13175</v>
      </c>
    </row>
    <row r="19902" spans="1:8" ht="21" customHeight="1" x14ac:dyDescent="0.2">
      <c r="A19902" s="732">
        <v>45469</v>
      </c>
      <c r="B19902" s="173" t="s">
        <v>13115</v>
      </c>
      <c r="C19902" s="173" t="s">
        <v>4321</v>
      </c>
      <c r="D19902" s="227" t="s">
        <v>13370</v>
      </c>
      <c r="E19902" s="235">
        <v>385878</v>
      </c>
      <c r="F19902" s="235"/>
      <c r="G19902" s="235">
        <f t="shared" si="316"/>
        <v>-385878</v>
      </c>
      <c r="H19902" s="708" t="s">
        <v>13175</v>
      </c>
    </row>
    <row r="19903" spans="1:8" ht="21" customHeight="1" x14ac:dyDescent="0.2">
      <c r="A19903" s="732">
        <v>45471</v>
      </c>
      <c r="B19903" s="173" t="s">
        <v>13115</v>
      </c>
      <c r="C19903" s="173" t="s">
        <v>4321</v>
      </c>
      <c r="D19903" s="227" t="s">
        <v>13462</v>
      </c>
      <c r="E19903" s="235">
        <v>1910384</v>
      </c>
      <c r="F19903" s="235"/>
      <c r="G19903" s="235">
        <f t="shared" si="316"/>
        <v>-1910384</v>
      </c>
      <c r="H19903" s="708" t="s">
        <v>13175</v>
      </c>
    </row>
    <row r="19904" spans="1:8" ht="15" x14ac:dyDescent="0.2">
      <c r="A19904" s="729">
        <v>45444</v>
      </c>
      <c r="B19904" s="93" t="s">
        <v>11717</v>
      </c>
      <c r="C19904" s="93" t="s">
        <v>558</v>
      </c>
      <c r="D19904" s="801" t="s">
        <v>13176</v>
      </c>
      <c r="E19904" s="175"/>
      <c r="F19904" s="175">
        <v>3456382</v>
      </c>
      <c r="G19904" s="175">
        <f t="shared" ref="G19904:G19969" si="317">F19904-E19904</f>
        <v>3456382</v>
      </c>
      <c r="H19904" s="701" t="s">
        <v>13175</v>
      </c>
    </row>
    <row r="19905" spans="1:8" ht="15" x14ac:dyDescent="0.2">
      <c r="A19905" s="729">
        <v>45449</v>
      </c>
      <c r="B19905" s="93" t="s">
        <v>11077</v>
      </c>
      <c r="C19905" s="93" t="s">
        <v>558</v>
      </c>
      <c r="D19905" s="801" t="s">
        <v>13232</v>
      </c>
      <c r="E19905" s="175"/>
      <c r="F19905" s="175">
        <v>700000</v>
      </c>
      <c r="G19905" s="175">
        <f t="shared" si="317"/>
        <v>700000</v>
      </c>
      <c r="H19905" s="701" t="s">
        <v>13175</v>
      </c>
    </row>
    <row r="19906" spans="1:8" ht="15" x14ac:dyDescent="0.2">
      <c r="A19906" s="729">
        <v>45449</v>
      </c>
      <c r="B19906" s="93" t="s">
        <v>11077</v>
      </c>
      <c r="C19906" s="93" t="s">
        <v>558</v>
      </c>
      <c r="D19906" s="801" t="s">
        <v>13232</v>
      </c>
      <c r="E19906" s="175"/>
      <c r="F19906" s="175">
        <v>770000</v>
      </c>
      <c r="G19906" s="175">
        <f t="shared" si="317"/>
        <v>770000</v>
      </c>
      <c r="H19906" s="701" t="s">
        <v>13175</v>
      </c>
    </row>
    <row r="19907" spans="1:8" ht="15" x14ac:dyDescent="0.2">
      <c r="A19907" s="729">
        <v>45449</v>
      </c>
      <c r="B19907" s="93" t="s">
        <v>11077</v>
      </c>
      <c r="C19907" s="93" t="s">
        <v>558</v>
      </c>
      <c r="D19907" s="801" t="s">
        <v>13232</v>
      </c>
      <c r="E19907" s="175"/>
      <c r="F19907" s="175">
        <v>525000</v>
      </c>
      <c r="G19907" s="175">
        <f t="shared" si="317"/>
        <v>525000</v>
      </c>
      <c r="H19907" s="701" t="s">
        <v>13175</v>
      </c>
    </row>
    <row r="19908" spans="1:8" ht="27" customHeight="1" x14ac:dyDescent="0.2">
      <c r="A19908" s="729">
        <v>45449</v>
      </c>
      <c r="B19908" s="93" t="s">
        <v>12684</v>
      </c>
      <c r="C19908" s="93" t="s">
        <v>558</v>
      </c>
      <c r="D19908" s="801" t="s">
        <v>13209</v>
      </c>
      <c r="E19908" s="175"/>
      <c r="F19908" s="175">
        <v>1056979</v>
      </c>
      <c r="G19908" s="175">
        <f t="shared" si="317"/>
        <v>1056979</v>
      </c>
      <c r="H19908" s="701" t="s">
        <v>13175</v>
      </c>
    </row>
    <row r="19909" spans="1:8" ht="36" x14ac:dyDescent="0.2">
      <c r="A19909" s="729">
        <v>45449</v>
      </c>
      <c r="B19909" s="93" t="s">
        <v>12684</v>
      </c>
      <c r="C19909" s="93" t="s">
        <v>558</v>
      </c>
      <c r="D19909" s="801" t="s">
        <v>13210</v>
      </c>
      <c r="E19909" s="175"/>
      <c r="F19909" s="175">
        <v>1056979</v>
      </c>
      <c r="G19909" s="175">
        <f t="shared" si="317"/>
        <v>1056979</v>
      </c>
      <c r="H19909" s="701" t="s">
        <v>13175</v>
      </c>
    </row>
    <row r="19910" spans="1:8" ht="27.75" customHeight="1" x14ac:dyDescent="0.2">
      <c r="A19910" s="729">
        <v>45449</v>
      </c>
      <c r="B19910" s="93" t="s">
        <v>12684</v>
      </c>
      <c r="C19910" s="93" t="s">
        <v>558</v>
      </c>
      <c r="D19910" s="801" t="s">
        <v>13211</v>
      </c>
      <c r="E19910" s="175"/>
      <c r="F19910" s="175">
        <v>1056979</v>
      </c>
      <c r="G19910" s="175">
        <f t="shared" si="317"/>
        <v>1056979</v>
      </c>
      <c r="H19910" s="701" t="s">
        <v>13175</v>
      </c>
    </row>
    <row r="19911" spans="1:8" ht="36" x14ac:dyDescent="0.2">
      <c r="A19911" s="729">
        <v>45449</v>
      </c>
      <c r="B19911" s="93" t="s">
        <v>12684</v>
      </c>
      <c r="C19911" s="93" t="s">
        <v>558</v>
      </c>
      <c r="D19911" s="801" t="s">
        <v>13211</v>
      </c>
      <c r="E19911" s="175"/>
      <c r="F19911" s="175">
        <v>1056979</v>
      </c>
      <c r="G19911" s="175">
        <f t="shared" si="317"/>
        <v>1056979</v>
      </c>
      <c r="H19911" s="701" t="s">
        <v>13175</v>
      </c>
    </row>
    <row r="19912" spans="1:8" ht="31.5" customHeight="1" x14ac:dyDescent="0.2">
      <c r="A19912" s="729">
        <v>45450</v>
      </c>
      <c r="B19912" s="93" t="s">
        <v>10899</v>
      </c>
      <c r="C19912" s="93" t="s">
        <v>558</v>
      </c>
      <c r="D19912" s="801" t="s">
        <v>13207</v>
      </c>
      <c r="E19912" s="175"/>
      <c r="F19912" s="175">
        <v>1458946</v>
      </c>
      <c r="G19912" s="175">
        <f t="shared" si="317"/>
        <v>1458946</v>
      </c>
      <c r="H19912" s="701" t="s">
        <v>13175</v>
      </c>
    </row>
    <row r="19913" spans="1:8" ht="15" x14ac:dyDescent="0.2">
      <c r="A19913" s="729">
        <v>45450</v>
      </c>
      <c r="B19913" s="93" t="s">
        <v>12607</v>
      </c>
      <c r="C19913" s="93" t="s">
        <v>558</v>
      </c>
      <c r="D19913" s="801" t="s">
        <v>13208</v>
      </c>
      <c r="E19913" s="175"/>
      <c r="F19913" s="175">
        <v>10666429</v>
      </c>
      <c r="G19913" s="175">
        <f t="shared" si="317"/>
        <v>10666429</v>
      </c>
      <c r="H19913" s="701" t="s">
        <v>13175</v>
      </c>
    </row>
    <row r="19914" spans="1:8" ht="15" x14ac:dyDescent="0.2">
      <c r="A19914" s="729">
        <v>45453</v>
      </c>
      <c r="B19914" s="93" t="s">
        <v>10899</v>
      </c>
      <c r="C19914" s="633" t="s">
        <v>558</v>
      </c>
      <c r="D19914" s="895" t="s">
        <v>13331</v>
      </c>
      <c r="E19914" s="635"/>
      <c r="F19914" s="635">
        <v>986074</v>
      </c>
      <c r="G19914" s="175">
        <f t="shared" si="317"/>
        <v>986074</v>
      </c>
      <c r="H19914" s="701" t="s">
        <v>13175</v>
      </c>
    </row>
    <row r="19915" spans="1:8" ht="15" x14ac:dyDescent="0.2">
      <c r="A19915" s="729">
        <v>45453</v>
      </c>
      <c r="B19915" s="93" t="s">
        <v>9353</v>
      </c>
      <c r="C19915" s="633" t="s">
        <v>558</v>
      </c>
      <c r="D19915" s="895" t="s">
        <v>13331</v>
      </c>
      <c r="E19915" s="635"/>
      <c r="F19915" s="635">
        <v>13926</v>
      </c>
      <c r="G19915" s="175">
        <f t="shared" si="317"/>
        <v>13926</v>
      </c>
      <c r="H19915" s="701" t="s">
        <v>13175</v>
      </c>
    </row>
    <row r="19916" spans="1:8" ht="15" x14ac:dyDescent="0.2">
      <c r="A19916" s="729">
        <v>45464</v>
      </c>
      <c r="B19916" s="93" t="s">
        <v>3945</v>
      </c>
      <c r="C19916" s="93" t="s">
        <v>558</v>
      </c>
      <c r="D19916" s="891" t="s">
        <v>13316</v>
      </c>
      <c r="E19916" s="175"/>
      <c r="F19916" s="175">
        <v>359992</v>
      </c>
      <c r="G19916" s="175">
        <f t="shared" si="317"/>
        <v>359992</v>
      </c>
      <c r="H19916" s="701" t="s">
        <v>13175</v>
      </c>
    </row>
    <row r="19917" spans="1:8" ht="15" x14ac:dyDescent="0.2">
      <c r="A19917" s="729">
        <v>45467</v>
      </c>
      <c r="B19917" s="93" t="s">
        <v>10773</v>
      </c>
      <c r="C19917" s="93" t="s">
        <v>558</v>
      </c>
      <c r="D19917" s="891" t="s">
        <v>12840</v>
      </c>
      <c r="E19917" s="175"/>
      <c r="F19917" s="175">
        <v>250000</v>
      </c>
      <c r="G19917" s="175">
        <f t="shared" si="317"/>
        <v>250000</v>
      </c>
      <c r="H19917" s="701" t="s">
        <v>13175</v>
      </c>
    </row>
    <row r="19918" spans="1:8" ht="15" x14ac:dyDescent="0.2">
      <c r="A19918" s="729">
        <v>45468</v>
      </c>
      <c r="B19918" s="93" t="s">
        <v>9353</v>
      </c>
      <c r="C19918" s="93" t="s">
        <v>558</v>
      </c>
      <c r="D19918" s="891" t="s">
        <v>13330</v>
      </c>
      <c r="E19918" s="175"/>
      <c r="F19918" s="175">
        <v>2000000</v>
      </c>
      <c r="G19918" s="175">
        <f t="shared" si="317"/>
        <v>2000000</v>
      </c>
      <c r="H19918" s="701" t="s">
        <v>13175</v>
      </c>
    </row>
    <row r="19919" spans="1:8" s="681" customFormat="1" ht="24" customHeight="1" x14ac:dyDescent="0.25">
      <c r="A19919" s="729">
        <v>45469</v>
      </c>
      <c r="B19919" s="93" t="s">
        <v>13115</v>
      </c>
      <c r="C19919" s="93" t="s">
        <v>558</v>
      </c>
      <c r="D19919" s="801" t="s">
        <v>13347</v>
      </c>
      <c r="E19919" s="175"/>
      <c r="F19919" s="175">
        <v>6619389</v>
      </c>
      <c r="G19919" s="175">
        <f t="shared" si="317"/>
        <v>6619389</v>
      </c>
      <c r="H19919" s="701" t="s">
        <v>13175</v>
      </c>
    </row>
    <row r="19920" spans="1:8" s="681" customFormat="1" ht="15" customHeight="1" x14ac:dyDescent="0.25">
      <c r="A19920" s="729">
        <v>45469</v>
      </c>
      <c r="B19920" s="93" t="s">
        <v>13115</v>
      </c>
      <c r="C19920" s="1055" t="s">
        <v>558</v>
      </c>
      <c r="D19920" s="897" t="s">
        <v>12017</v>
      </c>
      <c r="E19920" s="642">
        <v>66000</v>
      </c>
      <c r="F19920" s="175"/>
      <c r="G19920" s="175">
        <f t="shared" si="317"/>
        <v>-66000</v>
      </c>
      <c r="H19920" s="701" t="s">
        <v>13175</v>
      </c>
    </row>
    <row r="19921" spans="1:8" ht="15" x14ac:dyDescent="0.2">
      <c r="A19921" s="729">
        <v>45470</v>
      </c>
      <c r="B19921" s="93" t="s">
        <v>11614</v>
      </c>
      <c r="C19921" s="93" t="s">
        <v>558</v>
      </c>
      <c r="D19921" s="801" t="s">
        <v>13348</v>
      </c>
      <c r="E19921" s="175"/>
      <c r="F19921" s="175">
        <v>1402277</v>
      </c>
      <c r="G19921" s="175">
        <f t="shared" si="317"/>
        <v>1402277</v>
      </c>
      <c r="H19921" s="701" t="s">
        <v>13175</v>
      </c>
    </row>
    <row r="19922" spans="1:8" ht="15" x14ac:dyDescent="0.2">
      <c r="A19922" s="729">
        <v>45470</v>
      </c>
      <c r="B19922" s="93" t="s">
        <v>11498</v>
      </c>
      <c r="C19922" s="93" t="s">
        <v>558</v>
      </c>
      <c r="D19922" s="801" t="s">
        <v>13349</v>
      </c>
      <c r="E19922" s="175"/>
      <c r="F19922" s="175">
        <v>1904728.8212000001</v>
      </c>
      <c r="G19922" s="175">
        <f t="shared" si="317"/>
        <v>1904728.8212000001</v>
      </c>
      <c r="H19922" s="701" t="s">
        <v>13175</v>
      </c>
    </row>
    <row r="19923" spans="1:8" ht="15" x14ac:dyDescent="0.2">
      <c r="A19923" s="729">
        <v>45470</v>
      </c>
      <c r="B19923" s="93" t="s">
        <v>13301</v>
      </c>
      <c r="C19923" s="93" t="s">
        <v>558</v>
      </c>
      <c r="D19923" s="801" t="s">
        <v>13350</v>
      </c>
      <c r="E19923" s="175"/>
      <c r="F19923" s="175">
        <v>1421846</v>
      </c>
      <c r="G19923" s="175">
        <f t="shared" si="317"/>
        <v>1421846</v>
      </c>
      <c r="H19923" s="701" t="s">
        <v>13175</v>
      </c>
    </row>
    <row r="19924" spans="1:8" ht="15" x14ac:dyDescent="0.2">
      <c r="A19924" s="729">
        <v>45470</v>
      </c>
      <c r="B19924" s="93" t="s">
        <v>13301</v>
      </c>
      <c r="C19924" s="1055" t="s">
        <v>558</v>
      </c>
      <c r="D19924" s="897" t="s">
        <v>12017</v>
      </c>
      <c r="E19924" s="642">
        <v>14000</v>
      </c>
      <c r="F19924" s="175"/>
      <c r="G19924" s="175">
        <f t="shared" si="317"/>
        <v>-14000</v>
      </c>
      <c r="H19924" s="701" t="s">
        <v>13175</v>
      </c>
    </row>
    <row r="19925" spans="1:8" ht="15" x14ac:dyDescent="0.2">
      <c r="A19925" s="729">
        <v>45470</v>
      </c>
      <c r="B19925" s="93" t="s">
        <v>37</v>
      </c>
      <c r="C19925" s="93" t="s">
        <v>558</v>
      </c>
      <c r="D19925" s="891" t="s">
        <v>13351</v>
      </c>
      <c r="E19925" s="175"/>
      <c r="F19925" s="175">
        <v>246087</v>
      </c>
      <c r="G19925" s="175">
        <f t="shared" si="317"/>
        <v>246087</v>
      </c>
      <c r="H19925" s="701" t="s">
        <v>13175</v>
      </c>
    </row>
    <row r="19926" spans="1:8" ht="15" x14ac:dyDescent="0.2">
      <c r="A19926" s="729">
        <v>45470</v>
      </c>
      <c r="B19926" s="93" t="s">
        <v>11874</v>
      </c>
      <c r="C19926" s="93" t="s">
        <v>558</v>
      </c>
      <c r="D19926" s="891" t="s">
        <v>13353</v>
      </c>
      <c r="E19926" s="175"/>
      <c r="F19926" s="175">
        <v>10400000</v>
      </c>
      <c r="G19926" s="175">
        <f t="shared" si="317"/>
        <v>10400000</v>
      </c>
      <c r="H19926" s="701" t="s">
        <v>13175</v>
      </c>
    </row>
    <row r="19927" spans="1:8" ht="15" x14ac:dyDescent="0.2">
      <c r="A19927" s="733">
        <v>45474</v>
      </c>
      <c r="B19927" s="1071" t="s">
        <v>103</v>
      </c>
      <c r="C19927" s="1049" t="s">
        <v>793</v>
      </c>
      <c r="D19927" s="1072" t="s">
        <v>13384</v>
      </c>
      <c r="E19927" s="1073">
        <v>6000</v>
      </c>
      <c r="F19927" s="57"/>
      <c r="G19927" s="125">
        <f t="shared" si="317"/>
        <v>-6000</v>
      </c>
      <c r="H19927" s="704" t="s">
        <v>10654</v>
      </c>
    </row>
    <row r="19928" spans="1:8" ht="15" x14ac:dyDescent="0.2">
      <c r="A19928" s="733">
        <v>45474</v>
      </c>
      <c r="B19928" s="1071" t="s">
        <v>12607</v>
      </c>
      <c r="C19928" s="1049" t="s">
        <v>793</v>
      </c>
      <c r="D19928" s="1072" t="s">
        <v>12805</v>
      </c>
      <c r="E19928" s="1073">
        <v>50000</v>
      </c>
      <c r="F19928" s="57"/>
      <c r="G19928" s="125">
        <f t="shared" si="317"/>
        <v>-50000</v>
      </c>
      <c r="H19928" s="704" t="s">
        <v>10654</v>
      </c>
    </row>
    <row r="19929" spans="1:8" ht="15" x14ac:dyDescent="0.2">
      <c r="A19929" s="733">
        <v>45474</v>
      </c>
      <c r="B19929" s="1071" t="s">
        <v>10176</v>
      </c>
      <c r="C19929" s="1049" t="s">
        <v>793</v>
      </c>
      <c r="D19929" s="1072" t="s">
        <v>8428</v>
      </c>
      <c r="E19929" s="1073">
        <v>5000</v>
      </c>
      <c r="F19929" s="57"/>
      <c r="G19929" s="125">
        <f t="shared" si="317"/>
        <v>-5000</v>
      </c>
      <c r="H19929" s="704" t="s">
        <v>10654</v>
      </c>
    </row>
    <row r="19930" spans="1:8" ht="15" x14ac:dyDescent="0.2">
      <c r="A19930" s="733">
        <v>45474</v>
      </c>
      <c r="B19930" s="1071" t="s">
        <v>13115</v>
      </c>
      <c r="C19930" s="1049" t="s">
        <v>793</v>
      </c>
      <c r="D19930" s="1072" t="s">
        <v>12194</v>
      </c>
      <c r="E19930" s="1073">
        <v>50000</v>
      </c>
      <c r="F19930" s="57"/>
      <c r="G19930" s="125">
        <f t="shared" si="317"/>
        <v>-50000</v>
      </c>
      <c r="H19930" s="704" t="s">
        <v>10654</v>
      </c>
    </row>
    <row r="19931" spans="1:8" ht="15" x14ac:dyDescent="0.2">
      <c r="A19931" s="733">
        <v>45474</v>
      </c>
      <c r="B19931" s="1071" t="s">
        <v>103</v>
      </c>
      <c r="C19931" s="1049" t="s">
        <v>793</v>
      </c>
      <c r="D19931" s="1072" t="s">
        <v>12806</v>
      </c>
      <c r="E19931" s="1073">
        <v>105000</v>
      </c>
      <c r="F19931" s="57"/>
      <c r="G19931" s="125">
        <f t="shared" si="317"/>
        <v>-105000</v>
      </c>
      <c r="H19931" s="704" t="s">
        <v>10654</v>
      </c>
    </row>
    <row r="19932" spans="1:8" ht="15" x14ac:dyDescent="0.2">
      <c r="A19932" s="733">
        <v>45474</v>
      </c>
      <c r="B19932" s="1071" t="s">
        <v>12400</v>
      </c>
      <c r="C19932" s="1049" t="s">
        <v>793</v>
      </c>
      <c r="D19932" s="1072" t="s">
        <v>10746</v>
      </c>
      <c r="E19932" s="1073">
        <v>88625</v>
      </c>
      <c r="F19932" s="57"/>
      <c r="G19932" s="125">
        <f t="shared" si="317"/>
        <v>-88625</v>
      </c>
      <c r="H19932" s="704" t="s">
        <v>10654</v>
      </c>
    </row>
    <row r="19933" spans="1:8" ht="15" x14ac:dyDescent="0.2">
      <c r="A19933" s="733">
        <v>45474</v>
      </c>
      <c r="B19933" s="1071" t="s">
        <v>103</v>
      </c>
      <c r="C19933" s="1049" t="s">
        <v>793</v>
      </c>
      <c r="D19933" s="1072" t="s">
        <v>13394</v>
      </c>
      <c r="E19933" s="1073">
        <v>20000</v>
      </c>
      <c r="F19933" s="57"/>
      <c r="G19933" s="125">
        <f t="shared" si="317"/>
        <v>-20000</v>
      </c>
      <c r="H19933" s="704" t="s">
        <v>10654</v>
      </c>
    </row>
    <row r="19934" spans="1:8" ht="15" x14ac:dyDescent="0.2">
      <c r="A19934" s="733">
        <v>45474</v>
      </c>
      <c r="B19934" s="1071" t="s">
        <v>103</v>
      </c>
      <c r="C19934" s="1049" t="s">
        <v>793</v>
      </c>
      <c r="D19934" s="1072" t="s">
        <v>13406</v>
      </c>
      <c r="E19934" s="1073">
        <v>153500</v>
      </c>
      <c r="F19934" s="57"/>
      <c r="G19934" s="125">
        <f t="shared" si="317"/>
        <v>-153500</v>
      </c>
      <c r="H19934" s="704" t="s">
        <v>10654</v>
      </c>
    </row>
    <row r="19935" spans="1:8" ht="15" x14ac:dyDescent="0.2">
      <c r="A19935" s="733">
        <v>45475</v>
      </c>
      <c r="B19935" s="1071" t="s">
        <v>37</v>
      </c>
      <c r="C19935" s="1049" t="s">
        <v>793</v>
      </c>
      <c r="D19935" s="1072" t="s">
        <v>11823</v>
      </c>
      <c r="E19935" s="1073">
        <v>181737.5</v>
      </c>
      <c r="F19935" s="57"/>
      <c r="G19935" s="125">
        <f t="shared" si="317"/>
        <v>-181737.5</v>
      </c>
      <c r="H19935" s="704" t="s">
        <v>10654</v>
      </c>
    </row>
    <row r="19936" spans="1:8" ht="15" x14ac:dyDescent="0.2">
      <c r="A19936" s="733">
        <v>45475</v>
      </c>
      <c r="B19936" s="1071" t="s">
        <v>12400</v>
      </c>
      <c r="C19936" s="1049" t="s">
        <v>793</v>
      </c>
      <c r="D19936" s="1072" t="s">
        <v>13395</v>
      </c>
      <c r="E19936" s="1073">
        <v>204043</v>
      </c>
      <c r="F19936" s="57"/>
      <c r="G19936" s="125">
        <f t="shared" si="317"/>
        <v>-204043</v>
      </c>
      <c r="H19936" s="704" t="s">
        <v>10654</v>
      </c>
    </row>
    <row r="19937" spans="1:8" ht="15" x14ac:dyDescent="0.2">
      <c r="A19937" s="733">
        <v>45476</v>
      </c>
      <c r="B19937" s="1071" t="s">
        <v>11717</v>
      </c>
      <c r="C19937" s="1049" t="s">
        <v>793</v>
      </c>
      <c r="D19937" s="1072" t="s">
        <v>12385</v>
      </c>
      <c r="E19937" s="1073">
        <v>877970.83333333314</v>
      </c>
      <c r="F19937" s="57"/>
      <c r="G19937" s="125">
        <f t="shared" si="317"/>
        <v>-877970.83333333314</v>
      </c>
      <c r="H19937" s="704" t="s">
        <v>10654</v>
      </c>
    </row>
    <row r="19938" spans="1:8" ht="15" x14ac:dyDescent="0.2">
      <c r="A19938" s="733">
        <v>45476</v>
      </c>
      <c r="B19938" s="1071" t="s">
        <v>12694</v>
      </c>
      <c r="C19938" s="1049" t="s">
        <v>793</v>
      </c>
      <c r="D19938" s="1072" t="s">
        <v>13407</v>
      </c>
      <c r="E19938" s="1073">
        <v>126000</v>
      </c>
      <c r="F19938" s="57"/>
      <c r="G19938" s="125">
        <f t="shared" si="317"/>
        <v>-126000</v>
      </c>
      <c r="H19938" s="704" t="s">
        <v>10654</v>
      </c>
    </row>
    <row r="19939" spans="1:8" ht="15" x14ac:dyDescent="0.2">
      <c r="A19939" s="733">
        <v>45476</v>
      </c>
      <c r="B19939" s="1071" t="s">
        <v>12607</v>
      </c>
      <c r="C19939" s="1049" t="s">
        <v>793</v>
      </c>
      <c r="D19939" s="1072" t="s">
        <v>10744</v>
      </c>
      <c r="E19939" s="1073">
        <v>53333</v>
      </c>
      <c r="F19939" s="57"/>
      <c r="G19939" s="125">
        <f t="shared" si="317"/>
        <v>-53333</v>
      </c>
      <c r="H19939" s="704" t="s">
        <v>10654</v>
      </c>
    </row>
    <row r="19940" spans="1:8" ht="15" x14ac:dyDescent="0.2">
      <c r="A19940" s="733">
        <v>45476</v>
      </c>
      <c r="B19940" s="1071" t="s">
        <v>11077</v>
      </c>
      <c r="C19940" s="1049" t="s">
        <v>793</v>
      </c>
      <c r="D19940" s="1072" t="s">
        <v>11825</v>
      </c>
      <c r="E19940" s="1073">
        <v>61500</v>
      </c>
      <c r="F19940" s="57"/>
      <c r="G19940" s="125">
        <f t="shared" si="317"/>
        <v>-61500</v>
      </c>
      <c r="H19940" s="704" t="s">
        <v>10654</v>
      </c>
    </row>
    <row r="19941" spans="1:8" ht="15" x14ac:dyDescent="0.2">
      <c r="A19941" s="733">
        <v>45476</v>
      </c>
      <c r="B19941" s="1071" t="s">
        <v>12607</v>
      </c>
      <c r="C19941" s="1049" t="s">
        <v>793</v>
      </c>
      <c r="D19941" s="1072" t="s">
        <v>13408</v>
      </c>
      <c r="E19941" s="1073">
        <v>84790</v>
      </c>
      <c r="F19941" s="57"/>
      <c r="G19941" s="125">
        <f t="shared" si="317"/>
        <v>-84790</v>
      </c>
      <c r="H19941" s="704" t="s">
        <v>10654</v>
      </c>
    </row>
    <row r="19942" spans="1:8" ht="15" x14ac:dyDescent="0.2">
      <c r="A19942" s="733">
        <v>45477</v>
      </c>
      <c r="B19942" s="1071" t="s">
        <v>3945</v>
      </c>
      <c r="C19942" s="1049" t="s">
        <v>793</v>
      </c>
      <c r="D19942" s="1072" t="s">
        <v>12082</v>
      </c>
      <c r="E19942" s="1073">
        <v>148664.58333333334</v>
      </c>
      <c r="F19942" s="57"/>
      <c r="G19942" s="125">
        <f t="shared" si="317"/>
        <v>-148664.58333333334</v>
      </c>
      <c r="H19942" s="704" t="s">
        <v>10654</v>
      </c>
    </row>
    <row r="19943" spans="1:8" ht="15" x14ac:dyDescent="0.2">
      <c r="A19943" s="733">
        <v>45477</v>
      </c>
      <c r="B19943" s="1071" t="s">
        <v>103</v>
      </c>
      <c r="C19943" s="1049" t="s">
        <v>793</v>
      </c>
      <c r="D19943" s="1072" t="s">
        <v>13423</v>
      </c>
      <c r="E19943" s="1073">
        <v>143066.66666666666</v>
      </c>
      <c r="F19943" s="57"/>
      <c r="G19943" s="125">
        <f t="shared" si="317"/>
        <v>-143066.66666666666</v>
      </c>
      <c r="H19943" s="704" t="s">
        <v>10654</v>
      </c>
    </row>
    <row r="19944" spans="1:8" ht="15" x14ac:dyDescent="0.2">
      <c r="A19944" s="733">
        <v>45478</v>
      </c>
      <c r="B19944" s="1071" t="s">
        <v>3944</v>
      </c>
      <c r="C19944" s="1049" t="s">
        <v>793</v>
      </c>
      <c r="D19944" s="1072" t="s">
        <v>12389</v>
      </c>
      <c r="E19944" s="1073">
        <v>165810</v>
      </c>
      <c r="F19944" s="57"/>
      <c r="G19944" s="125">
        <f t="shared" si="317"/>
        <v>-165810</v>
      </c>
      <c r="H19944" s="704" t="s">
        <v>10654</v>
      </c>
    </row>
    <row r="19945" spans="1:8" ht="15" x14ac:dyDescent="0.2">
      <c r="A19945" s="733">
        <v>45478</v>
      </c>
      <c r="B19945" s="1071" t="s">
        <v>12607</v>
      </c>
      <c r="C19945" s="1049" t="s">
        <v>793</v>
      </c>
      <c r="D19945" s="1072" t="s">
        <v>13430</v>
      </c>
      <c r="E19945" s="1073">
        <v>219375</v>
      </c>
      <c r="F19945" s="57"/>
      <c r="G19945" s="125">
        <f t="shared" si="317"/>
        <v>-219375</v>
      </c>
      <c r="H19945" s="704" t="s">
        <v>10654</v>
      </c>
    </row>
    <row r="19946" spans="1:8" ht="15" x14ac:dyDescent="0.2">
      <c r="A19946" s="733">
        <v>45478</v>
      </c>
      <c r="B19946" s="1071" t="s">
        <v>11077</v>
      </c>
      <c r="C19946" s="1049" t="s">
        <v>793</v>
      </c>
      <c r="D19946" s="1072" t="s">
        <v>13434</v>
      </c>
      <c r="E19946" s="1073">
        <v>20225</v>
      </c>
      <c r="F19946" s="57"/>
      <c r="G19946" s="125">
        <f t="shared" si="317"/>
        <v>-20225</v>
      </c>
      <c r="H19946" s="704" t="s">
        <v>10654</v>
      </c>
    </row>
    <row r="19947" spans="1:8" ht="15" x14ac:dyDescent="0.2">
      <c r="A19947" s="733">
        <v>45478</v>
      </c>
      <c r="B19947" s="1071" t="s">
        <v>11077</v>
      </c>
      <c r="C19947" s="1049" t="s">
        <v>793</v>
      </c>
      <c r="D19947" s="1072" t="s">
        <v>13435</v>
      </c>
      <c r="E19947" s="1073">
        <v>17200</v>
      </c>
      <c r="F19947" s="57"/>
      <c r="G19947" s="125">
        <f t="shared" si="317"/>
        <v>-17200</v>
      </c>
      <c r="H19947" s="704" t="s">
        <v>10654</v>
      </c>
    </row>
    <row r="19948" spans="1:8" ht="15" x14ac:dyDescent="0.2">
      <c r="A19948" s="733">
        <v>45478</v>
      </c>
      <c r="B19948" s="1071" t="s">
        <v>3945</v>
      </c>
      <c r="C19948" s="1049" t="s">
        <v>793</v>
      </c>
      <c r="D19948" s="1072" t="s">
        <v>8427</v>
      </c>
      <c r="E19948" s="1073">
        <v>28000</v>
      </c>
      <c r="F19948" s="57"/>
      <c r="G19948" s="125">
        <f t="shared" si="317"/>
        <v>-28000</v>
      </c>
      <c r="H19948" s="704" t="s">
        <v>10654</v>
      </c>
    </row>
    <row r="19949" spans="1:8" ht="15" x14ac:dyDescent="0.2">
      <c r="A19949" s="733">
        <v>45480</v>
      </c>
      <c r="B19949" s="1071" t="s">
        <v>10899</v>
      </c>
      <c r="C19949" s="1049" t="s">
        <v>793</v>
      </c>
      <c r="D19949" s="1072" t="s">
        <v>11576</v>
      </c>
      <c r="E19949" s="1073">
        <v>52300</v>
      </c>
      <c r="F19949" s="57"/>
      <c r="G19949" s="125">
        <f t="shared" si="317"/>
        <v>-52300</v>
      </c>
      <c r="H19949" s="704" t="s">
        <v>10654</v>
      </c>
    </row>
    <row r="19950" spans="1:8" ht="15" x14ac:dyDescent="0.2">
      <c r="A19950" s="733">
        <v>45483</v>
      </c>
      <c r="B19950" s="1071" t="s">
        <v>12059</v>
      </c>
      <c r="C19950" s="1049" t="s">
        <v>793</v>
      </c>
      <c r="D19950" s="1072" t="s">
        <v>13470</v>
      </c>
      <c r="E19950" s="1073">
        <v>55000</v>
      </c>
      <c r="F19950" s="57"/>
      <c r="G19950" s="125">
        <f t="shared" si="317"/>
        <v>-55000</v>
      </c>
      <c r="H19950" s="704" t="s">
        <v>10654</v>
      </c>
    </row>
    <row r="19951" spans="1:8" ht="15" x14ac:dyDescent="0.2">
      <c r="A19951" s="733">
        <v>45485</v>
      </c>
      <c r="B19951" s="1071" t="s">
        <v>11717</v>
      </c>
      <c r="C19951" s="1049" t="s">
        <v>793</v>
      </c>
      <c r="D19951" s="1072" t="s">
        <v>13491</v>
      </c>
      <c r="E19951" s="1073">
        <v>15000</v>
      </c>
      <c r="F19951" s="57"/>
      <c r="G19951" s="125">
        <f>F19951-E19951</f>
        <v>-15000</v>
      </c>
      <c r="H19951" s="704" t="s">
        <v>10654</v>
      </c>
    </row>
    <row r="19952" spans="1:8" ht="15" x14ac:dyDescent="0.2">
      <c r="A19952" s="733">
        <v>45474</v>
      </c>
      <c r="B19952" s="40" t="s">
        <v>103</v>
      </c>
      <c r="C19952" s="62" t="s">
        <v>103</v>
      </c>
      <c r="D19952" s="107" t="s">
        <v>10208</v>
      </c>
      <c r="E19952" s="57">
        <v>5000</v>
      </c>
      <c r="F19952" s="57"/>
      <c r="G19952" s="125">
        <f t="shared" si="317"/>
        <v>-5000</v>
      </c>
      <c r="H19952" s="704" t="s">
        <v>10654</v>
      </c>
    </row>
    <row r="19953" spans="1:8" ht="15" x14ac:dyDescent="0.2">
      <c r="A19953" s="733">
        <v>45474</v>
      </c>
      <c r="B19953" s="40" t="s">
        <v>10176</v>
      </c>
      <c r="C19953" s="62" t="s">
        <v>10981</v>
      </c>
      <c r="D19953" s="107" t="s">
        <v>13385</v>
      </c>
      <c r="E19953" s="57">
        <v>7600</v>
      </c>
      <c r="F19953" s="57"/>
      <c r="G19953" s="125">
        <f t="shared" si="317"/>
        <v>-7600</v>
      </c>
      <c r="H19953" s="704" t="s">
        <v>10654</v>
      </c>
    </row>
    <row r="19954" spans="1:8" ht="15" x14ac:dyDescent="0.2">
      <c r="A19954" s="733">
        <v>45474</v>
      </c>
      <c r="B19954" s="40" t="s">
        <v>12694</v>
      </c>
      <c r="C19954" s="62" t="s">
        <v>10981</v>
      </c>
      <c r="D19954" s="107" t="s">
        <v>13386</v>
      </c>
      <c r="E19954" s="57">
        <v>1900</v>
      </c>
      <c r="F19954" s="57"/>
      <c r="G19954" s="125">
        <f t="shared" si="317"/>
        <v>-1900</v>
      </c>
      <c r="H19954" s="704" t="s">
        <v>10654</v>
      </c>
    </row>
    <row r="19955" spans="1:8" ht="15" x14ac:dyDescent="0.2">
      <c r="A19955" s="733">
        <v>45474</v>
      </c>
      <c r="B19955" s="40" t="s">
        <v>13230</v>
      </c>
      <c r="C19955" s="62" t="s">
        <v>13264</v>
      </c>
      <c r="D19955" s="107" t="s">
        <v>13387</v>
      </c>
      <c r="E19955" s="57">
        <v>443500</v>
      </c>
      <c r="F19955" s="57"/>
      <c r="G19955" s="125">
        <f t="shared" si="317"/>
        <v>-443500</v>
      </c>
      <c r="H19955" s="704" t="s">
        <v>10654</v>
      </c>
    </row>
    <row r="19956" spans="1:8" ht="15" x14ac:dyDescent="0.2">
      <c r="A19956" s="733">
        <v>45474</v>
      </c>
      <c r="B19956" s="40" t="s">
        <v>13388</v>
      </c>
      <c r="C19956" s="62" t="s">
        <v>13389</v>
      </c>
      <c r="D19956" s="107" t="s">
        <v>13390</v>
      </c>
      <c r="E19956" s="57">
        <v>400000</v>
      </c>
      <c r="F19956" s="57"/>
      <c r="G19956" s="125">
        <f t="shared" si="317"/>
        <v>-400000</v>
      </c>
      <c r="H19956" s="704" t="s">
        <v>10654</v>
      </c>
    </row>
    <row r="19957" spans="1:8" ht="15" x14ac:dyDescent="0.2">
      <c r="A19957" s="733">
        <v>45474</v>
      </c>
      <c r="B19957" s="40" t="s">
        <v>12684</v>
      </c>
      <c r="C19957" s="62" t="s">
        <v>11727</v>
      </c>
      <c r="D19957" s="107" t="s">
        <v>13411</v>
      </c>
      <c r="E19957" s="57">
        <v>450000</v>
      </c>
      <c r="F19957" s="57"/>
      <c r="G19957" s="125">
        <f t="shared" si="317"/>
        <v>-450000</v>
      </c>
      <c r="H19957" s="704" t="s">
        <v>10654</v>
      </c>
    </row>
    <row r="19958" spans="1:8" ht="15" x14ac:dyDescent="0.2">
      <c r="A19958" s="733">
        <v>45474</v>
      </c>
      <c r="B19958" s="40" t="s">
        <v>13182</v>
      </c>
      <c r="C19958" s="62" t="s">
        <v>10981</v>
      </c>
      <c r="D19958" s="107" t="s">
        <v>13391</v>
      </c>
      <c r="E19958" s="57">
        <v>100000</v>
      </c>
      <c r="F19958" s="57"/>
      <c r="G19958" s="125">
        <f t="shared" si="317"/>
        <v>-100000</v>
      </c>
      <c r="H19958" s="704" t="s">
        <v>10654</v>
      </c>
    </row>
    <row r="19959" spans="1:8" ht="15" x14ac:dyDescent="0.2">
      <c r="A19959" s="733">
        <v>45474</v>
      </c>
      <c r="B19959" s="40" t="s">
        <v>12400</v>
      </c>
      <c r="C19959" s="62" t="s">
        <v>10981</v>
      </c>
      <c r="D19959" s="107" t="s">
        <v>12510</v>
      </c>
      <c r="E19959" s="57">
        <v>960</v>
      </c>
      <c r="F19959" s="57"/>
      <c r="G19959" s="125">
        <f t="shared" si="317"/>
        <v>-960</v>
      </c>
      <c r="H19959" s="704" t="s">
        <v>10654</v>
      </c>
    </row>
    <row r="19960" spans="1:8" ht="15" x14ac:dyDescent="0.2">
      <c r="A19960" s="733">
        <v>45474</v>
      </c>
      <c r="B19960" s="40" t="s">
        <v>13115</v>
      </c>
      <c r="C19960" s="62" t="s">
        <v>10981</v>
      </c>
      <c r="D19960" s="107" t="s">
        <v>13393</v>
      </c>
      <c r="E19960" s="57">
        <v>800</v>
      </c>
      <c r="F19960" s="57"/>
      <c r="G19960" s="125">
        <f t="shared" si="317"/>
        <v>-800</v>
      </c>
      <c r="H19960" s="704" t="s">
        <v>10654</v>
      </c>
    </row>
    <row r="19961" spans="1:8" ht="15" x14ac:dyDescent="0.2">
      <c r="A19961" s="733">
        <v>45474</v>
      </c>
      <c r="B19961" s="40" t="s">
        <v>13322</v>
      </c>
      <c r="C19961" s="62" t="s">
        <v>10981</v>
      </c>
      <c r="D19961" s="107" t="s">
        <v>13527</v>
      </c>
      <c r="E19961" s="57">
        <v>50000</v>
      </c>
      <c r="F19961" s="57"/>
      <c r="G19961" s="125">
        <f t="shared" si="317"/>
        <v>-50000</v>
      </c>
      <c r="H19961" s="704" t="s">
        <v>10654</v>
      </c>
    </row>
    <row r="19962" spans="1:8" ht="15" x14ac:dyDescent="0.2">
      <c r="A19962" s="733">
        <v>45475</v>
      </c>
      <c r="B19962" s="40" t="s">
        <v>11717</v>
      </c>
      <c r="C19962" s="62" t="s">
        <v>5740</v>
      </c>
      <c r="D19962" s="107" t="s">
        <v>13396</v>
      </c>
      <c r="E19962" s="57">
        <v>300</v>
      </c>
      <c r="F19962" s="57"/>
      <c r="G19962" s="125">
        <f t="shared" si="317"/>
        <v>-300</v>
      </c>
      <c r="H19962" s="704" t="s">
        <v>10654</v>
      </c>
    </row>
    <row r="19963" spans="1:8" ht="15" x14ac:dyDescent="0.2">
      <c r="A19963" s="733">
        <v>45475</v>
      </c>
      <c r="B19963" s="40" t="s">
        <v>37</v>
      </c>
      <c r="C19963" s="62" t="s">
        <v>391</v>
      </c>
      <c r="D19963" s="107" t="s">
        <v>13397</v>
      </c>
      <c r="E19963" s="57">
        <v>700</v>
      </c>
      <c r="F19963" s="57"/>
      <c r="G19963" s="125">
        <f t="shared" si="317"/>
        <v>-700</v>
      </c>
      <c r="H19963" s="704" t="s">
        <v>10654</v>
      </c>
    </row>
    <row r="19964" spans="1:8" ht="15" x14ac:dyDescent="0.2">
      <c r="A19964" s="733">
        <v>45475</v>
      </c>
      <c r="B19964" s="40" t="s">
        <v>37</v>
      </c>
      <c r="C19964" s="62" t="s">
        <v>391</v>
      </c>
      <c r="D19964" s="107" t="s">
        <v>5754</v>
      </c>
      <c r="E19964" s="57">
        <v>3000</v>
      </c>
      <c r="F19964" s="57"/>
      <c r="G19964" s="125">
        <f t="shared" si="317"/>
        <v>-3000</v>
      </c>
      <c r="H19964" s="704" t="s">
        <v>10654</v>
      </c>
    </row>
    <row r="19965" spans="1:8" ht="15" x14ac:dyDescent="0.2">
      <c r="A19965" s="733">
        <v>45475</v>
      </c>
      <c r="B19965" s="40" t="s">
        <v>13115</v>
      </c>
      <c r="C19965" s="62" t="s">
        <v>10981</v>
      </c>
      <c r="D19965" s="107" t="s">
        <v>13398</v>
      </c>
      <c r="E19965" s="57">
        <v>3500</v>
      </c>
      <c r="F19965" s="57"/>
      <c r="G19965" s="125">
        <f t="shared" si="317"/>
        <v>-3500</v>
      </c>
      <c r="H19965" s="704" t="s">
        <v>10654</v>
      </c>
    </row>
    <row r="19966" spans="1:8" ht="15" x14ac:dyDescent="0.2">
      <c r="A19966" s="733">
        <v>45475</v>
      </c>
      <c r="B19966" s="40" t="s">
        <v>6503</v>
      </c>
      <c r="C19966" s="62" t="s">
        <v>5740</v>
      </c>
      <c r="D19966" s="107" t="s">
        <v>369</v>
      </c>
      <c r="E19966" s="57">
        <v>1000</v>
      </c>
      <c r="F19966" s="57"/>
      <c r="G19966" s="125">
        <f t="shared" si="317"/>
        <v>-1000</v>
      </c>
      <c r="H19966" s="704" t="s">
        <v>10654</v>
      </c>
    </row>
    <row r="19967" spans="1:8" ht="15" x14ac:dyDescent="0.2">
      <c r="A19967" s="733">
        <v>45475</v>
      </c>
      <c r="B19967" s="40" t="s">
        <v>103</v>
      </c>
      <c r="C19967" s="62" t="s">
        <v>103</v>
      </c>
      <c r="D19967" s="107" t="s">
        <v>10208</v>
      </c>
      <c r="E19967" s="57">
        <v>5000</v>
      </c>
      <c r="F19967" s="57"/>
      <c r="G19967" s="125">
        <f t="shared" si="317"/>
        <v>-5000</v>
      </c>
      <c r="H19967" s="704" t="s">
        <v>10654</v>
      </c>
    </row>
    <row r="19968" spans="1:8" ht="15" x14ac:dyDescent="0.2">
      <c r="A19968" s="733">
        <v>45475</v>
      </c>
      <c r="B19968" s="40" t="s">
        <v>103</v>
      </c>
      <c r="C19968" s="62" t="s">
        <v>2671</v>
      </c>
      <c r="D19968" s="107" t="s">
        <v>13399</v>
      </c>
      <c r="E19968" s="57">
        <v>1000</v>
      </c>
      <c r="F19968" s="57"/>
      <c r="G19968" s="125">
        <f t="shared" si="317"/>
        <v>-1000</v>
      </c>
      <c r="H19968" s="704" t="s">
        <v>10654</v>
      </c>
    </row>
    <row r="19969" spans="1:8" ht="15" x14ac:dyDescent="0.2">
      <c r="A19969" s="733">
        <v>45475</v>
      </c>
      <c r="B19969" s="40" t="s">
        <v>103</v>
      </c>
      <c r="C19969" s="62" t="s">
        <v>2671</v>
      </c>
      <c r="D19969" s="107" t="s">
        <v>13400</v>
      </c>
      <c r="E19969" s="57">
        <v>1500</v>
      </c>
      <c r="F19969" s="57"/>
      <c r="G19969" s="125">
        <f t="shared" si="317"/>
        <v>-1500</v>
      </c>
      <c r="H19969" s="704" t="s">
        <v>10654</v>
      </c>
    </row>
    <row r="19970" spans="1:8" ht="15" x14ac:dyDescent="0.2">
      <c r="A19970" s="733">
        <v>45475</v>
      </c>
      <c r="B19970" s="40" t="s">
        <v>25</v>
      </c>
      <c r="C19970" s="62" t="s">
        <v>8148</v>
      </c>
      <c r="D19970" s="107" t="s">
        <v>8616</v>
      </c>
      <c r="E19970" s="57">
        <v>920</v>
      </c>
      <c r="F19970" s="57"/>
      <c r="G19970" s="125">
        <f t="shared" ref="G19970:G20032" si="318">F19970-E19970</f>
        <v>-920</v>
      </c>
      <c r="H19970" s="704" t="s">
        <v>10654</v>
      </c>
    </row>
    <row r="19971" spans="1:8" ht="15" x14ac:dyDescent="0.2">
      <c r="A19971" s="733">
        <v>45475</v>
      </c>
      <c r="B19971" s="40" t="s">
        <v>103</v>
      </c>
      <c r="C19971" s="62" t="s">
        <v>8148</v>
      </c>
      <c r="D19971" s="107" t="s">
        <v>8616</v>
      </c>
      <c r="E19971" s="57">
        <v>1250</v>
      </c>
      <c r="F19971" s="57"/>
      <c r="G19971" s="125">
        <f t="shared" si="318"/>
        <v>-1250</v>
      </c>
      <c r="H19971" s="704" t="s">
        <v>10654</v>
      </c>
    </row>
    <row r="19972" spans="1:8" ht="15" x14ac:dyDescent="0.2">
      <c r="A19972" s="733">
        <v>45475</v>
      </c>
      <c r="B19972" s="40" t="s">
        <v>13115</v>
      </c>
      <c r="C19972" s="62" t="s">
        <v>5740</v>
      </c>
      <c r="D19972" s="107" t="s">
        <v>369</v>
      </c>
      <c r="E19972" s="57">
        <v>5000</v>
      </c>
      <c r="F19972" s="57"/>
      <c r="G19972" s="125">
        <f t="shared" si="318"/>
        <v>-5000</v>
      </c>
      <c r="H19972" s="704" t="s">
        <v>10654</v>
      </c>
    </row>
    <row r="19973" spans="1:8" ht="15" x14ac:dyDescent="0.2">
      <c r="A19973" s="733">
        <v>45475</v>
      </c>
      <c r="B19973" s="40" t="s">
        <v>12607</v>
      </c>
      <c r="C19973" s="62" t="s">
        <v>3103</v>
      </c>
      <c r="D19973" s="107" t="s">
        <v>13401</v>
      </c>
      <c r="E19973" s="57">
        <v>10000</v>
      </c>
      <c r="F19973" s="57"/>
      <c r="G19973" s="125">
        <f t="shared" si="318"/>
        <v>-10000</v>
      </c>
      <c r="H19973" s="704" t="s">
        <v>10654</v>
      </c>
    </row>
    <row r="19974" spans="1:8" ht="15" x14ac:dyDescent="0.2">
      <c r="A19974" s="733">
        <v>45475</v>
      </c>
      <c r="B19974" s="40" t="s">
        <v>13230</v>
      </c>
      <c r="C19974" s="62" t="s">
        <v>13264</v>
      </c>
      <c r="D19974" s="107" t="s">
        <v>13402</v>
      </c>
      <c r="E19974" s="57">
        <v>500000</v>
      </c>
      <c r="F19974" s="57"/>
      <c r="G19974" s="125">
        <f t="shared" si="318"/>
        <v>-500000</v>
      </c>
      <c r="H19974" s="704" t="s">
        <v>10654</v>
      </c>
    </row>
    <row r="19975" spans="1:8" ht="15" x14ac:dyDescent="0.2">
      <c r="A19975" s="733">
        <v>45475</v>
      </c>
      <c r="B19975" s="40" t="s">
        <v>10899</v>
      </c>
      <c r="C19975" s="62" t="s">
        <v>13278</v>
      </c>
      <c r="D19975" s="107" t="s">
        <v>13403</v>
      </c>
      <c r="E19975" s="57">
        <v>350000</v>
      </c>
      <c r="F19975" s="57"/>
      <c r="G19975" s="125">
        <f t="shared" si="318"/>
        <v>-350000</v>
      </c>
      <c r="H19975" s="704" t="s">
        <v>10654</v>
      </c>
    </row>
    <row r="19976" spans="1:8" ht="15" customHeight="1" x14ac:dyDescent="0.2">
      <c r="A19976" s="733">
        <v>45475</v>
      </c>
      <c r="B19976" s="40" t="s">
        <v>13322</v>
      </c>
      <c r="C19976" s="62" t="s">
        <v>13177</v>
      </c>
      <c r="D19976" s="107" t="s">
        <v>13404</v>
      </c>
      <c r="E19976" s="57">
        <v>25000</v>
      </c>
      <c r="F19976" s="57"/>
      <c r="G19976" s="125">
        <f t="shared" si="318"/>
        <v>-25000</v>
      </c>
      <c r="H19976" s="704" t="s">
        <v>10654</v>
      </c>
    </row>
    <row r="19977" spans="1:8" ht="15" x14ac:dyDescent="0.2">
      <c r="A19977" s="733">
        <v>45475</v>
      </c>
      <c r="B19977" s="40" t="s">
        <v>12607</v>
      </c>
      <c r="C19977" s="62" t="s">
        <v>11386</v>
      </c>
      <c r="D19977" s="107" t="s">
        <v>13413</v>
      </c>
      <c r="E19977" s="57">
        <v>300000</v>
      </c>
      <c r="F19977" s="57"/>
      <c r="G19977" s="125">
        <f t="shared" si="318"/>
        <v>-300000</v>
      </c>
      <c r="H19977" s="704" t="s">
        <v>10654</v>
      </c>
    </row>
    <row r="19978" spans="1:8" ht="15" x14ac:dyDescent="0.2">
      <c r="A19978" s="733">
        <v>45475</v>
      </c>
      <c r="B19978" s="40" t="s">
        <v>12607</v>
      </c>
      <c r="C19978" s="62" t="s">
        <v>10981</v>
      </c>
      <c r="D19978" s="107" t="s">
        <v>13412</v>
      </c>
      <c r="E19978" s="57">
        <v>150000</v>
      </c>
      <c r="F19978" s="57"/>
      <c r="G19978" s="125">
        <f t="shared" si="318"/>
        <v>-150000</v>
      </c>
      <c r="H19978" s="704" t="s">
        <v>10654</v>
      </c>
    </row>
    <row r="19979" spans="1:8" ht="15" x14ac:dyDescent="0.2">
      <c r="A19979" s="733">
        <v>45475</v>
      </c>
      <c r="B19979" s="40" t="s">
        <v>12607</v>
      </c>
      <c r="C19979" s="62" t="s">
        <v>10981</v>
      </c>
      <c r="D19979" s="107" t="s">
        <v>13421</v>
      </c>
      <c r="E19979" s="57">
        <v>4500</v>
      </c>
      <c r="F19979" s="57"/>
      <c r="G19979" s="125">
        <f t="shared" si="318"/>
        <v>-4500</v>
      </c>
      <c r="H19979" s="704" t="s">
        <v>10654</v>
      </c>
    </row>
    <row r="19980" spans="1:8" ht="15" x14ac:dyDescent="0.2">
      <c r="A19980" s="733">
        <v>45476</v>
      </c>
      <c r="B19980" s="40" t="s">
        <v>13322</v>
      </c>
      <c r="C19980" s="62" t="s">
        <v>6422</v>
      </c>
      <c r="D19980" s="107" t="s">
        <v>13405</v>
      </c>
      <c r="E19980" s="57">
        <v>150000</v>
      </c>
      <c r="F19980" s="57"/>
      <c r="G19980" s="125">
        <f t="shared" si="318"/>
        <v>-150000</v>
      </c>
      <c r="H19980" s="704" t="s">
        <v>10654</v>
      </c>
    </row>
    <row r="19981" spans="1:8" ht="15" x14ac:dyDescent="0.2">
      <c r="A19981" s="733">
        <v>45476</v>
      </c>
      <c r="B19981" s="40" t="s">
        <v>103</v>
      </c>
      <c r="C19981" s="62" t="s">
        <v>13424</v>
      </c>
      <c r="D19981" s="107" t="s">
        <v>13465</v>
      </c>
      <c r="E19981" s="57">
        <v>98000</v>
      </c>
      <c r="F19981" s="57"/>
      <c r="G19981" s="125">
        <f t="shared" si="318"/>
        <v>-98000</v>
      </c>
      <c r="H19981" s="704" t="s">
        <v>10654</v>
      </c>
    </row>
    <row r="19982" spans="1:8" ht="15" x14ac:dyDescent="0.2">
      <c r="A19982" s="733">
        <v>45476</v>
      </c>
      <c r="B19982" s="40" t="s">
        <v>13182</v>
      </c>
      <c r="C19982" s="62" t="s">
        <v>10233</v>
      </c>
      <c r="D19982" s="107" t="s">
        <v>13425</v>
      </c>
      <c r="E19982" s="57">
        <v>105000</v>
      </c>
      <c r="F19982" s="57"/>
      <c r="G19982" s="125">
        <f t="shared" si="318"/>
        <v>-105000</v>
      </c>
      <c r="H19982" s="704" t="s">
        <v>10654</v>
      </c>
    </row>
    <row r="19983" spans="1:8" ht="15" x14ac:dyDescent="0.2">
      <c r="A19983" s="733">
        <v>45476</v>
      </c>
      <c r="B19983" s="40" t="s">
        <v>11077</v>
      </c>
      <c r="C19983" s="62" t="s">
        <v>391</v>
      </c>
      <c r="D19983" s="107" t="s">
        <v>13409</v>
      </c>
      <c r="E19983" s="57">
        <v>1500</v>
      </c>
      <c r="F19983" s="57"/>
      <c r="G19983" s="125">
        <f t="shared" si="318"/>
        <v>-1500</v>
      </c>
      <c r="H19983" s="704" t="s">
        <v>10654</v>
      </c>
    </row>
    <row r="19984" spans="1:8" ht="15" x14ac:dyDescent="0.2">
      <c r="A19984" s="733">
        <v>45476</v>
      </c>
      <c r="B19984" s="40" t="s">
        <v>103</v>
      </c>
      <c r="C19984" s="62" t="s">
        <v>103</v>
      </c>
      <c r="D19984" s="107" t="s">
        <v>10208</v>
      </c>
      <c r="E19984" s="57">
        <v>5000</v>
      </c>
      <c r="F19984" s="57"/>
      <c r="G19984" s="125">
        <f t="shared" si="318"/>
        <v>-5000</v>
      </c>
      <c r="H19984" s="704" t="s">
        <v>10654</v>
      </c>
    </row>
    <row r="19985" spans="1:8" ht="15" x14ac:dyDescent="0.2">
      <c r="A19985" s="733">
        <v>45476</v>
      </c>
      <c r="B19985" s="40" t="s">
        <v>103</v>
      </c>
      <c r="C19985" s="62" t="s">
        <v>391</v>
      </c>
      <c r="D19985" s="107" t="s">
        <v>13410</v>
      </c>
      <c r="E19985" s="57">
        <v>1900</v>
      </c>
      <c r="F19985" s="57"/>
      <c r="G19985" s="125">
        <f t="shared" si="318"/>
        <v>-1900</v>
      </c>
      <c r="H19985" s="704" t="s">
        <v>10654</v>
      </c>
    </row>
    <row r="19986" spans="1:8" ht="15" customHeight="1" x14ac:dyDescent="0.2">
      <c r="A19986" s="733">
        <v>45477</v>
      </c>
      <c r="B19986" s="40" t="s">
        <v>3945</v>
      </c>
      <c r="C19986" s="62" t="s">
        <v>391</v>
      </c>
      <c r="D19986" s="107" t="s">
        <v>13422</v>
      </c>
      <c r="E19986" s="57">
        <v>10000</v>
      </c>
      <c r="F19986" s="57"/>
      <c r="G19986" s="125">
        <f t="shared" si="318"/>
        <v>-10000</v>
      </c>
      <c r="H19986" s="704" t="s">
        <v>10654</v>
      </c>
    </row>
    <row r="19987" spans="1:8" ht="15" customHeight="1" x14ac:dyDescent="0.2">
      <c r="A19987" s="733">
        <v>45477</v>
      </c>
      <c r="B19987" s="40" t="s">
        <v>13182</v>
      </c>
      <c r="C19987" s="62" t="s">
        <v>10233</v>
      </c>
      <c r="D19987" s="107" t="s">
        <v>13426</v>
      </c>
      <c r="E19987" s="57">
        <v>500000</v>
      </c>
      <c r="F19987" s="57"/>
      <c r="G19987" s="125">
        <f t="shared" si="318"/>
        <v>-500000</v>
      </c>
      <c r="H19987" s="704" t="s">
        <v>10654</v>
      </c>
    </row>
    <row r="19988" spans="1:8" ht="15" x14ac:dyDescent="0.2">
      <c r="A19988" s="733">
        <v>45477</v>
      </c>
      <c r="B19988" s="40" t="s">
        <v>13182</v>
      </c>
      <c r="C19988" s="62" t="s">
        <v>13427</v>
      </c>
      <c r="D19988" s="107" t="s">
        <v>13428</v>
      </c>
      <c r="E19988" s="57">
        <v>200000</v>
      </c>
      <c r="F19988" s="57"/>
      <c r="G19988" s="125">
        <f t="shared" si="318"/>
        <v>-200000</v>
      </c>
      <c r="H19988" s="704" t="s">
        <v>10654</v>
      </c>
    </row>
    <row r="19989" spans="1:8" ht="15" x14ac:dyDescent="0.2">
      <c r="A19989" s="733">
        <v>45477</v>
      </c>
      <c r="B19989" s="40" t="s">
        <v>13182</v>
      </c>
      <c r="C19989" s="62" t="s">
        <v>13427</v>
      </c>
      <c r="D19989" s="107" t="s">
        <v>13438</v>
      </c>
      <c r="E19989" s="57">
        <v>500000</v>
      </c>
      <c r="F19989" s="57"/>
      <c r="G19989" s="125">
        <f t="shared" si="318"/>
        <v>-500000</v>
      </c>
      <c r="H19989" s="704" t="s">
        <v>10654</v>
      </c>
    </row>
    <row r="19990" spans="1:8" ht="15" customHeight="1" x14ac:dyDescent="0.2">
      <c r="A19990" s="733">
        <v>45477</v>
      </c>
      <c r="B19990" s="40" t="s">
        <v>12607</v>
      </c>
      <c r="C19990" s="62" t="s">
        <v>13338</v>
      </c>
      <c r="D19990" s="107" t="s">
        <v>13429</v>
      </c>
      <c r="E19990" s="57">
        <v>75750</v>
      </c>
      <c r="F19990" s="57"/>
      <c r="G19990" s="125">
        <f t="shared" si="318"/>
        <v>-75750</v>
      </c>
      <c r="H19990" s="704" t="s">
        <v>10654</v>
      </c>
    </row>
    <row r="19991" spans="1:8" ht="15" x14ac:dyDescent="0.2">
      <c r="A19991" s="733">
        <v>45477</v>
      </c>
      <c r="B19991" s="40" t="s">
        <v>37</v>
      </c>
      <c r="C19991" s="62" t="s">
        <v>391</v>
      </c>
      <c r="D19991" s="107" t="s">
        <v>12593</v>
      </c>
      <c r="E19991" s="57">
        <v>3550</v>
      </c>
      <c r="F19991" s="57"/>
      <c r="G19991" s="125">
        <f t="shared" si="318"/>
        <v>-3550</v>
      </c>
      <c r="H19991" s="704" t="s">
        <v>10654</v>
      </c>
    </row>
    <row r="19992" spans="1:8" ht="15" x14ac:dyDescent="0.2">
      <c r="A19992" s="733">
        <v>45477</v>
      </c>
      <c r="B19992" s="40" t="s">
        <v>6503</v>
      </c>
      <c r="C19992" s="62" t="s">
        <v>391</v>
      </c>
      <c r="D19992" s="107" t="s">
        <v>13454</v>
      </c>
      <c r="E19992" s="57">
        <v>3000</v>
      </c>
      <c r="F19992" s="57"/>
      <c r="G19992" s="125">
        <f t="shared" si="318"/>
        <v>-3000</v>
      </c>
      <c r="H19992" s="704" t="s">
        <v>10654</v>
      </c>
    </row>
    <row r="19993" spans="1:8" ht="15" x14ac:dyDescent="0.2">
      <c r="A19993" s="733">
        <v>45477</v>
      </c>
      <c r="B19993" s="40" t="s">
        <v>37</v>
      </c>
      <c r="C19993" s="62" t="s">
        <v>391</v>
      </c>
      <c r="D19993" s="107" t="s">
        <v>12589</v>
      </c>
      <c r="E19993" s="57">
        <v>6040</v>
      </c>
      <c r="F19993" s="57"/>
      <c r="G19993" s="125">
        <f t="shared" si="318"/>
        <v>-6040</v>
      </c>
      <c r="H19993" s="704" t="s">
        <v>10654</v>
      </c>
    </row>
    <row r="19994" spans="1:8" ht="15" x14ac:dyDescent="0.2">
      <c r="A19994" s="733">
        <v>45477</v>
      </c>
      <c r="B19994" s="40" t="s">
        <v>11717</v>
      </c>
      <c r="C19994" s="62" t="s">
        <v>391</v>
      </c>
      <c r="D19994" s="107" t="s">
        <v>13455</v>
      </c>
      <c r="E19994" s="57">
        <v>4500</v>
      </c>
      <c r="F19994" s="57"/>
      <c r="G19994" s="125">
        <f t="shared" si="318"/>
        <v>-4500</v>
      </c>
      <c r="H19994" s="704" t="s">
        <v>10654</v>
      </c>
    </row>
    <row r="19995" spans="1:8" ht="15" x14ac:dyDescent="0.2">
      <c r="A19995" s="733">
        <v>45477</v>
      </c>
      <c r="B19995" s="40" t="s">
        <v>37</v>
      </c>
      <c r="C19995" s="62" t="s">
        <v>391</v>
      </c>
      <c r="D19995" s="107" t="s">
        <v>13456</v>
      </c>
      <c r="E19995" s="57">
        <v>6650</v>
      </c>
      <c r="F19995" s="57"/>
      <c r="G19995" s="125">
        <f t="shared" si="318"/>
        <v>-6650</v>
      </c>
      <c r="H19995" s="704" t="s">
        <v>10654</v>
      </c>
    </row>
    <row r="19996" spans="1:8" ht="15" customHeight="1" x14ac:dyDescent="0.2">
      <c r="A19996" s="733">
        <v>45478</v>
      </c>
      <c r="B19996" s="40" t="s">
        <v>13115</v>
      </c>
      <c r="C19996" s="62" t="s">
        <v>5740</v>
      </c>
      <c r="D19996" s="107" t="s">
        <v>1156</v>
      </c>
      <c r="E19996" s="57">
        <v>500</v>
      </c>
      <c r="F19996" s="57"/>
      <c r="G19996" s="125">
        <f t="shared" si="318"/>
        <v>-500</v>
      </c>
      <c r="H19996" s="704" t="s">
        <v>10654</v>
      </c>
    </row>
    <row r="19997" spans="1:8" ht="15" customHeight="1" x14ac:dyDescent="0.2">
      <c r="A19997" s="733">
        <v>45478</v>
      </c>
      <c r="B19997" s="40" t="s">
        <v>103</v>
      </c>
      <c r="C19997" s="62" t="s">
        <v>103</v>
      </c>
      <c r="D19997" s="107" t="s">
        <v>10208</v>
      </c>
      <c r="E19997" s="57">
        <v>5000</v>
      </c>
      <c r="F19997" s="57"/>
      <c r="G19997" s="125">
        <f t="shared" si="318"/>
        <v>-5000</v>
      </c>
      <c r="H19997" s="704" t="s">
        <v>10654</v>
      </c>
    </row>
    <row r="19998" spans="1:8" ht="15" customHeight="1" x14ac:dyDescent="0.2">
      <c r="A19998" s="733">
        <v>45478</v>
      </c>
      <c r="B19998" s="40" t="s">
        <v>12607</v>
      </c>
      <c r="C19998" s="62" t="s">
        <v>371</v>
      </c>
      <c r="D19998" s="107" t="s">
        <v>13431</v>
      </c>
      <c r="E19998" s="57">
        <v>1000</v>
      </c>
      <c r="F19998" s="57"/>
      <c r="G19998" s="125">
        <f t="shared" si="318"/>
        <v>-1000</v>
      </c>
      <c r="H19998" s="704" t="s">
        <v>10654</v>
      </c>
    </row>
    <row r="19999" spans="1:8" ht="15" customHeight="1" x14ac:dyDescent="0.2">
      <c r="A19999" s="733">
        <v>45478</v>
      </c>
      <c r="B19999" s="40" t="s">
        <v>13301</v>
      </c>
      <c r="C19999" s="62" t="s">
        <v>5409</v>
      </c>
      <c r="D19999" s="107" t="s">
        <v>13432</v>
      </c>
      <c r="E19999" s="57">
        <v>5000</v>
      </c>
      <c r="F19999" s="57"/>
      <c r="G19999" s="125">
        <f t="shared" si="318"/>
        <v>-5000</v>
      </c>
      <c r="H19999" s="704" t="s">
        <v>10654</v>
      </c>
    </row>
    <row r="20000" spans="1:8" ht="15" customHeight="1" x14ac:dyDescent="0.2">
      <c r="A20000" s="733">
        <v>45478</v>
      </c>
      <c r="B20000" s="40" t="s">
        <v>11077</v>
      </c>
      <c r="C20000" s="62" t="s">
        <v>11952</v>
      </c>
      <c r="D20000" s="107" t="s">
        <v>13433</v>
      </c>
      <c r="E20000" s="57">
        <v>6000</v>
      </c>
      <c r="F20000" s="57"/>
      <c r="G20000" s="125">
        <f t="shared" si="318"/>
        <v>-6000</v>
      </c>
      <c r="H20000" s="704" t="s">
        <v>10654</v>
      </c>
    </row>
    <row r="20001" spans="1:8" ht="15" customHeight="1" x14ac:dyDescent="0.2">
      <c r="A20001" s="733">
        <v>45478</v>
      </c>
      <c r="B20001" s="40" t="s">
        <v>13115</v>
      </c>
      <c r="C20001" s="62" t="s">
        <v>5740</v>
      </c>
      <c r="D20001" s="107" t="s">
        <v>369</v>
      </c>
      <c r="E20001" s="57">
        <v>3500</v>
      </c>
      <c r="F20001" s="57"/>
      <c r="G20001" s="125">
        <f t="shared" si="318"/>
        <v>-3500</v>
      </c>
      <c r="H20001" s="704" t="s">
        <v>10654</v>
      </c>
    </row>
    <row r="20002" spans="1:8" ht="15" customHeight="1" x14ac:dyDescent="0.2">
      <c r="A20002" s="733">
        <v>45478</v>
      </c>
      <c r="B20002" s="40" t="s">
        <v>103</v>
      </c>
      <c r="C20002" s="62" t="s">
        <v>1494</v>
      </c>
      <c r="D20002" s="107" t="s">
        <v>369</v>
      </c>
      <c r="E20002" s="57">
        <v>3080</v>
      </c>
      <c r="F20002" s="57"/>
      <c r="G20002" s="125">
        <f t="shared" si="318"/>
        <v>-3080</v>
      </c>
      <c r="H20002" s="704" t="s">
        <v>10654</v>
      </c>
    </row>
    <row r="20003" spans="1:8" ht="15" customHeight="1" x14ac:dyDescent="0.2">
      <c r="A20003" s="733">
        <v>45478</v>
      </c>
      <c r="B20003" s="40" t="s">
        <v>6503</v>
      </c>
      <c r="C20003" s="62" t="s">
        <v>13436</v>
      </c>
      <c r="D20003" s="107" t="s">
        <v>13437</v>
      </c>
      <c r="E20003" s="57">
        <v>40000</v>
      </c>
      <c r="F20003" s="57"/>
      <c r="G20003" s="125">
        <f t="shared" si="318"/>
        <v>-40000</v>
      </c>
      <c r="H20003" s="704" t="s">
        <v>10654</v>
      </c>
    </row>
    <row r="20004" spans="1:8" ht="15" customHeight="1" x14ac:dyDescent="0.2">
      <c r="A20004" s="733">
        <v>45478</v>
      </c>
      <c r="B20004" s="40" t="s">
        <v>13260</v>
      </c>
      <c r="C20004" s="62" t="s">
        <v>5740</v>
      </c>
      <c r="D20004" s="107" t="s">
        <v>369</v>
      </c>
      <c r="E20004" s="57">
        <v>500</v>
      </c>
      <c r="F20004" s="57"/>
      <c r="G20004" s="125">
        <f t="shared" si="318"/>
        <v>-500</v>
      </c>
      <c r="H20004" s="704" t="s">
        <v>10654</v>
      </c>
    </row>
    <row r="20005" spans="1:8" ht="15" customHeight="1" x14ac:dyDescent="0.2">
      <c r="A20005" s="733">
        <v>45478</v>
      </c>
      <c r="B20005" s="40" t="s">
        <v>11614</v>
      </c>
      <c r="C20005" s="62" t="s">
        <v>5740</v>
      </c>
      <c r="D20005" s="107" t="s">
        <v>369</v>
      </c>
      <c r="E20005" s="57">
        <v>500</v>
      </c>
      <c r="F20005" s="57"/>
      <c r="G20005" s="125">
        <f t="shared" si="318"/>
        <v>-500</v>
      </c>
      <c r="H20005" s="704" t="s">
        <v>10654</v>
      </c>
    </row>
    <row r="20006" spans="1:8" ht="15" customHeight="1" x14ac:dyDescent="0.2">
      <c r="A20006" s="733">
        <v>45478</v>
      </c>
      <c r="B20006" s="40" t="s">
        <v>13115</v>
      </c>
      <c r="C20006" s="62" t="s">
        <v>5740</v>
      </c>
      <c r="D20006" s="107" t="s">
        <v>369</v>
      </c>
      <c r="E20006" s="57">
        <v>1000</v>
      </c>
      <c r="F20006" s="57"/>
      <c r="G20006" s="125">
        <f t="shared" si="318"/>
        <v>-1000</v>
      </c>
      <c r="H20006" s="704" t="s">
        <v>10654</v>
      </c>
    </row>
    <row r="20007" spans="1:8" ht="15" customHeight="1" x14ac:dyDescent="0.2">
      <c r="A20007" s="733">
        <v>45478</v>
      </c>
      <c r="B20007" s="40" t="s">
        <v>13115</v>
      </c>
      <c r="C20007" s="62" t="s">
        <v>285</v>
      </c>
      <c r="D20007" s="107" t="s">
        <v>8531</v>
      </c>
      <c r="E20007" s="57">
        <v>1000</v>
      </c>
      <c r="F20007" s="57"/>
      <c r="G20007" s="125">
        <f t="shared" si="318"/>
        <v>-1000</v>
      </c>
      <c r="H20007" s="704" t="s">
        <v>10654</v>
      </c>
    </row>
    <row r="20008" spans="1:8" ht="15" customHeight="1" x14ac:dyDescent="0.2">
      <c r="A20008" s="733">
        <v>45478</v>
      </c>
      <c r="B20008" s="40" t="s">
        <v>13182</v>
      </c>
      <c r="C20008" s="62" t="s">
        <v>10233</v>
      </c>
      <c r="D20008" s="107" t="s">
        <v>13426</v>
      </c>
      <c r="E20008" s="57">
        <v>300000</v>
      </c>
      <c r="F20008" s="57"/>
      <c r="G20008" s="125">
        <f t="shared" si="318"/>
        <v>-300000</v>
      </c>
      <c r="H20008" s="704" t="s">
        <v>10654</v>
      </c>
    </row>
    <row r="20009" spans="1:8" ht="15" x14ac:dyDescent="0.2">
      <c r="A20009" s="733">
        <v>45478</v>
      </c>
      <c r="B20009" s="40" t="s">
        <v>13182</v>
      </c>
      <c r="C20009" s="62" t="s">
        <v>10233</v>
      </c>
      <c r="D20009" s="107" t="s">
        <v>13426</v>
      </c>
      <c r="E20009" s="57">
        <v>100000</v>
      </c>
      <c r="F20009" s="57"/>
      <c r="G20009" s="125">
        <f t="shared" si="318"/>
        <v>-100000</v>
      </c>
      <c r="H20009" s="704" t="s">
        <v>10654</v>
      </c>
    </row>
    <row r="20010" spans="1:8" ht="15" x14ac:dyDescent="0.2">
      <c r="A20010" s="733">
        <v>45478</v>
      </c>
      <c r="B20010" s="40" t="s">
        <v>13115</v>
      </c>
      <c r="C20010" s="62" t="s">
        <v>10981</v>
      </c>
      <c r="D20010" s="107" t="s">
        <v>13439</v>
      </c>
      <c r="E20010" s="57">
        <v>115000</v>
      </c>
      <c r="F20010" s="57"/>
      <c r="G20010" s="125">
        <f t="shared" si="318"/>
        <v>-115000</v>
      </c>
      <c r="H20010" s="704" t="s">
        <v>10654</v>
      </c>
    </row>
    <row r="20011" spans="1:8" ht="15" x14ac:dyDescent="0.2">
      <c r="A20011" s="733">
        <v>45478</v>
      </c>
      <c r="B20011" s="40" t="s">
        <v>6503</v>
      </c>
      <c r="C20011" s="669" t="s">
        <v>8391</v>
      </c>
      <c r="D20011" s="912" t="s">
        <v>13448</v>
      </c>
      <c r="E20011" s="584">
        <v>255098</v>
      </c>
      <c r="F20011" s="57"/>
      <c r="G20011" s="125">
        <f t="shared" si="318"/>
        <v>-255098</v>
      </c>
      <c r="H20011" s="704" t="s">
        <v>10654</v>
      </c>
    </row>
    <row r="20012" spans="1:8" ht="15" x14ac:dyDescent="0.2">
      <c r="A20012" s="733">
        <v>45478</v>
      </c>
      <c r="B20012" s="40" t="s">
        <v>11077</v>
      </c>
      <c r="C20012" s="669" t="s">
        <v>8391</v>
      </c>
      <c r="D20012" s="912" t="s">
        <v>13448</v>
      </c>
      <c r="E20012" s="584">
        <v>24451</v>
      </c>
      <c r="F20012" s="57"/>
      <c r="G20012" s="125">
        <f t="shared" si="318"/>
        <v>-24451</v>
      </c>
      <c r="H20012" s="704" t="s">
        <v>10654</v>
      </c>
    </row>
    <row r="20013" spans="1:8" ht="15" x14ac:dyDescent="0.2">
      <c r="A20013" s="733">
        <v>45478</v>
      </c>
      <c r="B20013" s="40" t="s">
        <v>11498</v>
      </c>
      <c r="C20013" s="669" t="s">
        <v>8391</v>
      </c>
      <c r="D20013" s="912" t="s">
        <v>13448</v>
      </c>
      <c r="E20013" s="584">
        <v>37853</v>
      </c>
      <c r="F20013" s="57"/>
      <c r="G20013" s="125">
        <f t="shared" si="318"/>
        <v>-37853</v>
      </c>
      <c r="H20013" s="704" t="s">
        <v>10654</v>
      </c>
    </row>
    <row r="20014" spans="1:8" ht="15" x14ac:dyDescent="0.2">
      <c r="A20014" s="733">
        <v>45478</v>
      </c>
      <c r="B20014" s="40" t="s">
        <v>12182</v>
      </c>
      <c r="C20014" s="669" t="s">
        <v>8391</v>
      </c>
      <c r="D20014" s="912" t="s">
        <v>13448</v>
      </c>
      <c r="E20014" s="584">
        <v>261620</v>
      </c>
      <c r="F20014" s="57"/>
      <c r="G20014" s="125">
        <f t="shared" si="318"/>
        <v>-261620</v>
      </c>
      <c r="H20014" s="704" t="s">
        <v>10654</v>
      </c>
    </row>
    <row r="20015" spans="1:8" ht="15" x14ac:dyDescent="0.2">
      <c r="A20015" s="733">
        <v>45478</v>
      </c>
      <c r="B20015" s="40" t="s">
        <v>13115</v>
      </c>
      <c r="C20015" s="669" t="s">
        <v>8391</v>
      </c>
      <c r="D20015" s="912" t="s">
        <v>13448</v>
      </c>
      <c r="E20015" s="584">
        <v>69112</v>
      </c>
      <c r="F20015" s="57"/>
      <c r="G20015" s="125">
        <f t="shared" si="318"/>
        <v>-69112</v>
      </c>
      <c r="H20015" s="704" t="s">
        <v>10654</v>
      </c>
    </row>
    <row r="20016" spans="1:8" ht="15" x14ac:dyDescent="0.2">
      <c r="A20016" s="733">
        <v>45478</v>
      </c>
      <c r="B20016" s="40" t="s">
        <v>13260</v>
      </c>
      <c r="C20016" s="669" t="s">
        <v>8391</v>
      </c>
      <c r="D20016" s="912" t="s">
        <v>13448</v>
      </c>
      <c r="E20016" s="584">
        <v>195823</v>
      </c>
      <c r="F20016" s="57"/>
      <c r="G20016" s="125">
        <f t="shared" si="318"/>
        <v>-195823</v>
      </c>
      <c r="H20016" s="704" t="s">
        <v>10654</v>
      </c>
    </row>
    <row r="20017" spans="1:8" ht="15" x14ac:dyDescent="0.2">
      <c r="A20017" s="733">
        <v>45478</v>
      </c>
      <c r="B20017" s="40" t="s">
        <v>13115</v>
      </c>
      <c r="C20017" s="669" t="s">
        <v>8391</v>
      </c>
      <c r="D20017" s="912" t="s">
        <v>13448</v>
      </c>
      <c r="E20017" s="584">
        <v>331043</v>
      </c>
      <c r="F20017" s="57"/>
      <c r="G20017" s="125">
        <f t="shared" si="318"/>
        <v>-331043</v>
      </c>
      <c r="H20017" s="704" t="s">
        <v>10654</v>
      </c>
    </row>
    <row r="20018" spans="1:8" ht="15" x14ac:dyDescent="0.2">
      <c r="A20018" s="733">
        <v>45478</v>
      </c>
      <c r="B20018" s="40" t="s">
        <v>13115</v>
      </c>
      <c r="C20018" s="565" t="s">
        <v>1197</v>
      </c>
      <c r="D20018" s="894" t="s">
        <v>13446</v>
      </c>
      <c r="E20018" s="629">
        <v>1000000</v>
      </c>
      <c r="F20018" s="57"/>
      <c r="G20018" s="125">
        <f t="shared" si="318"/>
        <v>-1000000</v>
      </c>
      <c r="H20018" s="704" t="s">
        <v>10654</v>
      </c>
    </row>
    <row r="20019" spans="1:8" ht="15" x14ac:dyDescent="0.2">
      <c r="A20019" s="733">
        <v>45478</v>
      </c>
      <c r="B20019" s="40" t="s">
        <v>13230</v>
      </c>
      <c r="C20019" s="565" t="s">
        <v>1197</v>
      </c>
      <c r="D20019" s="894" t="s">
        <v>13447</v>
      </c>
      <c r="E20019" s="629">
        <v>500000</v>
      </c>
      <c r="F20019" s="57"/>
      <c r="G20019" s="125">
        <f t="shared" si="318"/>
        <v>-500000</v>
      </c>
      <c r="H20019" s="704" t="s">
        <v>10654</v>
      </c>
    </row>
    <row r="20020" spans="1:8" ht="15" x14ac:dyDescent="0.2">
      <c r="A20020" s="733">
        <v>45479</v>
      </c>
      <c r="B20020" s="40" t="s">
        <v>13230</v>
      </c>
      <c r="C20020" s="62" t="s">
        <v>5740</v>
      </c>
      <c r="D20020" s="107" t="s">
        <v>1156</v>
      </c>
      <c r="E20020" s="57">
        <v>7000</v>
      </c>
      <c r="F20020" s="57"/>
      <c r="G20020" s="125">
        <f t="shared" si="318"/>
        <v>-7000</v>
      </c>
      <c r="H20020" s="704" t="s">
        <v>10654</v>
      </c>
    </row>
    <row r="20021" spans="1:8" ht="15" x14ac:dyDescent="0.2">
      <c r="A20021" s="733">
        <v>45479</v>
      </c>
      <c r="B20021" s="40" t="s">
        <v>25</v>
      </c>
      <c r="C20021" s="62" t="s">
        <v>4064</v>
      </c>
      <c r="D20021" s="107" t="s">
        <v>13440</v>
      </c>
      <c r="E20021" s="57">
        <v>2500</v>
      </c>
      <c r="F20021" s="57"/>
      <c r="G20021" s="125">
        <f t="shared" si="318"/>
        <v>-2500</v>
      </c>
      <c r="H20021" s="704" t="s">
        <v>10654</v>
      </c>
    </row>
    <row r="20022" spans="1:8" ht="15" x14ac:dyDescent="0.2">
      <c r="A20022" s="733">
        <v>45479</v>
      </c>
      <c r="B20022" s="40" t="s">
        <v>13115</v>
      </c>
      <c r="C20022" s="62" t="s">
        <v>8369</v>
      </c>
      <c r="D20022" s="107" t="s">
        <v>13441</v>
      </c>
      <c r="E20022" s="57">
        <v>8700</v>
      </c>
      <c r="F20022" s="57"/>
      <c r="G20022" s="125">
        <f t="shared" si="318"/>
        <v>-8700</v>
      </c>
      <c r="H20022" s="704" t="s">
        <v>10654</v>
      </c>
    </row>
    <row r="20023" spans="1:8" ht="15" x14ac:dyDescent="0.2">
      <c r="A20023" s="733">
        <v>45479</v>
      </c>
      <c r="B20023" s="40" t="s">
        <v>13115</v>
      </c>
      <c r="C20023" s="62" t="s">
        <v>10981</v>
      </c>
      <c r="D20023" s="107" t="s">
        <v>13442</v>
      </c>
      <c r="E20023" s="57">
        <v>51000</v>
      </c>
      <c r="F20023" s="57"/>
      <c r="G20023" s="125">
        <f t="shared" si="318"/>
        <v>-51000</v>
      </c>
      <c r="H20023" s="704" t="s">
        <v>10654</v>
      </c>
    </row>
    <row r="20024" spans="1:8" ht="15" x14ac:dyDescent="0.2">
      <c r="A20024" s="733">
        <v>45479</v>
      </c>
      <c r="B20024" s="40" t="s">
        <v>11874</v>
      </c>
      <c r="C20024" s="62" t="s">
        <v>13451</v>
      </c>
      <c r="D20024" s="107" t="s">
        <v>13452</v>
      </c>
      <c r="E20024" s="57">
        <v>3000</v>
      </c>
      <c r="F20024" s="57"/>
      <c r="G20024" s="125">
        <f t="shared" si="318"/>
        <v>-3000</v>
      </c>
      <c r="H20024" s="704" t="s">
        <v>10654</v>
      </c>
    </row>
    <row r="20025" spans="1:8" ht="15" x14ac:dyDescent="0.2">
      <c r="A20025" s="733">
        <v>45479</v>
      </c>
      <c r="B20025" s="40" t="s">
        <v>103</v>
      </c>
      <c r="C20025" s="62" t="s">
        <v>103</v>
      </c>
      <c r="D20025" s="107" t="s">
        <v>10208</v>
      </c>
      <c r="E20025" s="57">
        <v>5000</v>
      </c>
      <c r="F20025" s="57"/>
      <c r="G20025" s="125">
        <f t="shared" si="318"/>
        <v>-5000</v>
      </c>
      <c r="H20025" s="704" t="s">
        <v>10654</v>
      </c>
    </row>
    <row r="20026" spans="1:8" ht="15" x14ac:dyDescent="0.2">
      <c r="A20026" s="733">
        <v>45479</v>
      </c>
      <c r="B20026" s="40" t="s">
        <v>13115</v>
      </c>
      <c r="C20026" s="62" t="s">
        <v>391</v>
      </c>
      <c r="D20026" s="107" t="s">
        <v>11265</v>
      </c>
      <c r="E20026" s="57">
        <v>1000</v>
      </c>
      <c r="F20026" s="57"/>
      <c r="G20026" s="125">
        <f t="shared" si="318"/>
        <v>-1000</v>
      </c>
      <c r="H20026" s="704" t="s">
        <v>10654</v>
      </c>
    </row>
    <row r="20027" spans="1:8" ht="15" x14ac:dyDescent="0.2">
      <c r="A20027" s="733">
        <v>45479</v>
      </c>
      <c r="B20027" s="40" t="s">
        <v>3944</v>
      </c>
      <c r="C20027" s="62" t="s">
        <v>391</v>
      </c>
      <c r="D20027" s="107" t="s">
        <v>13443</v>
      </c>
      <c r="E20027" s="57">
        <v>500</v>
      </c>
      <c r="F20027" s="57"/>
      <c r="G20027" s="125">
        <f t="shared" si="318"/>
        <v>-500</v>
      </c>
      <c r="H20027" s="704" t="s">
        <v>10654</v>
      </c>
    </row>
    <row r="20028" spans="1:8" ht="15" x14ac:dyDescent="0.2">
      <c r="A20028" s="733">
        <v>45479</v>
      </c>
      <c r="B20028" s="40" t="s">
        <v>13444</v>
      </c>
      <c r="C20028" s="62" t="s">
        <v>13445</v>
      </c>
      <c r="D20028" s="107" t="s">
        <v>10572</v>
      </c>
      <c r="E20028" s="57">
        <v>50000</v>
      </c>
      <c r="F20028" s="57"/>
      <c r="G20028" s="125">
        <f t="shared" si="318"/>
        <v>-50000</v>
      </c>
      <c r="H20028" s="704" t="s">
        <v>10654</v>
      </c>
    </row>
    <row r="20029" spans="1:8" ht="15" x14ac:dyDescent="0.2">
      <c r="A20029" s="733">
        <v>45479</v>
      </c>
      <c r="B20029" s="40" t="s">
        <v>11077</v>
      </c>
      <c r="C20029" s="62" t="s">
        <v>10981</v>
      </c>
      <c r="D20029" s="107" t="s">
        <v>13450</v>
      </c>
      <c r="E20029" s="57">
        <v>15330</v>
      </c>
      <c r="F20029" s="57"/>
      <c r="G20029" s="125">
        <f t="shared" si="318"/>
        <v>-15330</v>
      </c>
      <c r="H20029" s="704" t="s">
        <v>10654</v>
      </c>
    </row>
    <row r="20030" spans="1:8" ht="15" x14ac:dyDescent="0.2">
      <c r="A20030" s="733">
        <v>45479</v>
      </c>
      <c r="B20030" s="40" t="s">
        <v>13230</v>
      </c>
      <c r="C20030" s="62" t="s">
        <v>10981</v>
      </c>
      <c r="D20030" s="107" t="s">
        <v>13457</v>
      </c>
      <c r="E20030" s="57">
        <v>10000</v>
      </c>
      <c r="F20030" s="57"/>
      <c r="G20030" s="125">
        <f t="shared" si="318"/>
        <v>-10000</v>
      </c>
      <c r="H20030" s="704" t="s">
        <v>10654</v>
      </c>
    </row>
    <row r="20031" spans="1:8" ht="15" x14ac:dyDescent="0.2">
      <c r="A20031" s="733">
        <v>45479</v>
      </c>
      <c r="B20031" s="40" t="s">
        <v>11874</v>
      </c>
      <c r="C20031" s="62" t="s">
        <v>5740</v>
      </c>
      <c r="D20031" s="107" t="s">
        <v>369</v>
      </c>
      <c r="E20031" s="57">
        <v>1000</v>
      </c>
      <c r="F20031" s="57"/>
      <c r="G20031" s="125">
        <f t="shared" si="318"/>
        <v>-1000</v>
      </c>
      <c r="H20031" s="704" t="s">
        <v>10654</v>
      </c>
    </row>
    <row r="20032" spans="1:8" ht="15" x14ac:dyDescent="0.2">
      <c r="A20032" s="733">
        <v>45480</v>
      </c>
      <c r="B20032" s="40" t="s">
        <v>12182</v>
      </c>
      <c r="C20032" s="669" t="s">
        <v>8391</v>
      </c>
      <c r="D20032" s="912" t="s">
        <v>13483</v>
      </c>
      <c r="E20032" s="584">
        <v>235968</v>
      </c>
      <c r="F20032" s="57"/>
      <c r="G20032" s="125">
        <f t="shared" si="318"/>
        <v>-235968</v>
      </c>
      <c r="H20032" s="704" t="s">
        <v>10654</v>
      </c>
    </row>
    <row r="20033" spans="1:8" ht="15" x14ac:dyDescent="0.2">
      <c r="A20033" s="733">
        <v>45480</v>
      </c>
      <c r="B20033" s="40" t="s">
        <v>13115</v>
      </c>
      <c r="C20033" s="669" t="s">
        <v>8391</v>
      </c>
      <c r="D20033" s="912" t="s">
        <v>13483</v>
      </c>
      <c r="E20033" s="584">
        <v>319738</v>
      </c>
      <c r="F20033" s="57"/>
      <c r="G20033" s="125">
        <f t="shared" ref="G20033:G20035" si="319">F20033-E20033</f>
        <v>-319738</v>
      </c>
      <c r="H20033" s="704" t="s">
        <v>10654</v>
      </c>
    </row>
    <row r="20034" spans="1:8" ht="15" x14ac:dyDescent="0.2">
      <c r="A20034" s="733">
        <v>45480</v>
      </c>
      <c r="B20034" s="40" t="s">
        <v>13182</v>
      </c>
      <c r="C20034" s="669" t="s">
        <v>8391</v>
      </c>
      <c r="D20034" s="912" t="s">
        <v>13483</v>
      </c>
      <c r="E20034" s="584">
        <v>120070</v>
      </c>
      <c r="F20034" s="57"/>
      <c r="G20034" s="125">
        <f t="shared" si="319"/>
        <v>-120070</v>
      </c>
      <c r="H20034" s="704" t="s">
        <v>10654</v>
      </c>
    </row>
    <row r="20035" spans="1:8" ht="15" x14ac:dyDescent="0.2">
      <c r="A20035" s="733">
        <v>45480</v>
      </c>
      <c r="B20035" s="40" t="s">
        <v>13481</v>
      </c>
      <c r="C20035" s="669" t="s">
        <v>8391</v>
      </c>
      <c r="D20035" s="912" t="s">
        <v>13483</v>
      </c>
      <c r="E20035" s="584">
        <v>260520</v>
      </c>
      <c r="F20035" s="57"/>
      <c r="G20035" s="125">
        <f t="shared" si="319"/>
        <v>-260520</v>
      </c>
      <c r="H20035" s="704" t="s">
        <v>10654</v>
      </c>
    </row>
    <row r="20036" spans="1:8" ht="15" x14ac:dyDescent="0.2">
      <c r="A20036" s="733">
        <v>45480</v>
      </c>
      <c r="B20036" s="44"/>
      <c r="C20036" s="669" t="s">
        <v>8391</v>
      </c>
      <c r="D20036" s="912" t="s">
        <v>13483</v>
      </c>
      <c r="E20036" s="584">
        <v>13344</v>
      </c>
      <c r="F20036" s="57"/>
      <c r="G20036" s="125">
        <f t="shared" ref="G20036" si="320">F20036-E20036</f>
        <v>-13344</v>
      </c>
      <c r="H20036" s="704" t="s">
        <v>10654</v>
      </c>
    </row>
    <row r="20037" spans="1:8" ht="15" x14ac:dyDescent="0.2">
      <c r="A20037" s="733">
        <v>45481</v>
      </c>
      <c r="B20037" s="40" t="s">
        <v>12607</v>
      </c>
      <c r="C20037" s="62" t="s">
        <v>3103</v>
      </c>
      <c r="D20037" s="107" t="s">
        <v>7777</v>
      </c>
      <c r="E20037" s="57">
        <v>50000</v>
      </c>
      <c r="F20037" s="57"/>
      <c r="G20037" s="125">
        <f t="shared" ref="G20037:G20142" si="321">F20037-E20037</f>
        <v>-50000</v>
      </c>
      <c r="H20037" s="704" t="s">
        <v>10654</v>
      </c>
    </row>
    <row r="20038" spans="1:8" ht="15" x14ac:dyDescent="0.2">
      <c r="A20038" s="733">
        <v>45481</v>
      </c>
      <c r="B20038" s="40" t="s">
        <v>11874</v>
      </c>
      <c r="C20038" s="62" t="s">
        <v>10981</v>
      </c>
      <c r="D20038" s="107" t="s">
        <v>13458</v>
      </c>
      <c r="E20038" s="57">
        <v>2000</v>
      </c>
      <c r="F20038" s="57"/>
      <c r="G20038" s="125">
        <f t="shared" si="321"/>
        <v>-2000</v>
      </c>
      <c r="H20038" s="704" t="s">
        <v>10654</v>
      </c>
    </row>
    <row r="20039" spans="1:8" ht="15" x14ac:dyDescent="0.2">
      <c r="A20039" s="733">
        <v>45481</v>
      </c>
      <c r="B20039" s="40" t="s">
        <v>11717</v>
      </c>
      <c r="C20039" s="62" t="s">
        <v>5740</v>
      </c>
      <c r="D20039" s="107" t="s">
        <v>369</v>
      </c>
      <c r="E20039" s="57">
        <v>900</v>
      </c>
      <c r="F20039" s="57"/>
      <c r="G20039" s="125">
        <f t="shared" si="321"/>
        <v>-900</v>
      </c>
      <c r="H20039" s="704" t="s">
        <v>10654</v>
      </c>
    </row>
    <row r="20040" spans="1:8" ht="15" x14ac:dyDescent="0.2">
      <c r="A20040" s="733">
        <v>45481</v>
      </c>
      <c r="B20040" s="40" t="s">
        <v>13260</v>
      </c>
      <c r="C20040" s="62" t="s">
        <v>10981</v>
      </c>
      <c r="D20040" s="107" t="s">
        <v>13457</v>
      </c>
      <c r="E20040" s="57">
        <v>7690</v>
      </c>
      <c r="F20040" s="57"/>
      <c r="G20040" s="125">
        <f t="shared" si="321"/>
        <v>-7690</v>
      </c>
      <c r="H20040" s="704" t="s">
        <v>10654</v>
      </c>
    </row>
    <row r="20041" spans="1:8" ht="15" x14ac:dyDescent="0.2">
      <c r="A20041" s="733">
        <v>45481</v>
      </c>
      <c r="B20041" s="40" t="s">
        <v>103</v>
      </c>
      <c r="C20041" s="62" t="s">
        <v>103</v>
      </c>
      <c r="D20041" s="107" t="s">
        <v>10208</v>
      </c>
      <c r="E20041" s="57">
        <v>5000</v>
      </c>
      <c r="F20041" s="57"/>
      <c r="G20041" s="125">
        <f t="shared" si="321"/>
        <v>-5000</v>
      </c>
      <c r="H20041" s="704" t="s">
        <v>10654</v>
      </c>
    </row>
    <row r="20042" spans="1:8" ht="15" x14ac:dyDescent="0.2">
      <c r="A20042" s="733">
        <v>45481</v>
      </c>
      <c r="B20042" s="40" t="s">
        <v>12607</v>
      </c>
      <c r="C20042" s="62" t="s">
        <v>10981</v>
      </c>
      <c r="D20042" s="107" t="s">
        <v>13327</v>
      </c>
      <c r="E20042" s="57">
        <v>105000</v>
      </c>
      <c r="F20042" s="57"/>
      <c r="G20042" s="125">
        <f t="shared" si="321"/>
        <v>-105000</v>
      </c>
      <c r="H20042" s="704" t="s">
        <v>10654</v>
      </c>
    </row>
    <row r="20043" spans="1:8" ht="15" x14ac:dyDescent="0.2">
      <c r="A20043" s="733">
        <v>45481</v>
      </c>
      <c r="B20043" s="40" t="s">
        <v>11874</v>
      </c>
      <c r="C20043" s="62" t="s">
        <v>391</v>
      </c>
      <c r="D20043" s="107" t="s">
        <v>13459</v>
      </c>
      <c r="E20043" s="57">
        <v>14500</v>
      </c>
      <c r="F20043" s="57"/>
      <c r="G20043" s="125">
        <f t="shared" si="321"/>
        <v>-14500</v>
      </c>
      <c r="H20043" s="704" t="s">
        <v>10654</v>
      </c>
    </row>
    <row r="20044" spans="1:8" ht="15" x14ac:dyDescent="0.2">
      <c r="A20044" s="733">
        <v>45482</v>
      </c>
      <c r="B20044" s="40" t="s">
        <v>12694</v>
      </c>
      <c r="C20044" s="62" t="s">
        <v>391</v>
      </c>
      <c r="D20044" s="107" t="s">
        <v>13461</v>
      </c>
      <c r="E20044" s="57">
        <v>2500</v>
      </c>
      <c r="F20044" s="57"/>
      <c r="G20044" s="125">
        <f t="shared" si="321"/>
        <v>-2500</v>
      </c>
      <c r="H20044" s="704" t="s">
        <v>10654</v>
      </c>
    </row>
    <row r="20045" spans="1:8" ht="15" x14ac:dyDescent="0.2">
      <c r="A20045" s="733">
        <v>45482</v>
      </c>
      <c r="B20045" s="40" t="s">
        <v>13115</v>
      </c>
      <c r="C20045" s="62" t="s">
        <v>5740</v>
      </c>
      <c r="D20045" s="107" t="s">
        <v>369</v>
      </c>
      <c r="E20045" s="57">
        <v>1200</v>
      </c>
      <c r="F20045" s="57"/>
      <c r="G20045" s="125">
        <f t="shared" si="321"/>
        <v>-1200</v>
      </c>
      <c r="H20045" s="704" t="s">
        <v>10654</v>
      </c>
    </row>
    <row r="20046" spans="1:8" ht="15" x14ac:dyDescent="0.2">
      <c r="A20046" s="733">
        <v>45482</v>
      </c>
      <c r="B20046" s="40" t="s">
        <v>12059</v>
      </c>
      <c r="C20046" s="62" t="s">
        <v>5740</v>
      </c>
      <c r="D20046" s="107" t="s">
        <v>369</v>
      </c>
      <c r="E20046" s="57">
        <v>2000</v>
      </c>
      <c r="F20046" s="57"/>
      <c r="G20046" s="125">
        <f t="shared" si="321"/>
        <v>-2000</v>
      </c>
      <c r="H20046" s="704" t="s">
        <v>10654</v>
      </c>
    </row>
    <row r="20047" spans="1:8" ht="15" x14ac:dyDescent="0.2">
      <c r="A20047" s="733">
        <v>45482</v>
      </c>
      <c r="B20047" s="40" t="s">
        <v>13550</v>
      </c>
      <c r="C20047" s="62" t="s">
        <v>5409</v>
      </c>
      <c r="D20047" s="107" t="s">
        <v>369</v>
      </c>
      <c r="E20047" s="57">
        <v>5000</v>
      </c>
      <c r="F20047" s="57"/>
      <c r="G20047" s="125">
        <f t="shared" ref="G20047:G20048" si="322">F20047-E20047</f>
        <v>-5000</v>
      </c>
      <c r="H20047" s="704" t="s">
        <v>10654</v>
      </c>
    </row>
    <row r="20048" spans="1:8" ht="15" x14ac:dyDescent="0.2">
      <c r="A20048" s="733">
        <v>45482</v>
      </c>
      <c r="B20048" s="40" t="s">
        <v>103</v>
      </c>
      <c r="C20048" s="62" t="s">
        <v>5340</v>
      </c>
      <c r="D20048" s="107" t="s">
        <v>13466</v>
      </c>
      <c r="E20048" s="57">
        <v>10000</v>
      </c>
      <c r="F20048" s="57"/>
      <c r="G20048" s="125">
        <f t="shared" si="322"/>
        <v>-10000</v>
      </c>
      <c r="H20048" s="704" t="s">
        <v>10654</v>
      </c>
    </row>
    <row r="20049" spans="1:8" ht="15" x14ac:dyDescent="0.2">
      <c r="A20049" s="733">
        <v>45482</v>
      </c>
      <c r="B20049" s="40" t="s">
        <v>13230</v>
      </c>
      <c r="C20049" s="62" t="s">
        <v>5740</v>
      </c>
      <c r="D20049" s="107" t="s">
        <v>369</v>
      </c>
      <c r="E20049" s="57">
        <v>1800</v>
      </c>
      <c r="F20049" s="57"/>
      <c r="G20049" s="125">
        <f t="shared" si="321"/>
        <v>-1800</v>
      </c>
      <c r="H20049" s="704" t="s">
        <v>10654</v>
      </c>
    </row>
    <row r="20050" spans="1:8" ht="15" x14ac:dyDescent="0.2">
      <c r="A20050" s="733">
        <v>45482</v>
      </c>
      <c r="B20050" s="40" t="s">
        <v>13115</v>
      </c>
      <c r="C20050" s="62" t="s">
        <v>285</v>
      </c>
      <c r="D20050" s="107" t="s">
        <v>9892</v>
      </c>
      <c r="E20050" s="57">
        <v>350</v>
      </c>
      <c r="F20050" s="57"/>
      <c r="G20050" s="125">
        <f t="shared" si="321"/>
        <v>-350</v>
      </c>
      <c r="H20050" s="704" t="s">
        <v>10654</v>
      </c>
    </row>
    <row r="20051" spans="1:8" ht="15" x14ac:dyDescent="0.2">
      <c r="A20051" s="733">
        <v>45482</v>
      </c>
      <c r="B20051" s="40" t="s">
        <v>103</v>
      </c>
      <c r="C20051" s="62" t="s">
        <v>103</v>
      </c>
      <c r="D20051" s="107" t="s">
        <v>10208</v>
      </c>
      <c r="E20051" s="57">
        <v>5000</v>
      </c>
      <c r="F20051" s="57"/>
      <c r="G20051" s="125">
        <f t="shared" si="321"/>
        <v>-5000</v>
      </c>
      <c r="H20051" s="704" t="s">
        <v>10654</v>
      </c>
    </row>
    <row r="20052" spans="1:8" ht="15" x14ac:dyDescent="0.2">
      <c r="A20052" s="733">
        <v>45482</v>
      </c>
      <c r="B20052" s="40" t="s">
        <v>12059</v>
      </c>
      <c r="C20052" s="62" t="s">
        <v>2600</v>
      </c>
      <c r="D20052" s="107" t="s">
        <v>13467</v>
      </c>
      <c r="E20052" s="57">
        <v>98400</v>
      </c>
      <c r="F20052" s="57"/>
      <c r="G20052" s="125">
        <f t="shared" si="321"/>
        <v>-98400</v>
      </c>
      <c r="H20052" s="704" t="s">
        <v>10654</v>
      </c>
    </row>
    <row r="20053" spans="1:8" ht="15" x14ac:dyDescent="0.2">
      <c r="A20053" s="733">
        <v>45482</v>
      </c>
      <c r="B20053" s="40" t="s">
        <v>8873</v>
      </c>
      <c r="C20053" s="62" t="s">
        <v>10911</v>
      </c>
      <c r="D20053" s="107" t="s">
        <v>13468</v>
      </c>
      <c r="E20053" s="57">
        <v>25000</v>
      </c>
      <c r="F20053" s="57"/>
      <c r="G20053" s="125">
        <f t="shared" si="321"/>
        <v>-25000</v>
      </c>
      <c r="H20053" s="704" t="s">
        <v>10654</v>
      </c>
    </row>
    <row r="20054" spans="1:8" ht="15" x14ac:dyDescent="0.2">
      <c r="A20054" s="733">
        <v>45483</v>
      </c>
      <c r="B20054" s="40" t="s">
        <v>13115</v>
      </c>
      <c r="C20054" s="62" t="s">
        <v>10981</v>
      </c>
      <c r="D20054" s="107" t="s">
        <v>13469</v>
      </c>
      <c r="E20054" s="57">
        <v>600</v>
      </c>
      <c r="F20054" s="57"/>
      <c r="G20054" s="125">
        <f t="shared" si="321"/>
        <v>-600</v>
      </c>
      <c r="H20054" s="704" t="s">
        <v>10654</v>
      </c>
    </row>
    <row r="20055" spans="1:8" ht="15" x14ac:dyDescent="0.2">
      <c r="A20055" s="733">
        <v>45483</v>
      </c>
      <c r="B20055" s="40" t="s">
        <v>10360</v>
      </c>
      <c r="C20055" s="62" t="s">
        <v>2189</v>
      </c>
      <c r="D20055" s="107" t="s">
        <v>13471</v>
      </c>
      <c r="E20055" s="57">
        <v>20000</v>
      </c>
      <c r="F20055" s="57"/>
      <c r="G20055" s="125">
        <f t="shared" si="321"/>
        <v>-20000</v>
      </c>
      <c r="H20055" s="704" t="s">
        <v>10654</v>
      </c>
    </row>
    <row r="20056" spans="1:8" ht="15" x14ac:dyDescent="0.2">
      <c r="A20056" s="733">
        <v>45483</v>
      </c>
      <c r="B20056" s="40" t="s">
        <v>103</v>
      </c>
      <c r="C20056" s="62" t="s">
        <v>103</v>
      </c>
      <c r="D20056" s="107" t="s">
        <v>10208</v>
      </c>
      <c r="E20056" s="57">
        <v>5000</v>
      </c>
      <c r="F20056" s="57"/>
      <c r="G20056" s="125">
        <f t="shared" si="321"/>
        <v>-5000</v>
      </c>
      <c r="H20056" s="704" t="s">
        <v>10654</v>
      </c>
    </row>
    <row r="20057" spans="1:8" ht="15" x14ac:dyDescent="0.2">
      <c r="A20057" s="733">
        <v>45483</v>
      </c>
      <c r="B20057" s="40" t="s">
        <v>13444</v>
      </c>
      <c r="C20057" s="62" t="s">
        <v>5740</v>
      </c>
      <c r="D20057" s="107" t="s">
        <v>369</v>
      </c>
      <c r="E20057" s="57">
        <v>1100</v>
      </c>
      <c r="F20057" s="57"/>
      <c r="G20057" s="125">
        <f t="shared" si="321"/>
        <v>-1100</v>
      </c>
      <c r="H20057" s="704" t="s">
        <v>10654</v>
      </c>
    </row>
    <row r="20058" spans="1:8" ht="15" x14ac:dyDescent="0.2">
      <c r="A20058" s="733">
        <v>45483</v>
      </c>
      <c r="B20058" s="40" t="s">
        <v>13115</v>
      </c>
      <c r="C20058" s="62" t="s">
        <v>10981</v>
      </c>
      <c r="D20058" s="107" t="s">
        <v>2271</v>
      </c>
      <c r="E20058" s="57">
        <v>700</v>
      </c>
      <c r="F20058" s="57"/>
      <c r="G20058" s="125">
        <f t="shared" si="321"/>
        <v>-700</v>
      </c>
      <c r="H20058" s="704" t="s">
        <v>10654</v>
      </c>
    </row>
    <row r="20059" spans="1:8" ht="15" x14ac:dyDescent="0.2">
      <c r="A20059" s="733">
        <v>45483</v>
      </c>
      <c r="B20059" s="40" t="s">
        <v>13115</v>
      </c>
      <c r="C20059" s="62" t="s">
        <v>10981</v>
      </c>
      <c r="D20059" s="107" t="s">
        <v>13474</v>
      </c>
      <c r="E20059" s="57">
        <v>34140</v>
      </c>
      <c r="F20059" s="57"/>
      <c r="G20059" s="125">
        <f t="shared" si="321"/>
        <v>-34140</v>
      </c>
      <c r="H20059" s="704" t="s">
        <v>10654</v>
      </c>
    </row>
    <row r="20060" spans="1:8" ht="15" x14ac:dyDescent="0.2">
      <c r="A20060" s="733">
        <v>45483</v>
      </c>
      <c r="B20060" s="40" t="s">
        <v>13230</v>
      </c>
      <c r="C20060" s="62" t="s">
        <v>10981</v>
      </c>
      <c r="D20060" s="107" t="s">
        <v>13475</v>
      </c>
      <c r="E20060" s="57">
        <v>145000</v>
      </c>
      <c r="F20060" s="57"/>
      <c r="G20060" s="125">
        <f t="shared" si="321"/>
        <v>-145000</v>
      </c>
      <c r="H20060" s="704" t="s">
        <v>10654</v>
      </c>
    </row>
    <row r="20061" spans="1:8" ht="15" x14ac:dyDescent="0.2">
      <c r="A20061" s="733">
        <v>45484</v>
      </c>
      <c r="B20061" s="40" t="s">
        <v>13322</v>
      </c>
      <c r="C20061" s="62" t="s">
        <v>12282</v>
      </c>
      <c r="D20061" s="107" t="s">
        <v>13472</v>
      </c>
      <c r="E20061" s="57">
        <v>150000</v>
      </c>
      <c r="F20061" s="57"/>
      <c r="G20061" s="125">
        <f t="shared" si="321"/>
        <v>-150000</v>
      </c>
      <c r="H20061" s="704" t="s">
        <v>10654</v>
      </c>
    </row>
    <row r="20062" spans="1:8" ht="15" x14ac:dyDescent="0.2">
      <c r="A20062" s="733">
        <v>45484</v>
      </c>
      <c r="B20062" s="40" t="s">
        <v>13322</v>
      </c>
      <c r="C20062" s="62" t="s">
        <v>12282</v>
      </c>
      <c r="D20062" s="107" t="s">
        <v>13473</v>
      </c>
      <c r="E20062" s="57">
        <v>115000</v>
      </c>
      <c r="F20062" s="57"/>
      <c r="G20062" s="125">
        <f t="shared" si="321"/>
        <v>-115000</v>
      </c>
      <c r="H20062" s="704" t="s">
        <v>10654</v>
      </c>
    </row>
    <row r="20063" spans="1:8" ht="15" x14ac:dyDescent="0.2">
      <c r="A20063" s="733">
        <v>45484</v>
      </c>
      <c r="B20063" s="40" t="s">
        <v>13230</v>
      </c>
      <c r="C20063" s="62" t="s">
        <v>8071</v>
      </c>
      <c r="D20063" s="107" t="s">
        <v>13476</v>
      </c>
      <c r="E20063" s="57">
        <v>214000</v>
      </c>
      <c r="F20063" s="57"/>
      <c r="G20063" s="125">
        <f t="shared" si="321"/>
        <v>-214000</v>
      </c>
      <c r="H20063" s="704" t="s">
        <v>10654</v>
      </c>
    </row>
    <row r="20064" spans="1:8" ht="15" x14ac:dyDescent="0.2">
      <c r="A20064" s="733">
        <v>45484</v>
      </c>
      <c r="B20064" s="40" t="s">
        <v>13230</v>
      </c>
      <c r="C20064" s="62" t="s">
        <v>285</v>
      </c>
      <c r="D20064" s="107" t="s">
        <v>8660</v>
      </c>
      <c r="E20064" s="57">
        <v>1000</v>
      </c>
      <c r="F20064" s="57"/>
      <c r="G20064" s="125">
        <f t="shared" ref="G20064" si="323">F20064-E20064</f>
        <v>-1000</v>
      </c>
      <c r="H20064" s="704" t="s">
        <v>10654</v>
      </c>
    </row>
    <row r="20065" spans="1:8" ht="15" x14ac:dyDescent="0.2">
      <c r="A20065" s="733">
        <v>45485</v>
      </c>
      <c r="B20065" s="40" t="s">
        <v>103</v>
      </c>
      <c r="C20065" s="62" t="s">
        <v>103</v>
      </c>
      <c r="D20065" s="107" t="s">
        <v>10208</v>
      </c>
      <c r="E20065" s="57">
        <v>6000</v>
      </c>
      <c r="F20065" s="57"/>
      <c r="G20065" s="125">
        <f t="shared" ref="G20065:G20070" si="324">F20065-E20065</f>
        <v>-6000</v>
      </c>
      <c r="H20065" s="704" t="s">
        <v>10654</v>
      </c>
    </row>
    <row r="20066" spans="1:8" ht="15" x14ac:dyDescent="0.2">
      <c r="A20066" s="733">
        <v>45485</v>
      </c>
      <c r="B20066" s="40" t="s">
        <v>103</v>
      </c>
      <c r="C20066" s="62" t="s">
        <v>103</v>
      </c>
      <c r="D20066" s="107" t="s">
        <v>13485</v>
      </c>
      <c r="E20066" s="57">
        <v>3000</v>
      </c>
      <c r="F20066" s="57"/>
      <c r="G20066" s="125">
        <f t="shared" si="324"/>
        <v>-3000</v>
      </c>
      <c r="H20066" s="704" t="s">
        <v>10654</v>
      </c>
    </row>
    <row r="20067" spans="1:8" ht="15" x14ac:dyDescent="0.2">
      <c r="A20067" s="733">
        <v>45485</v>
      </c>
      <c r="B20067" s="40" t="s">
        <v>13260</v>
      </c>
      <c r="C20067" s="62" t="s">
        <v>10981</v>
      </c>
      <c r="D20067" s="107" t="s">
        <v>13486</v>
      </c>
      <c r="E20067" s="57">
        <v>16000</v>
      </c>
      <c r="F20067" s="57"/>
      <c r="G20067" s="125">
        <f t="shared" si="324"/>
        <v>-16000</v>
      </c>
      <c r="H20067" s="704" t="s">
        <v>10654</v>
      </c>
    </row>
    <row r="20068" spans="1:8" ht="15" x14ac:dyDescent="0.2">
      <c r="A20068" s="733">
        <v>45485</v>
      </c>
      <c r="B20068" s="40" t="s">
        <v>13260</v>
      </c>
      <c r="C20068" s="62" t="s">
        <v>10981</v>
      </c>
      <c r="D20068" s="107" t="s">
        <v>13487</v>
      </c>
      <c r="E20068" s="57">
        <v>9000</v>
      </c>
      <c r="F20068" s="57"/>
      <c r="G20068" s="125">
        <f t="shared" si="324"/>
        <v>-9000</v>
      </c>
      <c r="H20068" s="704" t="s">
        <v>10654</v>
      </c>
    </row>
    <row r="20069" spans="1:8" ht="15" x14ac:dyDescent="0.2">
      <c r="A20069" s="733">
        <v>45485</v>
      </c>
      <c r="B20069" s="40" t="s">
        <v>37</v>
      </c>
      <c r="C20069" s="62" t="s">
        <v>13488</v>
      </c>
      <c r="D20069" s="107" t="s">
        <v>13489</v>
      </c>
      <c r="E20069" s="57">
        <v>4000</v>
      </c>
      <c r="F20069" s="57"/>
      <c r="G20069" s="125">
        <f t="shared" si="324"/>
        <v>-4000</v>
      </c>
      <c r="H20069" s="704" t="s">
        <v>10654</v>
      </c>
    </row>
    <row r="20070" spans="1:8" ht="15" x14ac:dyDescent="0.2">
      <c r="A20070" s="733">
        <v>45485</v>
      </c>
      <c r="B20070" s="40" t="s">
        <v>37</v>
      </c>
      <c r="C20070" s="62" t="s">
        <v>10981</v>
      </c>
      <c r="D20070" s="107" t="s">
        <v>13490</v>
      </c>
      <c r="E20070" s="57">
        <v>5000</v>
      </c>
      <c r="F20070" s="57"/>
      <c r="G20070" s="125">
        <f t="shared" si="324"/>
        <v>-5000</v>
      </c>
      <c r="H20070" s="704" t="s">
        <v>10654</v>
      </c>
    </row>
    <row r="20071" spans="1:8" ht="15" x14ac:dyDescent="0.2">
      <c r="A20071" s="733">
        <v>45485</v>
      </c>
      <c r="B20071" s="40" t="s">
        <v>12607</v>
      </c>
      <c r="C20071" s="62" t="s">
        <v>10981</v>
      </c>
      <c r="D20071" s="107" t="s">
        <v>13493</v>
      </c>
      <c r="E20071" s="57">
        <v>105000</v>
      </c>
      <c r="F20071" s="57"/>
      <c r="G20071" s="125">
        <f t="shared" ref="G20071:G20073" si="325">F20071-E20071</f>
        <v>-105000</v>
      </c>
      <c r="H20071" s="704" t="s">
        <v>10654</v>
      </c>
    </row>
    <row r="20072" spans="1:8" ht="15" x14ac:dyDescent="0.2">
      <c r="A20072" s="733">
        <v>45485</v>
      </c>
      <c r="B20072" s="40" t="s">
        <v>12607</v>
      </c>
      <c r="C20072" s="62" t="s">
        <v>13338</v>
      </c>
      <c r="D20072" s="107" t="s">
        <v>13492</v>
      </c>
      <c r="E20072" s="57">
        <v>100000</v>
      </c>
      <c r="F20072" s="57"/>
      <c r="G20072" s="125">
        <f t="shared" si="325"/>
        <v>-100000</v>
      </c>
      <c r="H20072" s="704" t="s">
        <v>10654</v>
      </c>
    </row>
    <row r="20073" spans="1:8" ht="15" x14ac:dyDescent="0.2">
      <c r="A20073" s="733">
        <v>45485</v>
      </c>
      <c r="B20073" s="40" t="s">
        <v>10899</v>
      </c>
      <c r="C20073" s="62" t="s">
        <v>10850</v>
      </c>
      <c r="D20073" s="107" t="s">
        <v>13494</v>
      </c>
      <c r="E20073" s="57">
        <v>1000000</v>
      </c>
      <c r="F20073" s="57"/>
      <c r="G20073" s="125">
        <f t="shared" si="325"/>
        <v>-1000000</v>
      </c>
      <c r="H20073" s="704" t="s">
        <v>10654</v>
      </c>
    </row>
    <row r="20074" spans="1:8" ht="15" x14ac:dyDescent="0.2">
      <c r="A20074" s="733">
        <v>45485</v>
      </c>
      <c r="B20074" s="40" t="s">
        <v>13182</v>
      </c>
      <c r="C20074" s="62" t="s">
        <v>10981</v>
      </c>
      <c r="D20074" s="107" t="s">
        <v>13425</v>
      </c>
      <c r="E20074" s="57">
        <v>100000</v>
      </c>
      <c r="F20074" s="57"/>
      <c r="G20074" s="125">
        <f t="shared" ref="G20074:G20076" si="326">F20074-E20074</f>
        <v>-100000</v>
      </c>
      <c r="H20074" s="704" t="s">
        <v>10654</v>
      </c>
    </row>
    <row r="20075" spans="1:8" ht="15" x14ac:dyDescent="0.2">
      <c r="A20075" s="733">
        <v>45485</v>
      </c>
      <c r="B20075" s="40" t="s">
        <v>13230</v>
      </c>
      <c r="C20075" s="62" t="s">
        <v>5740</v>
      </c>
      <c r="D20075" s="107" t="s">
        <v>369</v>
      </c>
      <c r="E20075" s="57">
        <v>1500</v>
      </c>
      <c r="F20075" s="57"/>
      <c r="G20075" s="125">
        <f t="shared" si="326"/>
        <v>-1500</v>
      </c>
      <c r="H20075" s="704" t="s">
        <v>10654</v>
      </c>
    </row>
    <row r="20076" spans="1:8" ht="15" x14ac:dyDescent="0.2">
      <c r="A20076" s="733">
        <v>45485</v>
      </c>
      <c r="B20076" s="40" t="s">
        <v>12400</v>
      </c>
      <c r="C20076" s="62" t="s">
        <v>11098</v>
      </c>
      <c r="D20076" s="107" t="s">
        <v>13271</v>
      </c>
      <c r="E20076" s="57">
        <v>1000000</v>
      </c>
      <c r="F20076" s="57"/>
      <c r="G20076" s="125">
        <f t="shared" si="326"/>
        <v>-1000000</v>
      </c>
      <c r="H20076" s="704" t="s">
        <v>10654</v>
      </c>
    </row>
    <row r="20077" spans="1:8" ht="15" x14ac:dyDescent="0.2">
      <c r="A20077" s="733">
        <v>45486</v>
      </c>
      <c r="B20077" s="40" t="s">
        <v>9353</v>
      </c>
      <c r="C20077" s="62" t="s">
        <v>5740</v>
      </c>
      <c r="D20077" s="107" t="s">
        <v>369</v>
      </c>
      <c r="E20077" s="57">
        <v>1500</v>
      </c>
      <c r="F20077" s="57"/>
      <c r="G20077" s="125">
        <f t="shared" ref="G20077:G20078" si="327">F20077-E20077</f>
        <v>-1500</v>
      </c>
      <c r="H20077" s="704" t="s">
        <v>10654</v>
      </c>
    </row>
    <row r="20078" spans="1:8" ht="15" x14ac:dyDescent="0.2">
      <c r="A20078" s="733">
        <v>45486</v>
      </c>
      <c r="B20078" s="40" t="s">
        <v>103</v>
      </c>
      <c r="C20078" s="62" t="s">
        <v>103</v>
      </c>
      <c r="D20078" s="107" t="s">
        <v>10208</v>
      </c>
      <c r="E20078" s="57">
        <v>6000</v>
      </c>
      <c r="F20078" s="57"/>
      <c r="G20078" s="125">
        <f t="shared" si="327"/>
        <v>-6000</v>
      </c>
      <c r="H20078" s="704" t="s">
        <v>10654</v>
      </c>
    </row>
    <row r="20079" spans="1:8" ht="15" x14ac:dyDescent="0.2">
      <c r="A20079" s="733">
        <v>45486</v>
      </c>
      <c r="B20079" s="40" t="s">
        <v>13230</v>
      </c>
      <c r="C20079" s="62" t="s">
        <v>285</v>
      </c>
      <c r="D20079" s="107" t="s">
        <v>13495</v>
      </c>
      <c r="E20079" s="57">
        <v>500</v>
      </c>
      <c r="F20079" s="57"/>
      <c r="G20079" s="125">
        <f t="shared" ref="G20079:G20082" si="328">F20079-E20079</f>
        <v>-500</v>
      </c>
      <c r="H20079" s="704" t="s">
        <v>10654</v>
      </c>
    </row>
    <row r="20080" spans="1:8" ht="15" x14ac:dyDescent="0.2">
      <c r="A20080" s="733">
        <v>45486</v>
      </c>
      <c r="B20080" s="40" t="s">
        <v>13115</v>
      </c>
      <c r="C20080" s="669" t="s">
        <v>10981</v>
      </c>
      <c r="D20080" s="912" t="s">
        <v>13497</v>
      </c>
      <c r="E20080" s="584">
        <v>85500</v>
      </c>
      <c r="F20080" s="57"/>
      <c r="G20080" s="125">
        <f t="shared" si="328"/>
        <v>-85500</v>
      </c>
      <c r="H20080" s="704" t="s">
        <v>10654</v>
      </c>
    </row>
    <row r="20081" spans="1:8" ht="15" x14ac:dyDescent="0.2">
      <c r="A20081" s="733">
        <v>45486</v>
      </c>
      <c r="B20081" s="40" t="s">
        <v>13230</v>
      </c>
      <c r="C20081" s="669" t="s">
        <v>10981</v>
      </c>
      <c r="D20081" s="912" t="s">
        <v>13497</v>
      </c>
      <c r="E20081" s="584">
        <v>83500</v>
      </c>
      <c r="F20081" s="57"/>
      <c r="G20081" s="125">
        <f t="shared" si="328"/>
        <v>-83500</v>
      </c>
      <c r="H20081" s="704" t="s">
        <v>10654</v>
      </c>
    </row>
    <row r="20082" spans="1:8" ht="15" x14ac:dyDescent="0.2">
      <c r="A20082" s="733">
        <v>45486</v>
      </c>
      <c r="B20082" s="40" t="s">
        <v>12400</v>
      </c>
      <c r="C20082" s="669" t="s">
        <v>10981</v>
      </c>
      <c r="D20082" s="912" t="s">
        <v>13497</v>
      </c>
      <c r="E20082" s="584">
        <v>83500</v>
      </c>
      <c r="F20082" s="57"/>
      <c r="G20082" s="125">
        <f t="shared" si="328"/>
        <v>-83500</v>
      </c>
      <c r="H20082" s="704" t="s">
        <v>10654</v>
      </c>
    </row>
    <row r="20083" spans="1:8" ht="15" x14ac:dyDescent="0.2">
      <c r="A20083" s="733">
        <v>45486</v>
      </c>
      <c r="B20083" s="40" t="s">
        <v>12607</v>
      </c>
      <c r="C20083" s="62" t="s">
        <v>3103</v>
      </c>
      <c r="D20083" s="107" t="s">
        <v>13496</v>
      </c>
      <c r="E20083" s="57">
        <v>50000</v>
      </c>
      <c r="F20083" s="57"/>
      <c r="G20083" s="125">
        <f t="shared" ref="G20083:G20085" si="329">F20083-E20083</f>
        <v>-50000</v>
      </c>
      <c r="H20083" s="704" t="s">
        <v>10654</v>
      </c>
    </row>
    <row r="20084" spans="1:8" ht="15" x14ac:dyDescent="0.2">
      <c r="A20084" s="733">
        <v>45486</v>
      </c>
      <c r="B20084" s="40" t="s">
        <v>13230</v>
      </c>
      <c r="C20084" s="62" t="s">
        <v>10981</v>
      </c>
      <c r="D20084" s="107" t="s">
        <v>13498</v>
      </c>
      <c r="E20084" s="57">
        <v>85000</v>
      </c>
      <c r="F20084" s="57"/>
      <c r="G20084" s="125">
        <f t="shared" si="329"/>
        <v>-85000</v>
      </c>
      <c r="H20084" s="704" t="s">
        <v>10654</v>
      </c>
    </row>
    <row r="20085" spans="1:8" ht="15" x14ac:dyDescent="0.2">
      <c r="A20085" s="733">
        <v>45486</v>
      </c>
      <c r="B20085" s="40" t="s">
        <v>13230</v>
      </c>
      <c r="C20085" s="62" t="s">
        <v>391</v>
      </c>
      <c r="D20085" s="107" t="s">
        <v>13499</v>
      </c>
      <c r="E20085" s="57">
        <v>75000</v>
      </c>
      <c r="F20085" s="57"/>
      <c r="G20085" s="125">
        <f t="shared" si="329"/>
        <v>-75000</v>
      </c>
      <c r="H20085" s="704" t="s">
        <v>10654</v>
      </c>
    </row>
    <row r="20086" spans="1:8" ht="15" x14ac:dyDescent="0.2">
      <c r="A20086" s="733">
        <v>45486</v>
      </c>
      <c r="B20086" s="40" t="s">
        <v>12059</v>
      </c>
      <c r="C20086" s="669" t="s">
        <v>10981</v>
      </c>
      <c r="D20086" s="912" t="s">
        <v>13501</v>
      </c>
      <c r="E20086" s="584">
        <v>21674</v>
      </c>
      <c r="F20086" s="57"/>
      <c r="G20086" s="125">
        <f t="shared" ref="G20086:G20088" si="330">F20086-E20086</f>
        <v>-21674</v>
      </c>
      <c r="H20086" s="704" t="s">
        <v>10654</v>
      </c>
    </row>
    <row r="20087" spans="1:8" ht="15" x14ac:dyDescent="0.2">
      <c r="A20087" s="733">
        <v>45486</v>
      </c>
      <c r="B20087" s="40" t="s">
        <v>10176</v>
      </c>
      <c r="C20087" s="669" t="s">
        <v>10981</v>
      </c>
      <c r="D20087" s="912" t="s">
        <v>13501</v>
      </c>
      <c r="E20087" s="584">
        <v>20000</v>
      </c>
      <c r="F20087" s="57"/>
      <c r="G20087" s="125">
        <f t="shared" si="330"/>
        <v>-20000</v>
      </c>
      <c r="H20087" s="704" t="s">
        <v>10654</v>
      </c>
    </row>
    <row r="20088" spans="1:8" ht="15" x14ac:dyDescent="0.2">
      <c r="A20088" s="733">
        <v>45486</v>
      </c>
      <c r="B20088" s="40" t="s">
        <v>12607</v>
      </c>
      <c r="C20088" s="669" t="s">
        <v>10981</v>
      </c>
      <c r="D20088" s="912" t="s">
        <v>13501</v>
      </c>
      <c r="E20088" s="584">
        <v>20000</v>
      </c>
      <c r="F20088" s="57"/>
      <c r="G20088" s="125">
        <f t="shared" si="330"/>
        <v>-20000</v>
      </c>
      <c r="H20088" s="704" t="s">
        <v>10654</v>
      </c>
    </row>
    <row r="20089" spans="1:8" ht="15" x14ac:dyDescent="0.2">
      <c r="A20089" s="733">
        <v>45486</v>
      </c>
      <c r="B20089" s="40" t="s">
        <v>11874</v>
      </c>
      <c r="C20089" s="62" t="s">
        <v>13508</v>
      </c>
      <c r="D20089" s="107" t="s">
        <v>13509</v>
      </c>
      <c r="E20089" s="57">
        <v>90000</v>
      </c>
      <c r="F20089" s="57"/>
      <c r="G20089" s="125">
        <f t="shared" ref="G20089:G20112" si="331">F20089-E20089</f>
        <v>-90000</v>
      </c>
      <c r="H20089" s="704" t="s">
        <v>10654</v>
      </c>
    </row>
    <row r="20090" spans="1:8" ht="15" x14ac:dyDescent="0.2">
      <c r="A20090" s="733">
        <v>45486</v>
      </c>
      <c r="B20090" s="40" t="s">
        <v>103</v>
      </c>
      <c r="C20090" s="62" t="s">
        <v>103</v>
      </c>
      <c r="D20090" s="107" t="s">
        <v>13529</v>
      </c>
      <c r="E20090" s="57">
        <v>80000</v>
      </c>
      <c r="F20090" s="57"/>
      <c r="G20090" s="125">
        <f t="shared" si="331"/>
        <v>-80000</v>
      </c>
      <c r="H20090" s="704" t="s">
        <v>10654</v>
      </c>
    </row>
    <row r="20091" spans="1:8" ht="15" x14ac:dyDescent="0.2">
      <c r="A20091" s="733">
        <v>45487</v>
      </c>
      <c r="B20091" s="40" t="s">
        <v>11077</v>
      </c>
      <c r="C20091" s="62" t="s">
        <v>6782</v>
      </c>
      <c r="D20091" s="107" t="s">
        <v>13510</v>
      </c>
      <c r="E20091" s="57">
        <v>235000</v>
      </c>
      <c r="F20091" s="57"/>
      <c r="G20091" s="125">
        <f t="shared" si="331"/>
        <v>-235000</v>
      </c>
      <c r="H20091" s="704" t="s">
        <v>10654</v>
      </c>
    </row>
    <row r="20092" spans="1:8" ht="15" x14ac:dyDescent="0.2">
      <c r="A20092" s="733">
        <v>45487</v>
      </c>
      <c r="B20092" s="40" t="s">
        <v>13182</v>
      </c>
      <c r="C20092" s="62" t="s">
        <v>10981</v>
      </c>
      <c r="D20092" s="107" t="s">
        <v>13515</v>
      </c>
      <c r="E20092" s="57">
        <v>50000</v>
      </c>
      <c r="F20092" s="57"/>
      <c r="G20092" s="125">
        <f t="shared" si="331"/>
        <v>-50000</v>
      </c>
      <c r="H20092" s="704" t="s">
        <v>10654</v>
      </c>
    </row>
    <row r="20093" spans="1:8" ht="15" x14ac:dyDescent="0.2">
      <c r="A20093" s="733">
        <v>45487</v>
      </c>
      <c r="B20093" s="40" t="s">
        <v>12607</v>
      </c>
      <c r="C20093" s="62" t="s">
        <v>13338</v>
      </c>
      <c r="D20093" s="107" t="s">
        <v>13511</v>
      </c>
      <c r="E20093" s="57">
        <v>54750</v>
      </c>
      <c r="F20093" s="57"/>
      <c r="G20093" s="125">
        <f t="shared" si="331"/>
        <v>-54750</v>
      </c>
      <c r="H20093" s="704" t="s">
        <v>10654</v>
      </c>
    </row>
    <row r="20094" spans="1:8" ht="15" x14ac:dyDescent="0.2">
      <c r="A20094" s="733">
        <v>45487</v>
      </c>
      <c r="B20094" s="40" t="s">
        <v>13444</v>
      </c>
      <c r="C20094" s="62" t="s">
        <v>391</v>
      </c>
      <c r="D20094" s="107" t="s">
        <v>13514</v>
      </c>
      <c r="E20094" s="57">
        <v>20000</v>
      </c>
      <c r="F20094" s="57"/>
      <c r="G20094" s="125">
        <f t="shared" si="331"/>
        <v>-20000</v>
      </c>
      <c r="H20094" s="704" t="s">
        <v>10654</v>
      </c>
    </row>
    <row r="20095" spans="1:8" ht="15" x14ac:dyDescent="0.2">
      <c r="A20095" s="733">
        <v>45487</v>
      </c>
      <c r="B20095" s="40" t="s">
        <v>12400</v>
      </c>
      <c r="C20095" s="62" t="s">
        <v>13512</v>
      </c>
      <c r="D20095" s="107" t="s">
        <v>13513</v>
      </c>
      <c r="E20095" s="57">
        <v>25000</v>
      </c>
      <c r="F20095" s="57"/>
      <c r="G20095" s="125">
        <f t="shared" si="331"/>
        <v>-25000</v>
      </c>
      <c r="H20095" s="704" t="s">
        <v>10654</v>
      </c>
    </row>
    <row r="20096" spans="1:8" ht="15" x14ac:dyDescent="0.2">
      <c r="A20096" s="733">
        <v>45488</v>
      </c>
      <c r="B20096" s="40" t="s">
        <v>13230</v>
      </c>
      <c r="C20096" s="62" t="s">
        <v>13278</v>
      </c>
      <c r="D20096" s="107" t="s">
        <v>13525</v>
      </c>
      <c r="E20096" s="57">
        <v>100000</v>
      </c>
      <c r="F20096" s="57"/>
      <c r="G20096" s="125">
        <f t="shared" si="331"/>
        <v>-100000</v>
      </c>
      <c r="H20096" s="704" t="s">
        <v>10654</v>
      </c>
    </row>
    <row r="20097" spans="1:8" ht="15" x14ac:dyDescent="0.2">
      <c r="A20097" s="733">
        <v>45488</v>
      </c>
      <c r="B20097" s="40" t="s">
        <v>103</v>
      </c>
      <c r="C20097" s="62" t="s">
        <v>103</v>
      </c>
      <c r="D20097" s="107" t="s">
        <v>10208</v>
      </c>
      <c r="E20097" s="57">
        <v>3000</v>
      </c>
      <c r="F20097" s="57"/>
      <c r="G20097" s="125">
        <f t="shared" ref="G20097" si="332">F20097-E20097</f>
        <v>-3000</v>
      </c>
      <c r="H20097" s="704" t="s">
        <v>10654</v>
      </c>
    </row>
    <row r="20098" spans="1:8" ht="15" x14ac:dyDescent="0.2">
      <c r="A20098" s="733">
        <v>45491</v>
      </c>
      <c r="B20098" s="40" t="s">
        <v>13115</v>
      </c>
      <c r="C20098" s="62" t="s">
        <v>10981</v>
      </c>
      <c r="D20098" s="107" t="s">
        <v>13534</v>
      </c>
      <c r="E20098" s="57">
        <v>38180</v>
      </c>
      <c r="F20098" s="57"/>
      <c r="G20098" s="125">
        <f t="shared" ref="G20098:G20107" si="333">F20098-E20098</f>
        <v>-38180</v>
      </c>
      <c r="H20098" s="704" t="s">
        <v>10654</v>
      </c>
    </row>
    <row r="20099" spans="1:8" ht="15" x14ac:dyDescent="0.2">
      <c r="A20099" s="733">
        <v>45491</v>
      </c>
      <c r="B20099" s="40" t="s">
        <v>13115</v>
      </c>
      <c r="C20099" s="62" t="s">
        <v>5740</v>
      </c>
      <c r="D20099" s="107" t="s">
        <v>369</v>
      </c>
      <c r="E20099" s="57">
        <v>3300</v>
      </c>
      <c r="F20099" s="57"/>
      <c r="G20099" s="125">
        <f t="shared" si="333"/>
        <v>-3300</v>
      </c>
      <c r="H20099" s="704" t="s">
        <v>10654</v>
      </c>
    </row>
    <row r="20100" spans="1:8" ht="15" x14ac:dyDescent="0.2">
      <c r="A20100" s="733">
        <v>45491</v>
      </c>
      <c r="B20100" s="40" t="s">
        <v>13115</v>
      </c>
      <c r="C20100" s="62" t="s">
        <v>10981</v>
      </c>
      <c r="D20100" s="107" t="s">
        <v>11590</v>
      </c>
      <c r="E20100" s="57">
        <v>600</v>
      </c>
      <c r="F20100" s="57"/>
      <c r="G20100" s="125">
        <f t="shared" si="333"/>
        <v>-600</v>
      </c>
      <c r="H20100" s="704" t="s">
        <v>10654</v>
      </c>
    </row>
    <row r="20101" spans="1:8" ht="15" x14ac:dyDescent="0.2">
      <c r="A20101" s="733">
        <v>45491</v>
      </c>
      <c r="B20101" s="40" t="s">
        <v>103</v>
      </c>
      <c r="C20101" s="62" t="s">
        <v>103</v>
      </c>
      <c r="D20101" s="107" t="s">
        <v>10208</v>
      </c>
      <c r="E20101" s="57">
        <v>7000</v>
      </c>
      <c r="F20101" s="57"/>
      <c r="G20101" s="125">
        <f t="shared" si="333"/>
        <v>-7000</v>
      </c>
      <c r="H20101" s="704" t="s">
        <v>10654</v>
      </c>
    </row>
    <row r="20102" spans="1:8" ht="15" x14ac:dyDescent="0.2">
      <c r="A20102" s="733">
        <v>45491</v>
      </c>
      <c r="B20102" s="40" t="s">
        <v>12694</v>
      </c>
      <c r="C20102" s="62" t="s">
        <v>10981</v>
      </c>
      <c r="D20102" s="107" t="s">
        <v>13535</v>
      </c>
      <c r="E20102" s="57">
        <v>1750</v>
      </c>
      <c r="F20102" s="57"/>
      <c r="G20102" s="125">
        <f t="shared" si="333"/>
        <v>-1750</v>
      </c>
      <c r="H20102" s="704" t="s">
        <v>10654</v>
      </c>
    </row>
    <row r="20103" spans="1:8" ht="15" x14ac:dyDescent="0.2">
      <c r="A20103" s="733">
        <v>45491</v>
      </c>
      <c r="B20103" s="40" t="s">
        <v>13260</v>
      </c>
      <c r="C20103" s="62" t="s">
        <v>5740</v>
      </c>
      <c r="D20103" s="107" t="s">
        <v>369</v>
      </c>
      <c r="E20103" s="57">
        <v>1100</v>
      </c>
      <c r="F20103" s="57"/>
      <c r="G20103" s="125">
        <f t="shared" si="333"/>
        <v>-1100</v>
      </c>
      <c r="H20103" s="704" t="s">
        <v>10654</v>
      </c>
    </row>
    <row r="20104" spans="1:8" ht="15" x14ac:dyDescent="0.2">
      <c r="A20104" s="733">
        <v>45491</v>
      </c>
      <c r="B20104" s="40" t="s">
        <v>13115</v>
      </c>
      <c r="C20104" s="62" t="s">
        <v>5740</v>
      </c>
      <c r="D20104" s="107" t="s">
        <v>369</v>
      </c>
      <c r="E20104" s="57">
        <v>1000</v>
      </c>
      <c r="F20104" s="57"/>
      <c r="G20104" s="125">
        <f t="shared" si="333"/>
        <v>-1000</v>
      </c>
      <c r="H20104" s="704" t="s">
        <v>10654</v>
      </c>
    </row>
    <row r="20105" spans="1:8" ht="15" x14ac:dyDescent="0.2">
      <c r="A20105" s="733">
        <v>45491</v>
      </c>
      <c r="B20105" s="40" t="s">
        <v>13230</v>
      </c>
      <c r="C20105" s="62" t="s">
        <v>13536</v>
      </c>
      <c r="D20105" s="107" t="s">
        <v>13537</v>
      </c>
      <c r="E20105" s="57">
        <v>2600</v>
      </c>
      <c r="F20105" s="57"/>
      <c r="G20105" s="125">
        <f t="shared" si="333"/>
        <v>-2600</v>
      </c>
      <c r="H20105" s="704" t="s">
        <v>10654</v>
      </c>
    </row>
    <row r="20106" spans="1:8" ht="15" x14ac:dyDescent="0.2">
      <c r="A20106" s="733">
        <v>45491</v>
      </c>
      <c r="B20106" s="40" t="s">
        <v>25</v>
      </c>
      <c r="C20106" s="62" t="s">
        <v>8148</v>
      </c>
      <c r="D20106" s="107" t="s">
        <v>6342</v>
      </c>
      <c r="E20106" s="57">
        <v>3120</v>
      </c>
      <c r="F20106" s="57"/>
      <c r="G20106" s="125">
        <f t="shared" si="333"/>
        <v>-3120</v>
      </c>
      <c r="H20106" s="704" t="s">
        <v>10654</v>
      </c>
    </row>
    <row r="20107" spans="1:8" ht="15" x14ac:dyDescent="0.2">
      <c r="A20107" s="733">
        <v>45491</v>
      </c>
      <c r="B20107" s="40" t="s">
        <v>103</v>
      </c>
      <c r="C20107" s="62" t="s">
        <v>8148</v>
      </c>
      <c r="D20107" s="107" t="s">
        <v>6342</v>
      </c>
      <c r="E20107" s="57">
        <v>8595</v>
      </c>
      <c r="F20107" s="57"/>
      <c r="G20107" s="125">
        <f t="shared" si="333"/>
        <v>-8595</v>
      </c>
      <c r="H20107" s="704" t="s">
        <v>10654</v>
      </c>
    </row>
    <row r="20108" spans="1:8" ht="15" x14ac:dyDescent="0.2">
      <c r="A20108" s="733">
        <v>45491</v>
      </c>
      <c r="B20108" s="40" t="s">
        <v>11874</v>
      </c>
      <c r="C20108" s="62" t="s">
        <v>391</v>
      </c>
      <c r="D20108" s="107" t="s">
        <v>4308</v>
      </c>
      <c r="E20108" s="57">
        <v>2630</v>
      </c>
      <c r="F20108" s="57"/>
      <c r="G20108" s="125">
        <f t="shared" si="331"/>
        <v>-2630</v>
      </c>
      <c r="H20108" s="704" t="s">
        <v>10654</v>
      </c>
    </row>
    <row r="20109" spans="1:8" ht="15" x14ac:dyDescent="0.2">
      <c r="A20109" s="733">
        <v>45491</v>
      </c>
      <c r="B20109" s="40" t="s">
        <v>13322</v>
      </c>
      <c r="C20109" s="62" t="s">
        <v>10981</v>
      </c>
      <c r="D20109" s="107" t="s">
        <v>13528</v>
      </c>
      <c r="E20109" s="57">
        <v>136000</v>
      </c>
      <c r="F20109" s="57"/>
      <c r="G20109" s="125">
        <f t="shared" si="331"/>
        <v>-136000</v>
      </c>
      <c r="H20109" s="704" t="s">
        <v>10654</v>
      </c>
    </row>
    <row r="20110" spans="1:8" s="681" customFormat="1" ht="24" x14ac:dyDescent="0.25">
      <c r="A20110" s="733">
        <v>45492</v>
      </c>
      <c r="B20110" s="62" t="s">
        <v>3945</v>
      </c>
      <c r="C20110" s="62" t="s">
        <v>10981</v>
      </c>
      <c r="D20110" s="182" t="s">
        <v>13526</v>
      </c>
      <c r="E20110" s="125">
        <v>80000</v>
      </c>
      <c r="F20110" s="125"/>
      <c r="G20110" s="125">
        <f t="shared" si="331"/>
        <v>-80000</v>
      </c>
      <c r="H20110" s="704" t="s">
        <v>10654</v>
      </c>
    </row>
    <row r="20111" spans="1:8" s="681" customFormat="1" ht="24" x14ac:dyDescent="0.25">
      <c r="A20111" s="733">
        <v>45492</v>
      </c>
      <c r="B20111" s="62" t="s">
        <v>13182</v>
      </c>
      <c r="C20111" s="62" t="s">
        <v>13531</v>
      </c>
      <c r="D20111" s="182" t="s">
        <v>13532</v>
      </c>
      <c r="E20111" s="125">
        <v>1000000</v>
      </c>
      <c r="F20111" s="125"/>
      <c r="G20111" s="125">
        <f t="shared" si="331"/>
        <v>-1000000</v>
      </c>
      <c r="H20111" s="704" t="s">
        <v>10654</v>
      </c>
    </row>
    <row r="20112" spans="1:8" s="681" customFormat="1" ht="24" x14ac:dyDescent="0.25">
      <c r="A20112" s="733">
        <v>45492</v>
      </c>
      <c r="B20112" s="62" t="s">
        <v>13230</v>
      </c>
      <c r="C20112" s="62" t="s">
        <v>13530</v>
      </c>
      <c r="D20112" s="182" t="s">
        <v>13533</v>
      </c>
      <c r="E20112" s="125">
        <v>760000</v>
      </c>
      <c r="F20112" s="125"/>
      <c r="G20112" s="125">
        <f t="shared" si="331"/>
        <v>-760000</v>
      </c>
      <c r="H20112" s="704" t="s">
        <v>10654</v>
      </c>
    </row>
    <row r="20113" spans="1:8" s="681" customFormat="1" ht="15" x14ac:dyDescent="0.25">
      <c r="A20113" s="733">
        <v>45492</v>
      </c>
      <c r="B20113" s="62" t="s">
        <v>13230</v>
      </c>
      <c r="C20113" s="62" t="s">
        <v>5740</v>
      </c>
      <c r="D20113" s="182" t="s">
        <v>369</v>
      </c>
      <c r="E20113" s="125">
        <v>500</v>
      </c>
      <c r="F20113" s="125"/>
      <c r="G20113" s="125">
        <f t="shared" ref="G20113:G20115" si="334">F20113-E20113</f>
        <v>-500</v>
      </c>
      <c r="H20113" s="704" t="s">
        <v>10654</v>
      </c>
    </row>
    <row r="20114" spans="1:8" s="681" customFormat="1" ht="15" x14ac:dyDescent="0.25">
      <c r="A20114" s="733">
        <v>45492</v>
      </c>
      <c r="B20114" s="62" t="s">
        <v>103</v>
      </c>
      <c r="C20114" s="62" t="s">
        <v>103</v>
      </c>
      <c r="D20114" s="182" t="s">
        <v>2671</v>
      </c>
      <c r="E20114" s="125">
        <v>3500</v>
      </c>
      <c r="F20114" s="125"/>
      <c r="G20114" s="125">
        <f t="shared" si="334"/>
        <v>-3500</v>
      </c>
      <c r="H20114" s="704" t="s">
        <v>10654</v>
      </c>
    </row>
    <row r="20115" spans="1:8" s="681" customFormat="1" ht="15" x14ac:dyDescent="0.2">
      <c r="A20115" s="733">
        <v>45492</v>
      </c>
      <c r="B20115" s="40" t="s">
        <v>11717</v>
      </c>
      <c r="C20115" s="62" t="s">
        <v>12930</v>
      </c>
      <c r="D20115" s="107" t="s">
        <v>13543</v>
      </c>
      <c r="E20115" s="57">
        <v>400000</v>
      </c>
      <c r="F20115" s="57"/>
      <c r="G20115" s="125">
        <f t="shared" si="334"/>
        <v>-400000</v>
      </c>
      <c r="H20115" s="704" t="s">
        <v>10654</v>
      </c>
    </row>
    <row r="20116" spans="1:8" s="681" customFormat="1" ht="15" x14ac:dyDescent="0.2">
      <c r="A20116" s="1375">
        <v>45492</v>
      </c>
      <c r="B20116" s="1376" t="s">
        <v>12346</v>
      </c>
      <c r="C20116" s="1377" t="s">
        <v>10981</v>
      </c>
      <c r="D20116" s="1378" t="s">
        <v>13561</v>
      </c>
      <c r="E20116" s="57">
        <v>9500</v>
      </c>
      <c r="F20116" s="57"/>
      <c r="G20116" s="125">
        <f t="shared" ref="G20116:G20123" si="335">F20116-E20116</f>
        <v>-9500</v>
      </c>
      <c r="H20116" s="1379" t="s">
        <v>10654</v>
      </c>
    </row>
    <row r="20117" spans="1:8" s="681" customFormat="1" ht="15" x14ac:dyDescent="0.2">
      <c r="A20117" s="1375">
        <v>45492</v>
      </c>
      <c r="B20117" s="1376" t="s">
        <v>13260</v>
      </c>
      <c r="C20117" s="1377" t="s">
        <v>5740</v>
      </c>
      <c r="D20117" s="1378" t="s">
        <v>13562</v>
      </c>
      <c r="E20117" s="57">
        <v>3000</v>
      </c>
      <c r="F20117" s="57"/>
      <c r="G20117" s="125">
        <f t="shared" si="335"/>
        <v>-3000</v>
      </c>
      <c r="H20117" s="1379" t="s">
        <v>10654</v>
      </c>
    </row>
    <row r="20118" spans="1:8" s="681" customFormat="1" ht="15" x14ac:dyDescent="0.2">
      <c r="A20118" s="1375">
        <v>45492</v>
      </c>
      <c r="B20118" s="1376" t="s">
        <v>13230</v>
      </c>
      <c r="C20118" s="1377" t="s">
        <v>285</v>
      </c>
      <c r="D20118" s="1378" t="s">
        <v>8660</v>
      </c>
      <c r="E20118" s="57">
        <v>1500</v>
      </c>
      <c r="F20118" s="57"/>
      <c r="G20118" s="125">
        <f t="shared" si="335"/>
        <v>-1500</v>
      </c>
      <c r="H20118" s="1379" t="s">
        <v>10654</v>
      </c>
    </row>
    <row r="20119" spans="1:8" s="681" customFormat="1" ht="15" x14ac:dyDescent="0.2">
      <c r="A20119" s="1375">
        <v>45492</v>
      </c>
      <c r="B20119" s="1376" t="s">
        <v>13115</v>
      </c>
      <c r="C20119" s="1377" t="s">
        <v>5740</v>
      </c>
      <c r="D20119" s="1378" t="s">
        <v>10334</v>
      </c>
      <c r="E20119" s="57">
        <v>600</v>
      </c>
      <c r="F20119" s="57"/>
      <c r="G20119" s="125">
        <f t="shared" si="335"/>
        <v>-600</v>
      </c>
      <c r="H20119" s="1379" t="s">
        <v>10654</v>
      </c>
    </row>
    <row r="20120" spans="1:8" s="681" customFormat="1" ht="15" x14ac:dyDescent="0.2">
      <c r="A20120" s="1375">
        <v>45492</v>
      </c>
      <c r="B20120" s="1376" t="s">
        <v>13115</v>
      </c>
      <c r="C20120" s="1377" t="s">
        <v>5740</v>
      </c>
      <c r="D20120" s="1378" t="s">
        <v>369</v>
      </c>
      <c r="E20120" s="57">
        <v>500</v>
      </c>
      <c r="F20120" s="57"/>
      <c r="G20120" s="125">
        <f t="shared" si="335"/>
        <v>-500</v>
      </c>
      <c r="H20120" s="1379" t="s">
        <v>10654</v>
      </c>
    </row>
    <row r="20121" spans="1:8" s="681" customFormat="1" ht="15" x14ac:dyDescent="0.2">
      <c r="A20121" s="1375">
        <v>45492</v>
      </c>
      <c r="B20121" s="1376" t="s">
        <v>13115</v>
      </c>
      <c r="C20121" s="1377" t="s">
        <v>5740</v>
      </c>
      <c r="D20121" s="1378" t="s">
        <v>369</v>
      </c>
      <c r="E20121" s="57">
        <v>5500</v>
      </c>
      <c r="F20121" s="57"/>
      <c r="G20121" s="125">
        <f t="shared" si="335"/>
        <v>-5500</v>
      </c>
      <c r="H20121" s="1379" t="s">
        <v>10654</v>
      </c>
    </row>
    <row r="20122" spans="1:8" s="681" customFormat="1" ht="15" x14ac:dyDescent="0.2">
      <c r="A20122" s="1375">
        <v>45492</v>
      </c>
      <c r="B20122" s="1376" t="s">
        <v>13444</v>
      </c>
      <c r="C20122" s="1377" t="s">
        <v>5740</v>
      </c>
      <c r="D20122" s="1378" t="s">
        <v>369</v>
      </c>
      <c r="E20122" s="57">
        <v>1800</v>
      </c>
      <c r="F20122" s="57"/>
      <c r="G20122" s="125">
        <f t="shared" si="335"/>
        <v>-1800</v>
      </c>
      <c r="H20122" s="1379" t="s">
        <v>10654</v>
      </c>
    </row>
    <row r="20123" spans="1:8" s="681" customFormat="1" ht="15" x14ac:dyDescent="0.2">
      <c r="A20123" s="1085">
        <v>45492</v>
      </c>
      <c r="B20123" s="69" t="s">
        <v>13182</v>
      </c>
      <c r="C20123" s="1086" t="s">
        <v>10981</v>
      </c>
      <c r="D20123" s="792" t="s">
        <v>13563</v>
      </c>
      <c r="E20123" s="70">
        <v>25000</v>
      </c>
      <c r="F20123" s="70"/>
      <c r="G20123" s="1087">
        <f t="shared" si="335"/>
        <v>-25000</v>
      </c>
      <c r="H20123" s="1088" t="s">
        <v>10654</v>
      </c>
    </row>
    <row r="20124" spans="1:8" s="681" customFormat="1" ht="15" x14ac:dyDescent="0.2">
      <c r="A20124" s="1375">
        <v>45493</v>
      </c>
      <c r="B20124" s="1376" t="s">
        <v>10898</v>
      </c>
      <c r="C20124" s="1377" t="s">
        <v>10981</v>
      </c>
      <c r="D20124" s="1378" t="s">
        <v>13564</v>
      </c>
      <c r="E20124" s="57">
        <v>500</v>
      </c>
      <c r="F20124" s="57"/>
      <c r="G20124" s="125">
        <f t="shared" ref="G20124:G20129" si="336">F20124-E20124</f>
        <v>-500</v>
      </c>
      <c r="H20124" s="1379" t="s">
        <v>10654</v>
      </c>
    </row>
    <row r="20125" spans="1:8" s="681" customFormat="1" ht="15" x14ac:dyDescent="0.2">
      <c r="A20125" s="1375">
        <v>45493</v>
      </c>
      <c r="B20125" s="1376" t="s">
        <v>13565</v>
      </c>
      <c r="C20125" s="1377" t="s">
        <v>10981</v>
      </c>
      <c r="D20125" s="1378" t="s">
        <v>1616</v>
      </c>
      <c r="E20125" s="57">
        <v>700</v>
      </c>
      <c r="F20125" s="57"/>
      <c r="G20125" s="125">
        <f t="shared" si="336"/>
        <v>-700</v>
      </c>
      <c r="H20125" s="1379" t="s">
        <v>10654</v>
      </c>
    </row>
    <row r="20126" spans="1:8" s="681" customFormat="1" ht="15" x14ac:dyDescent="0.2">
      <c r="A20126" s="1375">
        <v>45493</v>
      </c>
      <c r="B20126" s="1376" t="s">
        <v>13115</v>
      </c>
      <c r="C20126" s="1377" t="s">
        <v>10981</v>
      </c>
      <c r="D20126" s="1378" t="s">
        <v>13566</v>
      </c>
      <c r="E20126" s="57">
        <v>1450</v>
      </c>
      <c r="F20126" s="57"/>
      <c r="G20126" s="125">
        <f t="shared" si="336"/>
        <v>-1450</v>
      </c>
      <c r="H20126" s="1379" t="s">
        <v>10654</v>
      </c>
    </row>
    <row r="20127" spans="1:8" s="681" customFormat="1" ht="15" x14ac:dyDescent="0.2">
      <c r="A20127" s="1375">
        <v>45493</v>
      </c>
      <c r="B20127" s="1376" t="s">
        <v>103</v>
      </c>
      <c r="C20127" s="1377" t="s">
        <v>103</v>
      </c>
      <c r="D20127" s="1378" t="s">
        <v>2671</v>
      </c>
      <c r="E20127" s="57">
        <v>4000</v>
      </c>
      <c r="F20127" s="57"/>
      <c r="G20127" s="125">
        <f t="shared" si="336"/>
        <v>-4000</v>
      </c>
      <c r="H20127" s="1379" t="s">
        <v>10654</v>
      </c>
    </row>
    <row r="20128" spans="1:8" s="681" customFormat="1" ht="15" x14ac:dyDescent="0.2">
      <c r="A20128" s="1375">
        <v>45493</v>
      </c>
      <c r="B20128" s="1376" t="s">
        <v>103</v>
      </c>
      <c r="C20128" s="1377" t="s">
        <v>2995</v>
      </c>
      <c r="D20128" s="1378" t="s">
        <v>13567</v>
      </c>
      <c r="E20128" s="57">
        <v>5330</v>
      </c>
      <c r="F20128" s="57"/>
      <c r="G20128" s="125">
        <f t="shared" si="336"/>
        <v>-5330</v>
      </c>
      <c r="H20128" s="1379" t="s">
        <v>10654</v>
      </c>
    </row>
    <row r="20129" spans="1:8" s="681" customFormat="1" ht="15" x14ac:dyDescent="0.2">
      <c r="A20129" s="1085">
        <v>45493</v>
      </c>
      <c r="B20129" s="69" t="s">
        <v>13260</v>
      </c>
      <c r="C20129" s="1086" t="s">
        <v>8499</v>
      </c>
      <c r="D20129" s="792" t="s">
        <v>13568</v>
      </c>
      <c r="E20129" s="70">
        <v>50000</v>
      </c>
      <c r="F20129" s="70"/>
      <c r="G20129" s="1087">
        <f t="shared" si="336"/>
        <v>-50000</v>
      </c>
      <c r="H20129" s="1088" t="s">
        <v>10654</v>
      </c>
    </row>
    <row r="20130" spans="1:8" ht="24" x14ac:dyDescent="0.2">
      <c r="A20130" s="732">
        <v>45480</v>
      </c>
      <c r="B20130" s="173" t="s">
        <v>37</v>
      </c>
      <c r="C20130" s="550" t="s">
        <v>3002</v>
      </c>
      <c r="D20130" s="739" t="s">
        <v>13463</v>
      </c>
      <c r="E20130" s="551">
        <v>20525</v>
      </c>
      <c r="F20130" s="235"/>
      <c r="G20130" s="235">
        <f t="shared" si="321"/>
        <v>-20525</v>
      </c>
      <c r="H20130" s="708" t="s">
        <v>10654</v>
      </c>
    </row>
    <row r="20131" spans="1:8" ht="24" x14ac:dyDescent="0.2">
      <c r="A20131" s="732">
        <v>45480</v>
      </c>
      <c r="B20131" s="173" t="s">
        <v>3944</v>
      </c>
      <c r="C20131" s="550" t="s">
        <v>3002</v>
      </c>
      <c r="D20131" s="739" t="s">
        <v>13463</v>
      </c>
      <c r="E20131" s="551">
        <v>35364</v>
      </c>
      <c r="F20131" s="235"/>
      <c r="G20131" s="235">
        <f t="shared" si="321"/>
        <v>-35364</v>
      </c>
      <c r="H20131" s="708" t="s">
        <v>10654</v>
      </c>
    </row>
    <row r="20132" spans="1:8" ht="24" x14ac:dyDescent="0.2">
      <c r="A20132" s="732">
        <v>45480</v>
      </c>
      <c r="B20132" s="173" t="s">
        <v>3945</v>
      </c>
      <c r="C20132" s="550" t="s">
        <v>3002</v>
      </c>
      <c r="D20132" s="739" t="s">
        <v>13463</v>
      </c>
      <c r="E20132" s="551">
        <v>32760</v>
      </c>
      <c r="F20132" s="235"/>
      <c r="G20132" s="235">
        <f t="shared" si="321"/>
        <v>-32760</v>
      </c>
      <c r="H20132" s="708" t="s">
        <v>10654</v>
      </c>
    </row>
    <row r="20133" spans="1:8" ht="24" x14ac:dyDescent="0.2">
      <c r="A20133" s="732">
        <v>45480</v>
      </c>
      <c r="B20133" s="173" t="s">
        <v>11614</v>
      </c>
      <c r="C20133" s="550" t="s">
        <v>3002</v>
      </c>
      <c r="D20133" s="739" t="s">
        <v>13463</v>
      </c>
      <c r="E20133" s="551">
        <v>264941</v>
      </c>
      <c r="F20133" s="235"/>
      <c r="G20133" s="235">
        <f t="shared" si="321"/>
        <v>-264941</v>
      </c>
      <c r="H20133" s="708" t="s">
        <v>10654</v>
      </c>
    </row>
    <row r="20134" spans="1:8" ht="24" x14ac:dyDescent="0.2">
      <c r="A20134" s="732">
        <v>45480</v>
      </c>
      <c r="B20134" s="173" t="s">
        <v>12607</v>
      </c>
      <c r="C20134" s="550" t="s">
        <v>3002</v>
      </c>
      <c r="D20134" s="739" t="s">
        <v>13463</v>
      </c>
      <c r="E20134" s="551">
        <v>330188</v>
      </c>
      <c r="F20134" s="235"/>
      <c r="G20134" s="235">
        <f t="shared" si="321"/>
        <v>-330188</v>
      </c>
      <c r="H20134" s="708" t="s">
        <v>10654</v>
      </c>
    </row>
    <row r="20135" spans="1:8" ht="15" x14ac:dyDescent="0.2">
      <c r="A20135" s="732">
        <v>45481</v>
      </c>
      <c r="B20135" s="173" t="s">
        <v>13115</v>
      </c>
      <c r="C20135" s="173" t="s">
        <v>11279</v>
      </c>
      <c r="D20135" s="227" t="s">
        <v>13460</v>
      </c>
      <c r="E20135" s="235">
        <v>200000</v>
      </c>
      <c r="F20135" s="235"/>
      <c r="G20135" s="235">
        <f t="shared" si="321"/>
        <v>-200000</v>
      </c>
      <c r="H20135" s="708" t="s">
        <v>10654</v>
      </c>
    </row>
    <row r="20136" spans="1:8" ht="15" x14ac:dyDescent="0.2">
      <c r="A20136" s="732">
        <v>45488</v>
      </c>
      <c r="B20136" s="173" t="s">
        <v>13115</v>
      </c>
      <c r="C20136" s="173" t="s">
        <v>13505</v>
      </c>
      <c r="D20136" s="227" t="s">
        <v>13506</v>
      </c>
      <c r="E20136" s="235">
        <v>150000</v>
      </c>
      <c r="F20136" s="235"/>
      <c r="G20136" s="235">
        <f t="shared" si="321"/>
        <v>-150000</v>
      </c>
      <c r="H20136" s="708" t="s">
        <v>10654</v>
      </c>
    </row>
    <row r="20137" spans="1:8" ht="15" x14ac:dyDescent="0.2">
      <c r="A20137" s="732">
        <v>45488</v>
      </c>
      <c r="B20137" s="173" t="s">
        <v>13322</v>
      </c>
      <c r="C20137" s="565" t="s">
        <v>6422</v>
      </c>
      <c r="D20137" s="874" t="s">
        <v>13507</v>
      </c>
      <c r="E20137" s="566">
        <v>50000</v>
      </c>
      <c r="F20137" s="235"/>
      <c r="G20137" s="235">
        <f t="shared" si="321"/>
        <v>-50000</v>
      </c>
      <c r="H20137" s="708" t="s">
        <v>10654</v>
      </c>
    </row>
    <row r="20138" spans="1:8" ht="15" x14ac:dyDescent="0.2">
      <c r="A20138" s="732">
        <v>45488</v>
      </c>
      <c r="B20138" s="173" t="s">
        <v>3945</v>
      </c>
      <c r="C20138" s="565" t="s">
        <v>6422</v>
      </c>
      <c r="D20138" s="874" t="s">
        <v>13507</v>
      </c>
      <c r="E20138" s="566">
        <v>57000</v>
      </c>
      <c r="F20138" s="235"/>
      <c r="G20138" s="235">
        <f t="shared" si="321"/>
        <v>-57000</v>
      </c>
      <c r="H20138" s="708" t="s">
        <v>10654</v>
      </c>
    </row>
    <row r="20139" spans="1:8" ht="24" x14ac:dyDescent="0.2">
      <c r="A20139" s="732">
        <v>45491</v>
      </c>
      <c r="B20139" s="173" t="s">
        <v>13182</v>
      </c>
      <c r="C20139" s="173" t="s">
        <v>10233</v>
      </c>
      <c r="D20139" s="227" t="s">
        <v>13538</v>
      </c>
      <c r="E20139" s="235">
        <v>940000</v>
      </c>
      <c r="F20139" s="235"/>
      <c r="G20139" s="235">
        <f t="shared" si="321"/>
        <v>-940000</v>
      </c>
      <c r="H20139" s="708" t="s">
        <v>10654</v>
      </c>
    </row>
    <row r="20140" spans="1:8" ht="15" x14ac:dyDescent="0.2">
      <c r="A20140" s="729">
        <v>45479</v>
      </c>
      <c r="B20140" s="93" t="s">
        <v>3944</v>
      </c>
      <c r="C20140" s="93" t="s">
        <v>558</v>
      </c>
      <c r="D20140" s="891" t="s">
        <v>13419</v>
      </c>
      <c r="E20140" s="175"/>
      <c r="F20140" s="175">
        <v>333522</v>
      </c>
      <c r="G20140" s="175">
        <f t="shared" si="321"/>
        <v>333522</v>
      </c>
      <c r="H20140" s="701" t="s">
        <v>10654</v>
      </c>
    </row>
    <row r="20141" spans="1:8" ht="15" x14ac:dyDescent="0.2">
      <c r="A20141" s="729">
        <v>45479</v>
      </c>
      <c r="B20141" s="93" t="s">
        <v>3944</v>
      </c>
      <c r="C20141" s="93" t="s">
        <v>558</v>
      </c>
      <c r="D20141" s="891" t="s">
        <v>13420</v>
      </c>
      <c r="E20141" s="175"/>
      <c r="F20141" s="175">
        <v>333522</v>
      </c>
      <c r="G20141" s="175">
        <f t="shared" si="321"/>
        <v>333522</v>
      </c>
      <c r="H20141" s="701" t="s">
        <v>10654</v>
      </c>
    </row>
    <row r="20142" spans="1:8" ht="15" x14ac:dyDescent="0.2">
      <c r="A20142" s="729">
        <v>45479</v>
      </c>
      <c r="B20142" s="93" t="s">
        <v>3945</v>
      </c>
      <c r="C20142" s="93" t="s">
        <v>558</v>
      </c>
      <c r="D20142" s="891" t="s">
        <v>13453</v>
      </c>
      <c r="E20142" s="175"/>
      <c r="F20142" s="175">
        <v>359992</v>
      </c>
      <c r="G20142" s="175">
        <f t="shared" si="321"/>
        <v>359992</v>
      </c>
      <c r="H20142" s="701" t="s">
        <v>10654</v>
      </c>
    </row>
    <row r="20143" spans="1:8" ht="25.5" customHeight="1" x14ac:dyDescent="0.2">
      <c r="A20143" s="729">
        <v>45479</v>
      </c>
      <c r="B20143" s="93" t="s">
        <v>11717</v>
      </c>
      <c r="C20143" s="93" t="s">
        <v>558</v>
      </c>
      <c r="D20143" s="897" t="s">
        <v>13500</v>
      </c>
      <c r="E20143" s="642">
        <v>17000</v>
      </c>
      <c r="F20143" s="175"/>
      <c r="G20143" s="175">
        <f t="shared" ref="G20143" si="337">F20143-E20143</f>
        <v>-17000</v>
      </c>
      <c r="H20143" s="701" t="s">
        <v>10654</v>
      </c>
    </row>
    <row r="20144" spans="1:8" ht="15" x14ac:dyDescent="0.2">
      <c r="A20144" s="729">
        <v>45492</v>
      </c>
      <c r="B20144" s="93" t="s">
        <v>11717</v>
      </c>
      <c r="C20144" s="93" t="s">
        <v>558</v>
      </c>
      <c r="D20144" s="891" t="s">
        <v>13539</v>
      </c>
      <c r="E20144" s="175"/>
      <c r="F20144" s="175">
        <v>1920212</v>
      </c>
      <c r="G20144" s="175">
        <f t="shared" ref="G20144" si="338">F20144-E20144</f>
        <v>1920212</v>
      </c>
      <c r="H20144" s="701" t="s">
        <v>10654</v>
      </c>
    </row>
    <row r="20145" spans="1:8" ht="15" x14ac:dyDescent="0.2">
      <c r="A20145" s="729">
        <v>45493</v>
      </c>
      <c r="B20145" s="93" t="s">
        <v>13552</v>
      </c>
      <c r="C20145" s="93" t="s">
        <v>558</v>
      </c>
      <c r="D20145" s="891" t="s">
        <v>13553</v>
      </c>
      <c r="E20145" s="175"/>
      <c r="F20145" s="175">
        <v>50000</v>
      </c>
      <c r="G20145" s="175">
        <f t="shared" ref="G20145" si="339">F20145-E20145</f>
        <v>50000</v>
      </c>
      <c r="H20145" s="701" t="s">
        <v>10654</v>
      </c>
    </row>
  </sheetData>
  <autoFilter ref="A1:P2014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20" sqref="A20"/>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5" t="s">
        <v>0</v>
      </c>
      <c r="B1" s="1105" t="s">
        <v>47</v>
      </c>
    </row>
    <row r="2" spans="1:11" hidden="1" x14ac:dyDescent="0.3">
      <c r="A2" s="1105" t="s">
        <v>2</v>
      </c>
      <c r="B2" s="1105" t="s">
        <v>47</v>
      </c>
    </row>
    <row r="3" spans="1:11" hidden="1" x14ac:dyDescent="0.3">
      <c r="A3" s="1105" t="s">
        <v>839</v>
      </c>
      <c r="B3" s="1105" t="s">
        <v>47</v>
      </c>
    </row>
    <row r="4" spans="1:11" ht="24" hidden="1" thickBot="1" x14ac:dyDescent="0.35">
      <c r="A4"/>
      <c r="B4"/>
      <c r="C4"/>
      <c r="D4"/>
      <c r="F4" s="97" t="s">
        <v>1766</v>
      </c>
      <c r="H4" s="1111" t="s">
        <v>1766</v>
      </c>
      <c r="I4" s="1111"/>
      <c r="J4" s="1111"/>
    </row>
    <row r="5" spans="1:11" ht="24" thickBot="1" x14ac:dyDescent="0.35">
      <c r="A5" s="1106" t="s">
        <v>4136</v>
      </c>
      <c r="B5" s="1107" t="s">
        <v>4133</v>
      </c>
      <c r="C5" s="1107" t="s">
        <v>4134</v>
      </c>
      <c r="D5" s="1107" t="s">
        <v>4135</v>
      </c>
      <c r="E5" s="346"/>
      <c r="H5" s="1111"/>
      <c r="I5" s="1111"/>
      <c r="J5" s="1111"/>
      <c r="K5" s="1013" t="s">
        <v>10857</v>
      </c>
    </row>
    <row r="6" spans="1:11" ht="26.25" x14ac:dyDescent="0.4">
      <c r="A6" s="737" t="s">
        <v>13550</v>
      </c>
      <c r="B6" s="738">
        <v>5000</v>
      </c>
      <c r="C6" s="738"/>
      <c r="D6" s="738">
        <v>-5000</v>
      </c>
      <c r="F6" s="696" t="s">
        <v>155</v>
      </c>
      <c r="G6" s="697" t="s">
        <v>2612</v>
      </c>
      <c r="H6" s="697" t="s">
        <v>7680</v>
      </c>
      <c r="I6" s="696" t="s">
        <v>2614</v>
      </c>
    </row>
    <row r="7" spans="1:11" ht="26.25" x14ac:dyDescent="0.4">
      <c r="A7" s="737" t="s">
        <v>13444</v>
      </c>
      <c r="B7" s="738">
        <v>71100</v>
      </c>
      <c r="C7" s="738"/>
      <c r="D7" s="738">
        <v>-71100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308863</v>
      </c>
      <c r="C10" s="738"/>
      <c r="D10" s="738">
        <v>-308863</v>
      </c>
      <c r="F10" s="694" t="s">
        <v>1399</v>
      </c>
      <c r="G10" s="695">
        <f t="shared" si="0"/>
        <v>15877458.15589213</v>
      </c>
      <c r="H10" s="695" t="e">
        <f>VLOOKUP(F10,'Project wise Supplier balance'!$A$6:$D$91,4,0)</f>
        <v>#N/A</v>
      </c>
      <c r="I10" s="692" t="e">
        <f t="shared" si="1"/>
        <v>#N/A</v>
      </c>
    </row>
    <row r="11" spans="1:11" ht="26.25" x14ac:dyDescent="0.4">
      <c r="A11" s="737" t="s">
        <v>13182</v>
      </c>
      <c r="B11" s="738">
        <v>4060070</v>
      </c>
      <c r="C11" s="738"/>
      <c r="D11" s="738">
        <v>-4060070</v>
      </c>
      <c r="F11" s="694" t="s">
        <v>7124</v>
      </c>
      <c r="G11" s="695">
        <f t="shared" si="0"/>
        <v>27649</v>
      </c>
      <c r="H11" s="695">
        <f>VLOOKUP(F11,'Project wise Supplier balance'!$A$6:$D$91,4,0)</f>
        <v>0</v>
      </c>
      <c r="I11" s="692">
        <f t="shared" si="1"/>
        <v>27649</v>
      </c>
    </row>
    <row r="12" spans="1:11" ht="26.25" x14ac:dyDescent="0.4">
      <c r="A12" s="737" t="s">
        <v>13230</v>
      </c>
      <c r="B12" s="738">
        <v>6116879</v>
      </c>
      <c r="C12" s="738"/>
      <c r="D12" s="738">
        <v>-6116879</v>
      </c>
      <c r="F12" s="694" t="s">
        <v>7065</v>
      </c>
      <c r="G12" s="695">
        <f t="shared" si="0"/>
        <v>5665632</v>
      </c>
      <c r="H12" s="695" t="e">
        <f>VLOOKUP(F12,'Project wise Supplier balance'!$A$6:$D$91,4,0)</f>
        <v>#N/A</v>
      </c>
      <c r="I12" s="692" t="e">
        <f t="shared" si="1"/>
        <v>#N/A</v>
      </c>
    </row>
    <row r="13" spans="1:11" ht="26.25" x14ac:dyDescent="0.4">
      <c r="A13" s="737" t="s">
        <v>13115</v>
      </c>
      <c r="B13" s="738">
        <v>10457247</v>
      </c>
      <c r="C13" s="738">
        <v>6619389</v>
      </c>
      <c r="D13" s="738">
        <v>-3837858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132150</v>
      </c>
      <c r="C16" s="738"/>
      <c r="D16" s="738">
        <v>-132150</v>
      </c>
      <c r="F16" s="694" t="s">
        <v>6503</v>
      </c>
      <c r="G16" s="695">
        <f t="shared" si="0"/>
        <v>6699524.3617511522</v>
      </c>
      <c r="H16" s="695" t="e">
        <f>VLOOKUP(F16,'Project wise Supplier balance'!$A$6:$D$91,4,0)</f>
        <v>#N/A</v>
      </c>
      <c r="I16" s="692" t="e">
        <f t="shared" si="1"/>
        <v>#N/A</v>
      </c>
    </row>
    <row r="17" spans="1:9" ht="26.25" x14ac:dyDescent="0.4">
      <c r="A17" s="737" t="s">
        <v>12684</v>
      </c>
      <c r="B17" s="738">
        <v>2134650</v>
      </c>
      <c r="C17" s="738">
        <v>4227916</v>
      </c>
      <c r="D17" s="738">
        <v>2093266</v>
      </c>
      <c r="F17" s="694" t="s">
        <v>7553</v>
      </c>
      <c r="G17" s="695">
        <f t="shared" si="0"/>
        <v>946445.53225806449</v>
      </c>
      <c r="H17" s="695">
        <f>VLOOKUP(F17,'Project wise Supplier balance'!$A$6:$D$91,4,0)</f>
        <v>0</v>
      </c>
      <c r="I17" s="692">
        <f t="shared" si="1"/>
        <v>946445.53225806449</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93616</v>
      </c>
      <c r="C19" s="738">
        <v>1520392</v>
      </c>
      <c r="D19" s="738">
        <v>1426776</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f>VLOOKUP(F20,'Project wise Supplier balance'!$A$6:$D$91,4,0)</f>
        <v>0</v>
      </c>
      <c r="I20" s="692">
        <f t="shared" si="1"/>
        <v>641998.78494623653</v>
      </c>
    </row>
    <row r="21" spans="1:9" ht="26.25" x14ac:dyDescent="0.4">
      <c r="A21" s="737" t="s">
        <v>12346</v>
      </c>
      <c r="B21" s="738">
        <v>332520</v>
      </c>
      <c r="C21" s="738">
        <v>500000</v>
      </c>
      <c r="D21" s="738">
        <v>167480</v>
      </c>
      <c r="F21" s="694" t="s">
        <v>7655</v>
      </c>
      <c r="G21" s="695">
        <f t="shared" si="0"/>
        <v>702698.51</v>
      </c>
      <c r="H21" s="695" t="e">
        <f>VLOOKUP(F21,'Project wise Supplier balance'!$A$6:$D$91,4,0)</f>
        <v>#N/A</v>
      </c>
      <c r="I21" s="692" t="e">
        <f t="shared" si="1"/>
        <v>#N/A</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12664322</v>
      </c>
      <c r="C23" s="738"/>
      <c r="D23" s="738">
        <v>-12664322</v>
      </c>
      <c r="F23" s="694" t="s">
        <v>7730</v>
      </c>
      <c r="G23" s="695">
        <f t="shared" si="0"/>
        <v>301911.87096774194</v>
      </c>
      <c r="H23" s="695">
        <f>VLOOKUP(F23,'Project wise Supplier balance'!$A$6:$D$91,4,0)</f>
        <v>0</v>
      </c>
      <c r="I23" s="692">
        <f t="shared" si="1"/>
        <v>301911.87096774194</v>
      </c>
    </row>
    <row r="24" spans="1:9" ht="26.25" x14ac:dyDescent="0.4">
      <c r="A24" s="737" t="s">
        <v>12505</v>
      </c>
      <c r="B24" s="738">
        <v>11713538</v>
      </c>
      <c r="C24" s="738">
        <v>18720352</v>
      </c>
      <c r="D24" s="738">
        <v>7006814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40609141</v>
      </c>
      <c r="C27" s="738">
        <v>55737381</v>
      </c>
      <c r="D27" s="738">
        <v>15128240</v>
      </c>
    </row>
    <row r="28" spans="1:9" ht="26.25" x14ac:dyDescent="0.4">
      <c r="A28" s="737" t="s">
        <v>11596</v>
      </c>
      <c r="B28" s="738">
        <v>6449860</v>
      </c>
      <c r="C28" s="738">
        <v>10854400</v>
      </c>
      <c r="D28" s="738">
        <v>4404540</v>
      </c>
    </row>
    <row r="29" spans="1:9" ht="26.25" x14ac:dyDescent="0.4">
      <c r="A29" s="737" t="s">
        <v>11498</v>
      </c>
      <c r="B29" s="738">
        <v>11245936.3928439</v>
      </c>
      <c r="C29" s="738">
        <v>15501746.8212</v>
      </c>
      <c r="D29" s="738">
        <v>4255810.4283560999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24079756.397849467</v>
      </c>
      <c r="C37" s="738">
        <v>30469180</v>
      </c>
      <c r="D37" s="738">
        <v>6389423.6021505389</v>
      </c>
    </row>
    <row r="38" spans="1:9" ht="26.25" x14ac:dyDescent="0.4">
      <c r="A38" s="737" t="s">
        <v>10573</v>
      </c>
      <c r="B38" s="738">
        <v>34794844.333333336</v>
      </c>
      <c r="C38" s="738">
        <v>54688780</v>
      </c>
      <c r="D38" s="738">
        <v>19893935.666666668</v>
      </c>
    </row>
    <row r="39" spans="1:9" ht="26.25" x14ac:dyDescent="0.4">
      <c r="A39" s="737" t="s">
        <v>10376</v>
      </c>
      <c r="B39" s="738">
        <v>4030880</v>
      </c>
      <c r="C39" s="738">
        <v>3000000</v>
      </c>
      <c r="D39" s="738">
        <v>-1030880</v>
      </c>
    </row>
    <row r="40" spans="1:9" ht="26.25" x14ac:dyDescent="0.4">
      <c r="A40" s="737" t="s">
        <v>10335</v>
      </c>
      <c r="B40" s="738">
        <v>6050255</v>
      </c>
      <c r="C40" s="738">
        <v>7705250</v>
      </c>
      <c r="D40" s="738">
        <v>1654995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35692766</v>
      </c>
      <c r="D42" s="738">
        <v>14701527.666666666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32958700</v>
      </c>
      <c r="C46" s="738">
        <v>28466000</v>
      </c>
      <c r="D46" s="738">
        <v>-4492700</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23681615.833333332</v>
      </c>
      <c r="C53" s="738">
        <v>28826632</v>
      </c>
      <c r="D53" s="738">
        <v>5145016.166666666</v>
      </c>
      <c r="G53" s="693"/>
      <c r="H53" s="693"/>
    </row>
    <row r="54" spans="1:8" s="290" customFormat="1" ht="26.25" x14ac:dyDescent="0.4">
      <c r="A54" s="737" t="s">
        <v>8865</v>
      </c>
      <c r="B54" s="738">
        <v>3516728</v>
      </c>
      <c r="C54" s="738">
        <v>4000000</v>
      </c>
      <c r="D54" s="738">
        <v>483272</v>
      </c>
      <c r="G54" s="693"/>
      <c r="H54" s="693"/>
    </row>
    <row r="55" spans="1:8" s="290" customFormat="1" ht="26.25" x14ac:dyDescent="0.4">
      <c r="A55" s="737" t="s">
        <v>8873</v>
      </c>
      <c r="B55" s="738">
        <v>8129091.3548387093</v>
      </c>
      <c r="C55" s="738">
        <v>14475224</v>
      </c>
      <c r="D55" s="738">
        <v>6346132.6451612907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9756255</v>
      </c>
      <c r="C60" s="738">
        <v>14204081</v>
      </c>
      <c r="D60" s="738">
        <v>4489919</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110" t="s">
        <v>6506</v>
      </c>
      <c r="B63" s="1109">
        <v>2813049</v>
      </c>
      <c r="C63" s="1109">
        <v>4926982</v>
      </c>
      <c r="D63" s="1109">
        <v>2113933</v>
      </c>
      <c r="G63" s="693"/>
      <c r="H63" s="693"/>
    </row>
    <row r="64" spans="1:8" s="290" customFormat="1" ht="26.25" x14ac:dyDescent="0.4">
      <c r="A64" s="1110" t="s">
        <v>6509</v>
      </c>
      <c r="B64" s="1109">
        <v>7639492</v>
      </c>
      <c r="C64" s="1109">
        <v>10084653</v>
      </c>
      <c r="D64" s="1109">
        <v>2445161</v>
      </c>
      <c r="G64" s="693"/>
      <c r="H64" s="693"/>
    </row>
    <row r="65" spans="1:8" s="290" customFormat="1" ht="26.25" x14ac:dyDescent="0.4">
      <c r="A65" s="1110" t="s">
        <v>7124</v>
      </c>
      <c r="B65" s="1109">
        <v>2367767</v>
      </c>
      <c r="C65" s="1109">
        <v>2395416</v>
      </c>
      <c r="D65" s="1109">
        <v>27649</v>
      </c>
      <c r="G65" s="693"/>
      <c r="H65" s="693"/>
    </row>
    <row r="66" spans="1:8" s="290" customFormat="1" ht="26.25" x14ac:dyDescent="0.4">
      <c r="A66" s="1110" t="s">
        <v>6407</v>
      </c>
      <c r="B66" s="1109">
        <v>4994014.2258064514</v>
      </c>
      <c r="C66" s="1109">
        <v>4645812</v>
      </c>
      <c r="D66" s="1109">
        <v>-290582.22580645164</v>
      </c>
      <c r="G66" s="693"/>
      <c r="H66" s="693"/>
    </row>
    <row r="67" spans="1:8" s="290" customFormat="1" ht="26.25" x14ac:dyDescent="0.4">
      <c r="A67" s="1110" t="s">
        <v>18</v>
      </c>
      <c r="B67" s="1109">
        <v>2393065.1605222733</v>
      </c>
      <c r="C67" s="1109">
        <v>4046750</v>
      </c>
      <c r="D67" s="1109">
        <v>1663684.8394777267</v>
      </c>
      <c r="G67" s="693"/>
      <c r="H67" s="693"/>
    </row>
    <row r="68" spans="1:8" s="290" customFormat="1" ht="26.25" x14ac:dyDescent="0.4">
      <c r="A68" s="1110" t="s">
        <v>7951</v>
      </c>
      <c r="B68" s="1109">
        <v>4397458</v>
      </c>
      <c r="C68" s="1109">
        <v>6566988</v>
      </c>
      <c r="D68" s="1109">
        <v>2169530</v>
      </c>
      <c r="G68" s="693"/>
      <c r="H68" s="693"/>
    </row>
    <row r="69" spans="1:8" s="290" customFormat="1" ht="26.25" x14ac:dyDescent="0.4">
      <c r="A69" s="1110" t="s">
        <v>7815</v>
      </c>
      <c r="B69" s="1109">
        <v>781154</v>
      </c>
      <c r="C69" s="1109">
        <v>1300000</v>
      </c>
      <c r="D69" s="1109">
        <v>518846</v>
      </c>
      <c r="G69" s="693"/>
      <c r="H69" s="693"/>
    </row>
    <row r="70" spans="1:8" s="290" customFormat="1" ht="26.25" x14ac:dyDescent="0.4">
      <c r="A70" s="1110" t="s">
        <v>7730</v>
      </c>
      <c r="B70" s="1109">
        <v>428088.12903225806</v>
      </c>
      <c r="C70" s="1109">
        <v>730000</v>
      </c>
      <c r="D70" s="1109">
        <v>301911.87096774194</v>
      </c>
      <c r="G70" s="693"/>
      <c r="H70" s="693"/>
    </row>
    <row r="71" spans="1:8" s="290" customFormat="1" ht="26.25" x14ac:dyDescent="0.4">
      <c r="A71" s="1110" t="s">
        <v>4720</v>
      </c>
      <c r="B71" s="1109">
        <v>4360763.8588709673</v>
      </c>
      <c r="C71" s="1109">
        <v>15155996.9</v>
      </c>
      <c r="D71" s="1109">
        <v>10795233.041129032</v>
      </c>
      <c r="G71" s="693"/>
      <c r="H71" s="693"/>
    </row>
    <row r="72" spans="1:8" s="290" customFormat="1" ht="26.25" x14ac:dyDescent="0.4">
      <c r="A72" s="1110" t="s">
        <v>5810</v>
      </c>
      <c r="B72" s="1109">
        <v>3130611.7334869434</v>
      </c>
      <c r="C72" s="1109">
        <v>3500000</v>
      </c>
      <c r="D72" s="1109">
        <v>369388.26651305659</v>
      </c>
      <c r="G72" s="693"/>
      <c r="H72" s="693"/>
    </row>
    <row r="73" spans="1:8" s="290" customFormat="1" ht="26.25" x14ac:dyDescent="0.4">
      <c r="A73" s="1110" t="s">
        <v>3945</v>
      </c>
      <c r="B73" s="1109">
        <v>17726845.736635283</v>
      </c>
      <c r="C73" s="1109">
        <v>21258202</v>
      </c>
      <c r="D73" s="1109">
        <v>3549187.263364716</v>
      </c>
      <c r="G73" s="693"/>
      <c r="H73" s="693"/>
    </row>
    <row r="74" spans="1:8" s="290" customFormat="1" ht="26.25" x14ac:dyDescent="0.4">
      <c r="A74" s="1110" t="s">
        <v>3944</v>
      </c>
      <c r="B74" s="1109">
        <v>10268612.265907222</v>
      </c>
      <c r="C74" s="1109">
        <v>17113523</v>
      </c>
      <c r="D74" s="1109">
        <v>6848289.7663508411</v>
      </c>
      <c r="G74" s="693"/>
      <c r="H74" s="693"/>
    </row>
    <row r="75" spans="1:8" s="290" customFormat="1" ht="26.25" x14ac:dyDescent="0.4">
      <c r="A75" s="1110" t="s">
        <v>6102</v>
      </c>
      <c r="B75" s="1109">
        <v>289848</v>
      </c>
      <c r="C75" s="1109">
        <v>1337000</v>
      </c>
      <c r="D75" s="1109">
        <v>1047152</v>
      </c>
      <c r="G75" s="693"/>
      <c r="H75" s="693"/>
    </row>
    <row r="76" spans="1:8" s="290" customFormat="1" ht="26.25" x14ac:dyDescent="0.4">
      <c r="A76" s="1110" t="s">
        <v>1399</v>
      </c>
      <c r="B76" s="1109">
        <v>114670526.94410785</v>
      </c>
      <c r="C76" s="1109">
        <v>130502260.09999999</v>
      </c>
      <c r="D76" s="1109">
        <v>15877458.15589213</v>
      </c>
      <c r="G76" s="693"/>
      <c r="H76" s="693"/>
    </row>
    <row r="77" spans="1:8" s="290" customFormat="1" ht="26.25" x14ac:dyDescent="0.4">
      <c r="A77" s="1110" t="s">
        <v>2932</v>
      </c>
      <c r="B77" s="1109">
        <v>97556794.74362056</v>
      </c>
      <c r="C77" s="1109">
        <v>137552234</v>
      </c>
      <c r="D77" s="1109">
        <v>39998531.25637947</v>
      </c>
      <c r="G77" s="693"/>
      <c r="H77" s="693"/>
    </row>
    <row r="78" spans="1:8" s="290" customFormat="1" ht="26.25" x14ac:dyDescent="0.4">
      <c r="A78" s="1110" t="s">
        <v>7655</v>
      </c>
      <c r="B78" s="1109">
        <v>2210566</v>
      </c>
      <c r="C78" s="1109">
        <v>2913264.51</v>
      </c>
      <c r="D78" s="1109">
        <v>702698.51</v>
      </c>
      <c r="G78" s="693"/>
      <c r="H78" s="693"/>
    </row>
    <row r="79" spans="1:8" s="290" customFormat="1" ht="26.25" x14ac:dyDescent="0.4">
      <c r="A79" s="1110" t="s">
        <v>7110</v>
      </c>
      <c r="B79" s="1109">
        <v>3206398.2150537632</v>
      </c>
      <c r="C79" s="1109">
        <v>3848397</v>
      </c>
      <c r="D79" s="1109">
        <v>641998.78494623653</v>
      </c>
      <c r="G79" s="693"/>
      <c r="H79" s="693"/>
    </row>
    <row r="80" spans="1:8" s="290" customFormat="1" ht="26.25" x14ac:dyDescent="0.4">
      <c r="A80" s="1110" t="s">
        <v>7065</v>
      </c>
      <c r="B80" s="1109">
        <v>18681972</v>
      </c>
      <c r="C80" s="1109">
        <v>24347604</v>
      </c>
      <c r="D80" s="1109">
        <v>5665632</v>
      </c>
      <c r="G80" s="693"/>
      <c r="H80" s="693"/>
    </row>
    <row r="81" spans="1:8" s="290" customFormat="1" ht="26.25" x14ac:dyDescent="0.4">
      <c r="A81" s="1110" t="s">
        <v>6503</v>
      </c>
      <c r="B81" s="1109">
        <v>5798786.9715821808</v>
      </c>
      <c r="C81" s="1109">
        <v>12473884</v>
      </c>
      <c r="D81" s="1109">
        <v>6699524.3617511522</v>
      </c>
      <c r="G81" s="693"/>
      <c r="H81" s="693"/>
    </row>
    <row r="82" spans="1:8" s="290" customFormat="1" ht="26.25" x14ac:dyDescent="0.4">
      <c r="A82" s="1110" t="s">
        <v>7553</v>
      </c>
      <c r="B82" s="1109">
        <v>2463913.4677419355</v>
      </c>
      <c r="C82" s="1109">
        <v>3410359</v>
      </c>
      <c r="D82" s="1109">
        <v>946445.53225806449</v>
      </c>
      <c r="G82" s="693"/>
      <c r="H82" s="693"/>
    </row>
    <row r="83" spans="1:8" s="290" customFormat="1" ht="26.25" x14ac:dyDescent="0.4">
      <c r="A83" s="1110" t="s">
        <v>6951</v>
      </c>
      <c r="B83" s="1109">
        <v>3524112</v>
      </c>
      <c r="C83" s="1109">
        <v>4875776</v>
      </c>
      <c r="D83" s="1109">
        <v>1351664</v>
      </c>
      <c r="G83" s="693"/>
      <c r="H83" s="693"/>
    </row>
    <row r="84" spans="1:8" s="290" customFormat="1" ht="26.25" x14ac:dyDescent="0.4">
      <c r="A84" s="1110" t="s">
        <v>6645</v>
      </c>
      <c r="B84" s="1109">
        <v>381763</v>
      </c>
      <c r="C84" s="1109">
        <v>448850</v>
      </c>
      <c r="D84" s="1109">
        <v>67087</v>
      </c>
      <c r="G84" s="693"/>
      <c r="H84" s="693"/>
    </row>
    <row r="85" spans="1:8" s="290" customFormat="1" ht="26.25" x14ac:dyDescent="0.4">
      <c r="A85" s="1110" t="s">
        <v>6516</v>
      </c>
      <c r="B85" s="1109">
        <v>11348698.623655912</v>
      </c>
      <c r="C85" s="1109">
        <v>13264500</v>
      </c>
      <c r="D85" s="1109">
        <v>1915801.3763440857</v>
      </c>
      <c r="G85" s="693"/>
      <c r="H85" s="693"/>
    </row>
    <row r="86" spans="1:8" s="290" customFormat="1" ht="26.25" x14ac:dyDescent="0.4">
      <c r="A86" s="1110" t="s">
        <v>2651</v>
      </c>
      <c r="B86" s="1109">
        <v>26687909.699682843</v>
      </c>
      <c r="C86" s="1109">
        <v>36731542</v>
      </c>
      <c r="D86" s="1109">
        <v>10068965.30031715</v>
      </c>
      <c r="G86" s="693"/>
      <c r="H86" s="693"/>
    </row>
    <row r="87" spans="1:8" s="290" customFormat="1" ht="26.25" x14ac:dyDescent="0.4">
      <c r="A87" s="1110" t="s">
        <v>5543</v>
      </c>
      <c r="B87" s="1109">
        <v>678790.36290322582</v>
      </c>
      <c r="C87" s="1109">
        <v>872151</v>
      </c>
      <c r="D87" s="1109">
        <v>193360.63709677418</v>
      </c>
      <c r="G87" s="693"/>
      <c r="H87" s="693"/>
    </row>
    <row r="88" spans="1:8" s="290" customFormat="1" ht="26.25" x14ac:dyDescent="0.4">
      <c r="A88" s="1110" t="s">
        <v>5640</v>
      </c>
      <c r="B88" s="1109">
        <v>2512284.75</v>
      </c>
      <c r="C88" s="1109">
        <v>3685007</v>
      </c>
      <c r="D88" s="1109">
        <v>1236944.25</v>
      </c>
      <c r="G88" s="693"/>
      <c r="H88" s="693"/>
    </row>
    <row r="89" spans="1:8" s="290" customFormat="1" ht="26.25" x14ac:dyDescent="0.4">
      <c r="A89" s="1110" t="s">
        <v>5051</v>
      </c>
      <c r="B89" s="1109">
        <v>4445446.3494623657</v>
      </c>
      <c r="C89" s="1109">
        <v>6341262</v>
      </c>
      <c r="D89" s="1109">
        <v>1895815.6505376345</v>
      </c>
      <c r="G89" s="693"/>
      <c r="H89" s="693"/>
    </row>
    <row r="90" spans="1:8" s="290" customFormat="1" ht="26.25" x14ac:dyDescent="0.4">
      <c r="A90" s="1110" t="s">
        <v>5616</v>
      </c>
      <c r="B90" s="1109">
        <v>1142182.75</v>
      </c>
      <c r="C90" s="1109">
        <v>2131308</v>
      </c>
      <c r="D90" s="1109">
        <v>989125.25</v>
      </c>
      <c r="G90" s="693"/>
      <c r="H90" s="693"/>
    </row>
    <row r="91" spans="1:8" s="290" customFormat="1" ht="26.25" x14ac:dyDescent="0.4">
      <c r="A91" s="1110" t="s">
        <v>82</v>
      </c>
      <c r="B91" s="1109">
        <v>4379244</v>
      </c>
      <c r="C91" s="1109">
        <v>10411961</v>
      </c>
      <c r="D91" s="1109">
        <v>6032717</v>
      </c>
      <c r="G91" s="693"/>
      <c r="H91" s="693"/>
    </row>
    <row r="92" spans="1:8" s="290" customFormat="1" ht="26.25" x14ac:dyDescent="0.4">
      <c r="A92" s="1110" t="s">
        <v>154</v>
      </c>
      <c r="B92" s="1109">
        <v>6704728</v>
      </c>
      <c r="C92" s="1109">
        <v>10075309</v>
      </c>
      <c r="D92" s="1109">
        <v>3380173</v>
      </c>
      <c r="G92" s="693"/>
      <c r="H92" s="693"/>
    </row>
    <row r="93" spans="1:8" s="290" customFormat="1" ht="26.25" x14ac:dyDescent="0.4">
      <c r="A93" s="1110" t="s">
        <v>2093</v>
      </c>
      <c r="B93" s="1109">
        <v>5185502.0489631332</v>
      </c>
      <c r="C93" s="1109">
        <v>6644055</v>
      </c>
      <c r="D93" s="1109">
        <v>1458552.9510368668</v>
      </c>
      <c r="G93" s="693"/>
      <c r="H93" s="693"/>
    </row>
    <row r="94" spans="1:8" s="290" customFormat="1" ht="26.25" x14ac:dyDescent="0.4">
      <c r="A94" s="1110" t="s">
        <v>2786</v>
      </c>
      <c r="B94" s="1109">
        <v>45546316.695372485</v>
      </c>
      <c r="C94" s="1109">
        <v>60651110</v>
      </c>
      <c r="D94" s="1109">
        <v>15104793.304627493</v>
      </c>
      <c r="G94" s="693"/>
      <c r="H94" s="693"/>
    </row>
    <row r="95" spans="1:8" s="290" customFormat="1" ht="26.25" x14ac:dyDescent="0.4">
      <c r="A95" s="1110" t="s">
        <v>2547</v>
      </c>
      <c r="B95" s="1109">
        <v>1543068.4838709678</v>
      </c>
      <c r="C95" s="1109">
        <v>2378225</v>
      </c>
      <c r="D95" s="1109">
        <v>835156.51612903224</v>
      </c>
      <c r="G95" s="693"/>
      <c r="H95" s="693"/>
    </row>
    <row r="96" spans="1:8" s="290" customFormat="1" ht="26.25" x14ac:dyDescent="0.4">
      <c r="A96" s="1110" t="s">
        <v>75</v>
      </c>
      <c r="B96" s="1109">
        <v>173944</v>
      </c>
      <c r="C96" s="1109"/>
      <c r="D96" s="1109">
        <v>-173944</v>
      </c>
      <c r="G96" s="693"/>
      <c r="H96" s="693"/>
    </row>
    <row r="97" spans="1:9" s="290" customFormat="1" ht="26.25" x14ac:dyDescent="0.4">
      <c r="A97" s="1110" t="s">
        <v>1492</v>
      </c>
      <c r="B97" s="1109">
        <v>1943741.4677419357</v>
      </c>
      <c r="C97" s="1109">
        <v>3015886</v>
      </c>
      <c r="D97" s="1109">
        <v>1072144.5322580645</v>
      </c>
      <c r="G97" s="693"/>
      <c r="H97" s="693"/>
    </row>
    <row r="98" spans="1:9" s="290" customFormat="1" ht="26.25" x14ac:dyDescent="0.4">
      <c r="A98" s="1110" t="s">
        <v>37</v>
      </c>
      <c r="B98" s="1109">
        <v>16833266.990161024</v>
      </c>
      <c r="C98" s="1109">
        <v>24713662</v>
      </c>
      <c r="D98" s="1109">
        <v>7871047.5636024121</v>
      </c>
      <c r="F98" s="4"/>
      <c r="G98" s="244"/>
      <c r="H98" s="244"/>
      <c r="I98" s="4"/>
    </row>
    <row r="99" spans="1:9" s="290" customFormat="1" ht="26.25" x14ac:dyDescent="0.4">
      <c r="A99" s="1110" t="s">
        <v>11</v>
      </c>
      <c r="B99" s="1109">
        <v>1985286.2044930877</v>
      </c>
      <c r="C99" s="1109">
        <v>1656000</v>
      </c>
      <c r="D99" s="1109">
        <v>-334286.20449308754</v>
      </c>
      <c r="F99" s="4"/>
      <c r="G99" s="244"/>
      <c r="H99" s="244"/>
      <c r="I99" s="4"/>
    </row>
    <row r="100" spans="1:9" s="290" customFormat="1" ht="26.25" x14ac:dyDescent="0.4">
      <c r="A100" s="1110" t="s">
        <v>25</v>
      </c>
      <c r="B100" s="1109">
        <v>19472187.887096774</v>
      </c>
      <c r="C100" s="1109"/>
      <c r="D100" s="1109">
        <v>-19462187.887096774</v>
      </c>
      <c r="F100" s="4"/>
      <c r="G100" s="244"/>
      <c r="H100" s="244"/>
      <c r="I100" s="4"/>
    </row>
    <row r="101" spans="1:9" s="290" customFormat="1" ht="26.25" x14ac:dyDescent="0.4">
      <c r="A101" s="1110" t="s">
        <v>14</v>
      </c>
      <c r="B101" s="1109">
        <v>1143402</v>
      </c>
      <c r="C101" s="1109">
        <v>1572705</v>
      </c>
      <c r="D101" s="1109">
        <v>429303</v>
      </c>
      <c r="F101" s="4"/>
      <c r="G101" s="244"/>
      <c r="H101" s="244"/>
      <c r="I101" s="4"/>
    </row>
    <row r="102" spans="1:9" ht="26.25" x14ac:dyDescent="0.4">
      <c r="A102" s="1110" t="s">
        <v>1690</v>
      </c>
      <c r="B102" s="1109">
        <v>1698566</v>
      </c>
      <c r="C102" s="1109"/>
      <c r="D102" s="1109">
        <v>-1698566</v>
      </c>
    </row>
    <row r="103" spans="1:9" ht="26.25" x14ac:dyDescent="0.4">
      <c r="A103" s="1110" t="s">
        <v>16</v>
      </c>
      <c r="B103" s="1109">
        <v>26636014.35819751</v>
      </c>
      <c r="C103" s="1109">
        <v>50000</v>
      </c>
      <c r="D103" s="1109">
        <v>-26586055.551745895</v>
      </c>
    </row>
    <row r="104" spans="1:9" ht="26.25" x14ac:dyDescent="0.4">
      <c r="A104" s="1110" t="s">
        <v>13319</v>
      </c>
      <c r="B104" s="1109">
        <v>748326</v>
      </c>
      <c r="C104" s="1109"/>
      <c r="D104" s="1109">
        <v>-748326</v>
      </c>
    </row>
    <row r="105" spans="1:9" ht="26.25" x14ac:dyDescent="0.4">
      <c r="A105" s="1110" t="s">
        <v>22</v>
      </c>
      <c r="B105" s="1109">
        <v>721543</v>
      </c>
      <c r="C105" s="1109">
        <v>1000426</v>
      </c>
      <c r="D105" s="1109">
        <v>278883</v>
      </c>
    </row>
    <row r="106" spans="1:9" ht="26.25" x14ac:dyDescent="0.4">
      <c r="A106" s="1110" t="s">
        <v>2656</v>
      </c>
      <c r="B106" s="1109">
        <v>1809365.6774193549</v>
      </c>
      <c r="C106" s="1109">
        <v>3056239</v>
      </c>
      <c r="D106" s="1109">
        <v>1246873.3225806453</v>
      </c>
    </row>
    <row r="107" spans="1:9" ht="26.25" x14ac:dyDescent="0.4">
      <c r="A107" s="1110" t="s">
        <v>5164</v>
      </c>
      <c r="B107" s="1109"/>
      <c r="C107" s="1109">
        <v>485141</v>
      </c>
      <c r="D107" s="1109">
        <v>485141</v>
      </c>
    </row>
    <row r="108" spans="1:9" ht="26.25" x14ac:dyDescent="0.4">
      <c r="A108" s="1110" t="s">
        <v>6633</v>
      </c>
      <c r="B108" s="1109">
        <v>631720</v>
      </c>
      <c r="C108" s="1109">
        <v>1000000</v>
      </c>
      <c r="D108" s="1109">
        <v>368280</v>
      </c>
    </row>
    <row r="109" spans="1:9" ht="26.25" x14ac:dyDescent="0.4">
      <c r="A109" s="1110" t="s">
        <v>6514</v>
      </c>
      <c r="B109" s="1109">
        <v>4971444.0025458178</v>
      </c>
      <c r="C109" s="1109">
        <v>7995733</v>
      </c>
      <c r="D109" s="1109">
        <v>3024288.9974541827</v>
      </c>
    </row>
    <row r="110" spans="1:9" ht="26.25" x14ac:dyDescent="0.4">
      <c r="A110" s="1110" t="s">
        <v>6446</v>
      </c>
      <c r="B110" s="1109">
        <v>550023</v>
      </c>
      <c r="C110" s="1109">
        <v>1100470</v>
      </c>
      <c r="D110" s="1109">
        <v>550447</v>
      </c>
    </row>
    <row r="111" spans="1:9" ht="26.25" x14ac:dyDescent="0.4">
      <c r="A111" s="1110" t="s">
        <v>5745</v>
      </c>
      <c r="B111" s="1109">
        <v>735045</v>
      </c>
      <c r="C111" s="1109">
        <v>1058484</v>
      </c>
      <c r="D111" s="1109">
        <v>323439</v>
      </c>
    </row>
    <row r="112" spans="1:9" ht="26.25" x14ac:dyDescent="0.4">
      <c r="A112" s="1110" t="s">
        <v>5670</v>
      </c>
      <c r="B112" s="1109">
        <v>271826</v>
      </c>
      <c r="C112" s="1109">
        <v>563000</v>
      </c>
      <c r="D112" s="1109">
        <v>291174</v>
      </c>
    </row>
    <row r="113" spans="1:4" ht="26.25" x14ac:dyDescent="0.4">
      <c r="A113" s="1110" t="s">
        <v>7762</v>
      </c>
      <c r="B113" s="1109"/>
      <c r="C113" s="1109">
        <v>64507</v>
      </c>
      <c r="D113" s="1109">
        <v>64507</v>
      </c>
    </row>
    <row r="114" spans="1:4" ht="26.25" x14ac:dyDescent="0.4">
      <c r="A114" s="1110" t="s">
        <v>40</v>
      </c>
      <c r="B114" s="1109">
        <v>51386165.801987335</v>
      </c>
      <c r="C114" s="1109">
        <v>69560627</v>
      </c>
      <c r="D114" s="1109">
        <v>18225961.198012669</v>
      </c>
    </row>
    <row r="115" spans="1:4" ht="26.25" x14ac:dyDescent="0.4">
      <c r="A115" s="1110" t="s">
        <v>5226</v>
      </c>
      <c r="B115" s="1109">
        <v>1808575</v>
      </c>
      <c r="C115" s="1109">
        <v>2875708</v>
      </c>
      <c r="D115" s="1109">
        <v>1067133</v>
      </c>
    </row>
    <row r="116" spans="1:4" ht="26.25" x14ac:dyDescent="0.4">
      <c r="A116" s="1110" t="s">
        <v>3621</v>
      </c>
      <c r="B116" s="1109">
        <v>7385548</v>
      </c>
      <c r="C116" s="1109">
        <v>12071334</v>
      </c>
      <c r="D116" s="1109">
        <v>4685786</v>
      </c>
    </row>
    <row r="117" spans="1:4" ht="26.25" x14ac:dyDescent="0.4">
      <c r="A117" s="1110" t="s">
        <v>3732</v>
      </c>
      <c r="B117" s="1109">
        <v>5642256.6693548393</v>
      </c>
      <c r="C117" s="1109">
        <v>6215763</v>
      </c>
      <c r="D117" s="1109">
        <v>573506.33064516122</v>
      </c>
    </row>
    <row r="118" spans="1:4" ht="26.25" x14ac:dyDescent="0.4">
      <c r="A118" s="1110" t="s">
        <v>8825</v>
      </c>
      <c r="B118" s="1109">
        <v>785021</v>
      </c>
      <c r="C118" s="1109">
        <v>690021</v>
      </c>
      <c r="D118" s="1109">
        <v>-95000</v>
      </c>
    </row>
    <row r="119" spans="1:4" ht="26.25" x14ac:dyDescent="0.4">
      <c r="A119" s="1110" t="s">
        <v>8888</v>
      </c>
      <c r="B119" s="1109">
        <v>84014</v>
      </c>
      <c r="C119" s="1109">
        <v>88818</v>
      </c>
      <c r="D119" s="1109">
        <v>4804</v>
      </c>
    </row>
    <row r="120" spans="1:4" ht="26.25" x14ac:dyDescent="0.4">
      <c r="A120" s="1110" t="s">
        <v>9512</v>
      </c>
      <c r="B120" s="1109">
        <v>369250</v>
      </c>
      <c r="C120" s="1109"/>
      <c r="D120" s="1109">
        <v>-369250</v>
      </c>
    </row>
    <row r="121" spans="1:4" ht="26.25" x14ac:dyDescent="0.4">
      <c r="A121" s="1110" t="s">
        <v>10370</v>
      </c>
      <c r="B121" s="1109">
        <v>25000</v>
      </c>
      <c r="C121" s="1109"/>
      <c r="D121" s="1109">
        <v>-25000</v>
      </c>
    </row>
    <row r="122" spans="1:4" ht="26.25" x14ac:dyDescent="0.4">
      <c r="A122" s="1108" t="s">
        <v>10360</v>
      </c>
      <c r="B122" s="1109">
        <v>20000</v>
      </c>
      <c r="C122" s="1109"/>
      <c r="D122" s="1109">
        <v>-20000</v>
      </c>
    </row>
    <row r="123" spans="1:4" ht="26.25" x14ac:dyDescent="0.4">
      <c r="A123" s="1110" t="s">
        <v>11604</v>
      </c>
      <c r="B123" s="1109">
        <v>92210</v>
      </c>
      <c r="C123" s="1109">
        <v>112665</v>
      </c>
      <c r="D123" s="1109">
        <v>20455</v>
      </c>
    </row>
    <row r="124" spans="1:4" ht="26.25" x14ac:dyDescent="0.4">
      <c r="A124" s="1108" t="s">
        <v>11695</v>
      </c>
      <c r="B124" s="1109">
        <v>62941</v>
      </c>
      <c r="C124" s="1109"/>
      <c r="D124" s="1109">
        <v>-62941</v>
      </c>
    </row>
    <row r="125" spans="1:4" ht="26.25" x14ac:dyDescent="0.4">
      <c r="A125" s="1108" t="s">
        <v>12429</v>
      </c>
      <c r="B125" s="1109">
        <v>20900</v>
      </c>
      <c r="C125" s="1109"/>
      <c r="D125" s="1109">
        <v>-20900</v>
      </c>
    </row>
    <row r="126" spans="1:4" ht="26.25" x14ac:dyDescent="0.4">
      <c r="A126" s="1108" t="s">
        <v>12681</v>
      </c>
      <c r="B126" s="1109">
        <v>1096000</v>
      </c>
      <c r="C126" s="1109"/>
      <c r="D126" s="1109">
        <v>-1096000</v>
      </c>
    </row>
    <row r="127" spans="1:4" ht="26.25" x14ac:dyDescent="0.4">
      <c r="A127" s="1108" t="s">
        <v>12986</v>
      </c>
      <c r="B127" s="1109">
        <v>36500</v>
      </c>
      <c r="C127" s="1109"/>
      <c r="D127" s="1109">
        <v>-36500</v>
      </c>
    </row>
    <row r="128" spans="1:4" ht="26.25" x14ac:dyDescent="0.4">
      <c r="A128" s="1108" t="s">
        <v>13388</v>
      </c>
      <c r="B128" s="1109">
        <v>400000</v>
      </c>
      <c r="C128" s="1109"/>
      <c r="D128" s="1109">
        <v>-400000</v>
      </c>
    </row>
    <row r="129" spans="1:4" ht="26.25" x14ac:dyDescent="0.4">
      <c r="A129" s="1108" t="s">
        <v>13481</v>
      </c>
      <c r="B129" s="1109">
        <v>260520</v>
      </c>
      <c r="C129" s="1109"/>
      <c r="D129" s="1109">
        <v>-260520</v>
      </c>
    </row>
    <row r="130" spans="1:4" ht="26.25" x14ac:dyDescent="0.4">
      <c r="A130" s="1110" t="s">
        <v>45</v>
      </c>
      <c r="B130" s="1109">
        <v>993213119.10898054</v>
      </c>
      <c r="C130" s="1109">
        <v>1233472450.7512</v>
      </c>
      <c r="D130" s="1109">
        <v>240545358.36802605</v>
      </c>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E2" sqref="E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13551</v>
      </c>
      <c r="B3" s="1018"/>
      <c r="C3" s="1018"/>
      <c r="D3" s="1018">
        <f t="shared" ref="D3" si="1">B3-C3</f>
        <v>0</v>
      </c>
      <c r="E3" s="1023"/>
      <c r="F3" s="1019">
        <f ca="1">SUMIF(Posting!$B:$E,A3,Posting!$E:$E)</f>
        <v>93616</v>
      </c>
      <c r="G3" s="1019">
        <f ca="1">SUMIF(Posting!$B:$F,A3,Posting!$F:$F)</f>
        <v>1520392</v>
      </c>
      <c r="H3" s="1019">
        <f ca="1">SUMIF(Supplier!$B:$F,A3,Supplier!$E:$E)-SUMIF(Supplier!$B:$F,A3,Supplier!$F:$F)</f>
        <v>90703</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11713538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35692766</v>
      </c>
      <c r="H5" s="1019">
        <f ca="1">SUMIF(Supplier!$B:$F,A5,Supplier!$E:$E)-SUMIF(Supplier!$B:$F,A5,Supplier!$F:$F)</f>
        <v>320957</v>
      </c>
      <c r="I5" s="1019">
        <v>30787947.325000003</v>
      </c>
      <c r="J5" s="1019"/>
      <c r="K5" s="1019"/>
      <c r="L5" s="1019">
        <f ca="1">I5+J5-G5-K5</f>
        <v>-4904818.674999997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5798786.9715821808</v>
      </c>
      <c r="G10" s="1019">
        <f ca="1">SUMIF(Posting!$B:$F,A10,Posting!$F:$F)</f>
        <v>12473884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32958700</v>
      </c>
      <c r="G11" s="1019">
        <f ca="1">SUMIF(Posting!$B:$F,A11,Posting!$F:$F)</f>
        <v>28466000</v>
      </c>
      <c r="H11" s="1019">
        <f ca="1">SUMIF(Supplier!$B:$F,A11,Supplier!$E:$E)-SUMIF(Supplier!$B:$F,A11,Supplier!$F:$F)</f>
        <v>1037647</v>
      </c>
      <c r="I11" s="1042"/>
      <c r="J11" s="1019"/>
      <c r="K11" s="1019"/>
      <c r="L11" s="1019"/>
      <c r="M11" s="1047"/>
    </row>
    <row r="12" spans="1:15" s="4" customFormat="1" x14ac:dyDescent="0.3">
      <c r="A12" s="1053" t="s">
        <v>12684</v>
      </c>
      <c r="B12" s="1018"/>
      <c r="C12" s="1018"/>
      <c r="D12" s="1018"/>
      <c r="E12" s="1023"/>
      <c r="F12" s="1019">
        <f ca="1">SUMIF(Posting!$B:$E,A12,Posting!$E:$E)</f>
        <v>2134650</v>
      </c>
      <c r="G12" s="1019">
        <f ca="1">SUMIF(Posting!$B:$F,A12,Posting!$F:$F)</f>
        <v>4227916</v>
      </c>
      <c r="H12" s="1019">
        <f ca="1">SUMIF(Supplier!$B:$F,A12,Supplier!$E:$E)-SUMIF(Supplier!$B:$F,A12,Supplier!$F:$F)</f>
        <v>36817</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319824</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6449860</v>
      </c>
      <c r="G19" s="1019">
        <f ca="1">SUMIF(Posting!$B:$F,A19,Posting!$F:$F)</f>
        <v>10854400</v>
      </c>
      <c r="H19" s="1019">
        <f ca="1">SUMIF(Supplier!$B:$F,A19,Supplier!$E:$E)-SUMIF(Supplier!$B:$F,A19,Supplier!$F:$F)</f>
        <v>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23681615.833333332</v>
      </c>
      <c r="G25" s="1019">
        <f ca="1">SUMIF(Posting!$B:$F,A25,Posting!$F:$F)</f>
        <v>28826632</v>
      </c>
      <c r="H25" s="1019">
        <f ca="1">SUMIF(Supplier!$B:$F,A25,Supplier!$E:$E)-SUMIF(Supplier!$B:$F,A25,Supplier!$F:$F)</f>
        <v>67559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24080256.397849467</v>
      </c>
      <c r="G26" s="1019">
        <f ca="1">SUMIF(Posting!$B:$F,A26,Posting!$F:$F)</f>
        <v>30469180</v>
      </c>
      <c r="H26" s="1019">
        <f ca="1">SUMIF(Supplier!$B:$F,A26,Supplier!$E:$E)-SUMIF(Supplier!$B:$F,A26,Supplier!$F:$F)</f>
        <v>-556430</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34794844.333333336</v>
      </c>
      <c r="G29" s="1019">
        <f ca="1">SUMIF(Posting!$B:$F,A29,Posting!$F:$F)</f>
        <v>54688780</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1655606</v>
      </c>
      <c r="I31" s="204">
        <f>SUM(I5:I30)</f>
        <v>100845893.79175998</v>
      </c>
      <c r="J31" s="204"/>
      <c r="K31" s="204">
        <f>SUM(K5:K30)</f>
        <v>9490649.0412499998</v>
      </c>
      <c r="L31" s="204">
        <f ca="1">SUM(L5:L30)</f>
        <v>30231660.154210001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7"/>
  <sheetViews>
    <sheetView zoomScaleNormal="100" workbookViewId="0">
      <pane ySplit="1" topLeftCell="A2" activePane="bottomLeft" state="frozen"/>
      <selection activeCell="D26" sqref="D26"/>
      <selection pane="bottomLeft" activeCell="H9" sqref="H9"/>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13524</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13329</v>
      </c>
      <c r="B2" s="1018">
        <v>11500000</v>
      </c>
      <c r="C2" s="1065"/>
      <c r="D2" s="1018">
        <f>C2*B2</f>
        <v>0</v>
      </c>
      <c r="E2" s="1018">
        <f t="shared" ref="E2" si="0">B2-D2</f>
        <v>11500000</v>
      </c>
      <c r="F2" s="1019"/>
      <c r="G2" s="1019"/>
      <c r="H2" s="1019">
        <f t="shared" ref="H2" si="1">G2+F2</f>
        <v>0</v>
      </c>
      <c r="I2" s="1018">
        <f t="shared" ref="I2" si="2">H2*4.5%</f>
        <v>0</v>
      </c>
      <c r="J2" s="1018">
        <f t="shared" ref="J2" si="3">I2+H2</f>
        <v>0</v>
      </c>
      <c r="K2" s="1019">
        <f ca="1">SUMIF(Posting!$B:$F,A2,Posting!$F:$F)</f>
        <v>0</v>
      </c>
      <c r="L2" s="1019">
        <f t="shared" ref="L2" ca="1" si="4">J2-K2</f>
        <v>0</v>
      </c>
    </row>
    <row r="3" spans="1:200" s="4" customFormat="1" x14ac:dyDescent="0.3">
      <c r="A3" s="1053" t="s">
        <v>13320</v>
      </c>
      <c r="B3" s="1018">
        <v>2880705</v>
      </c>
      <c r="C3" s="1065">
        <v>7.0000000000000007E-2</v>
      </c>
      <c r="D3" s="1018">
        <f>C3*B3</f>
        <v>201649.35</v>
      </c>
      <c r="E3" s="1018">
        <f t="shared" ref="E3" si="5">B3-D3</f>
        <v>2679055.65</v>
      </c>
      <c r="F3" s="1019"/>
      <c r="G3" s="1019"/>
      <c r="H3" s="1019">
        <f t="shared" ref="H3" si="6">G3+F3</f>
        <v>0</v>
      </c>
      <c r="I3" s="1018">
        <f t="shared" ref="I3" si="7">H3*4.5%</f>
        <v>0</v>
      </c>
      <c r="J3" s="1018">
        <f t="shared" ref="J3" si="8">I3+H3</f>
        <v>0</v>
      </c>
      <c r="K3" s="1019">
        <f ca="1">SUMIF(Posting!$B:$F,A3,Posting!$F:$F)</f>
        <v>0</v>
      </c>
      <c r="L3" s="1019">
        <f t="shared" ref="L3" ca="1" si="9">J3-K3</f>
        <v>0</v>
      </c>
    </row>
    <row r="4" spans="1:200" s="4" customFormat="1" x14ac:dyDescent="0.3">
      <c r="A4" s="1053" t="s">
        <v>13302</v>
      </c>
      <c r="B4" s="1018">
        <v>1884625</v>
      </c>
      <c r="C4" s="1065">
        <v>0.1</v>
      </c>
      <c r="D4" s="1018">
        <f>C4*B4</f>
        <v>188462.5</v>
      </c>
      <c r="E4" s="1018">
        <f t="shared" ref="E4" si="10">B4-D4</f>
        <v>1696162.5</v>
      </c>
      <c r="F4" s="1019"/>
      <c r="G4" s="1019"/>
      <c r="H4" s="1019">
        <f t="shared" ref="H4" si="11">G4+F4</f>
        <v>0</v>
      </c>
      <c r="I4" s="1018">
        <f t="shared" ref="I4" si="12">H4*4.5%</f>
        <v>0</v>
      </c>
      <c r="J4" s="1018">
        <f t="shared" ref="J4" si="13">I4+H4</f>
        <v>0</v>
      </c>
      <c r="K4" s="1019">
        <f ca="1">SUMIF(Posting!$B:$F,A4,Posting!$F:$F)</f>
        <v>0</v>
      </c>
      <c r="L4" s="1019">
        <f t="shared" ref="L4" ca="1" si="14">J4-K4</f>
        <v>0</v>
      </c>
    </row>
    <row r="5" spans="1:200" s="4" customFormat="1" x14ac:dyDescent="0.3">
      <c r="A5" s="1053" t="s">
        <v>13301</v>
      </c>
      <c r="B5" s="1018">
        <v>6181940</v>
      </c>
      <c r="C5" s="1065">
        <v>0.08</v>
      </c>
      <c r="D5" s="1018">
        <f>C5*B5</f>
        <v>494555.2</v>
      </c>
      <c r="E5" s="1018">
        <f t="shared" ref="E5" si="15">B5-D5</f>
        <v>5687384.7999999998</v>
      </c>
      <c r="F5" s="1019"/>
      <c r="G5" s="1019"/>
      <c r="H5" s="1019">
        <f t="shared" ref="H5" si="16">G5+F5</f>
        <v>0</v>
      </c>
      <c r="I5" s="1018">
        <f t="shared" ref="I5" si="17">H5*4.5%</f>
        <v>0</v>
      </c>
      <c r="J5" s="1018">
        <f t="shared" ref="J5" si="18">I5+H5</f>
        <v>0</v>
      </c>
      <c r="K5" s="1019">
        <f ca="1">SUMIF(Posting!$B:$F,A5,Posting!$F:$F)</f>
        <v>1421846</v>
      </c>
      <c r="L5" s="1019">
        <f t="shared" ref="L5" ca="1" si="19">J5-K5</f>
        <v>-1421846</v>
      </c>
    </row>
    <row r="6" spans="1:200" s="4" customFormat="1" x14ac:dyDescent="0.3">
      <c r="A6" s="1053" t="s">
        <v>13230</v>
      </c>
      <c r="B6" s="1018">
        <v>47244460.5</v>
      </c>
      <c r="C6" s="1065">
        <v>0.08</v>
      </c>
      <c r="D6" s="1018">
        <f>C6*B6</f>
        <v>3779556.84</v>
      </c>
      <c r="E6" s="1018">
        <f t="shared" ref="E6" si="20">B6-D6</f>
        <v>43464903.659999996</v>
      </c>
      <c r="F6" s="1019"/>
      <c r="G6" s="1019"/>
      <c r="H6" s="1019">
        <f t="shared" ref="H6" si="21">G6+F6</f>
        <v>0</v>
      </c>
      <c r="I6" s="1018">
        <f t="shared" ref="I6" si="22">H6*4.5%</f>
        <v>0</v>
      </c>
      <c r="J6" s="1018">
        <f t="shared" ref="J6" si="23">I6+H6</f>
        <v>0</v>
      </c>
      <c r="K6" s="1019">
        <f ca="1">SUMIF(Posting!$B:$F,A6,Posting!$F:$F)</f>
        <v>0</v>
      </c>
      <c r="L6" s="1019">
        <f t="shared" ref="L6" ca="1" si="24">J6-K6</f>
        <v>0</v>
      </c>
    </row>
    <row r="7" spans="1:200" s="4" customFormat="1" x14ac:dyDescent="0.3">
      <c r="A7" s="1053" t="s">
        <v>13182</v>
      </c>
      <c r="B7" s="1018">
        <v>28834775</v>
      </c>
      <c r="C7" s="1066" t="s">
        <v>12652</v>
      </c>
      <c r="D7" s="1018">
        <f>B7-E7</f>
        <v>4334775</v>
      </c>
      <c r="E7" s="1018">
        <v>24500000</v>
      </c>
      <c r="F7" s="1019"/>
      <c r="G7" s="1019"/>
      <c r="H7" s="1019">
        <f t="shared" ref="H7" si="25">G7+F7</f>
        <v>0</v>
      </c>
      <c r="I7" s="1018">
        <f t="shared" ref="I7" si="26">H7*4.5%</f>
        <v>0</v>
      </c>
      <c r="J7" s="1018">
        <f t="shared" ref="J7" si="27">I7+H7</f>
        <v>0</v>
      </c>
      <c r="K7" s="1019">
        <f ca="1">SUMIF(Posting!$B:$F,A7,Posting!$F:$F)</f>
        <v>0</v>
      </c>
      <c r="L7" s="1019">
        <f t="shared" ref="L7" ca="1" si="28">J7-K7</f>
        <v>0</v>
      </c>
    </row>
    <row r="8" spans="1:200" s="4" customFormat="1" x14ac:dyDescent="0.3">
      <c r="A8" s="1053" t="s">
        <v>13260</v>
      </c>
      <c r="B8" s="1018">
        <v>18946080</v>
      </c>
      <c r="C8" s="1065">
        <v>0.15</v>
      </c>
      <c r="D8" s="1018">
        <f>C8*B8</f>
        <v>2841912</v>
      </c>
      <c r="E8" s="1018">
        <f t="shared" ref="E8" si="29">B8-D8</f>
        <v>16104168</v>
      </c>
      <c r="F8" s="1019"/>
      <c r="G8" s="1019"/>
      <c r="H8" s="1019">
        <f t="shared" ref="H8" si="30">G8+F8</f>
        <v>0</v>
      </c>
      <c r="I8" s="1018">
        <f t="shared" ref="I8" si="31">H8*4.5%</f>
        <v>0</v>
      </c>
      <c r="J8" s="1018">
        <f t="shared" ref="J8" si="32">I8+H8</f>
        <v>0</v>
      </c>
      <c r="K8" s="1019">
        <f ca="1">SUMIF(Posting!$B:$F,A8,Posting!$F:$F)</f>
        <v>0</v>
      </c>
      <c r="L8" s="1019">
        <f t="shared" ref="L8" ca="1" si="33">J8-K8</f>
        <v>0</v>
      </c>
    </row>
    <row r="9" spans="1:200" s="4" customFormat="1" x14ac:dyDescent="0.3">
      <c r="A9" s="1053" t="s">
        <v>13300</v>
      </c>
      <c r="B9" s="1018">
        <v>9488782</v>
      </c>
      <c r="C9" s="1066" t="s">
        <v>12652</v>
      </c>
      <c r="D9" s="1018">
        <f>B9-E9</f>
        <v>1688782</v>
      </c>
      <c r="E9" s="1018">
        <v>7800000</v>
      </c>
      <c r="F9" s="1019"/>
      <c r="G9" s="1019"/>
      <c r="H9" s="1019">
        <f t="shared" ref="H9" si="34">G9+F9</f>
        <v>0</v>
      </c>
      <c r="I9" s="1018">
        <f t="shared" ref="I9" si="35">H9*4.5%</f>
        <v>0</v>
      </c>
      <c r="J9" s="1018">
        <f t="shared" ref="J9" si="36">I9+H9</f>
        <v>0</v>
      </c>
      <c r="K9" s="1019">
        <f ca="1">SUMIF(Posting!$B:$F,A9,Posting!$F:$F)</f>
        <v>0</v>
      </c>
      <c r="L9" s="1019">
        <f t="shared" ref="L9" ca="1" si="37">J9-K9</f>
        <v>0</v>
      </c>
    </row>
    <row r="10" spans="1:200" s="4" customFormat="1" x14ac:dyDescent="0.3">
      <c r="A10" s="1053" t="s">
        <v>13523</v>
      </c>
      <c r="B10" s="1018">
        <v>65012613.929999992</v>
      </c>
      <c r="C10" s="1065">
        <v>0.1</v>
      </c>
      <c r="D10" s="1018">
        <f>C10*B10</f>
        <v>6501261.3929999992</v>
      </c>
      <c r="E10" s="1018">
        <f t="shared" ref="E10:E25" si="38">B10-D10</f>
        <v>58511352.536999993</v>
      </c>
      <c r="F10" s="1019"/>
      <c r="G10" s="1019"/>
      <c r="H10" s="1019">
        <f t="shared" ref="H10:H25" si="39">G10+F10</f>
        <v>0</v>
      </c>
      <c r="I10" s="1018">
        <f t="shared" ref="I10:I25" si="40">H10*4.5%</f>
        <v>0</v>
      </c>
      <c r="J10" s="1018">
        <f t="shared" ref="J10:J23" si="41">I10+H10</f>
        <v>0</v>
      </c>
      <c r="K10" s="1019">
        <f ca="1">SUMIF(Posting!$B:$F,A10,Posting!$F:$F)</f>
        <v>0</v>
      </c>
      <c r="L10" s="1019">
        <f t="shared" ref="L10:L25" ca="1" si="42">J10-K10</f>
        <v>0</v>
      </c>
    </row>
    <row r="11" spans="1:200" s="4" customFormat="1" x14ac:dyDescent="0.3">
      <c r="A11" s="1053" t="s">
        <v>12757</v>
      </c>
      <c r="B11" s="1018"/>
      <c r="C11" s="1066"/>
      <c r="D11" s="1018"/>
      <c r="E11" s="1018"/>
      <c r="F11" s="1019"/>
      <c r="G11" s="1019"/>
      <c r="H11" s="1019">
        <f t="shared" si="39"/>
        <v>0</v>
      </c>
      <c r="I11" s="1018">
        <f t="shared" si="40"/>
        <v>0</v>
      </c>
      <c r="J11" s="1018">
        <f t="shared" si="41"/>
        <v>0</v>
      </c>
      <c r="K11" s="1019">
        <f ca="1">SUMIF(Posting!$B:$F,A11,Posting!$F:$F)</f>
        <v>0</v>
      </c>
      <c r="L11" s="1019">
        <f t="shared" ca="1" si="42"/>
        <v>0</v>
      </c>
    </row>
    <row r="12" spans="1:200" s="4" customFormat="1" x14ac:dyDescent="0.3">
      <c r="A12" s="1053" t="s">
        <v>12596</v>
      </c>
      <c r="B12" s="1018"/>
      <c r="C12" s="1065"/>
      <c r="D12" s="1018"/>
      <c r="E12" s="1018">
        <f>B12-D12</f>
        <v>0</v>
      </c>
      <c r="F12" s="1019"/>
      <c r="G12" s="1019"/>
      <c r="H12" s="1019">
        <f>G12+F12</f>
        <v>0</v>
      </c>
      <c r="I12" s="1018">
        <f>H12*4.5%</f>
        <v>0</v>
      </c>
      <c r="J12" s="1018">
        <f>I12+H12</f>
        <v>0</v>
      </c>
      <c r="K12" s="1019">
        <f ca="1">SUMIF(Posting!$B:$F,A12,Posting!$F:$F)</f>
        <v>0</v>
      </c>
      <c r="L12" s="1019">
        <f ca="1">J12-K12</f>
        <v>0</v>
      </c>
    </row>
    <row r="13" spans="1:200" s="4" customFormat="1" x14ac:dyDescent="0.3">
      <c r="A13" s="1053" t="s">
        <v>11596</v>
      </c>
      <c r="B13" s="1018"/>
      <c r="C13" s="1065"/>
      <c r="D13" s="1018"/>
      <c r="E13" s="1018">
        <f>'[4]quotation 2'!$I$20</f>
        <v>11816000</v>
      </c>
      <c r="F13" s="1019"/>
      <c r="G13" s="1019"/>
      <c r="H13" s="1019">
        <f>G13+E13</f>
        <v>11816000</v>
      </c>
      <c r="I13" s="1018">
        <f>H13*4.5%</f>
        <v>531720</v>
      </c>
      <c r="J13" s="1018">
        <f>I13+H13</f>
        <v>12347720</v>
      </c>
      <c r="K13" s="1019">
        <f ca="1">SUMIF(Posting!$B:$F,A13,Posting!$F:$F)</f>
        <v>10854400</v>
      </c>
      <c r="L13" s="1019">
        <f ca="1">J13-K13</f>
        <v>1493320</v>
      </c>
    </row>
    <row r="14" spans="1:200" s="1020" customFormat="1" x14ac:dyDescent="0.3">
      <c r="A14" s="1053" t="s">
        <v>11433</v>
      </c>
      <c r="B14" s="1018"/>
      <c r="C14" s="1065"/>
      <c r="D14" s="1018"/>
      <c r="E14" s="1018">
        <f>B14-D14</f>
        <v>0</v>
      </c>
      <c r="F14" s="1019"/>
      <c r="G14" s="1019"/>
      <c r="H14" s="1019">
        <f>G14+F14</f>
        <v>0</v>
      </c>
      <c r="I14" s="1018">
        <f>H14*4.5%</f>
        <v>0</v>
      </c>
      <c r="J14" s="1018">
        <f>I14+H14</f>
        <v>0</v>
      </c>
      <c r="K14" s="1019">
        <f ca="1">SUMIF(Posting!$B:$F,A14,Posting!$F:$F)</f>
        <v>11253125</v>
      </c>
      <c r="L14" s="1019"/>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4" customFormat="1" x14ac:dyDescent="0.3">
      <c r="A15" s="1089" t="s">
        <v>12598</v>
      </c>
      <c r="B15" s="1018">
        <v>5138700</v>
      </c>
      <c r="C15" s="1066" t="s">
        <v>12652</v>
      </c>
      <c r="D15" s="1018">
        <v>138700</v>
      </c>
      <c r="E15" s="1018">
        <f>B15-D15</f>
        <v>5000000</v>
      </c>
      <c r="F15" s="1019"/>
      <c r="G15" s="1019"/>
      <c r="H15" s="1019">
        <f>G15+E15</f>
        <v>5000000</v>
      </c>
      <c r="I15" s="1018">
        <f>H15*4.5%</f>
        <v>225000</v>
      </c>
      <c r="J15" s="1018">
        <f>I15+H15</f>
        <v>5225000</v>
      </c>
      <c r="K15" s="1019">
        <f ca="1">SUMIF(Posting!$B:$F,A15,Posting!$F:$F)</f>
        <v>1200000</v>
      </c>
      <c r="L15" s="1019">
        <f ca="1">J15-K15</f>
        <v>4025000</v>
      </c>
    </row>
    <row r="16" spans="1:200" s="4" customFormat="1" x14ac:dyDescent="0.3">
      <c r="A16" s="1089" t="s">
        <v>11874</v>
      </c>
      <c r="B16" s="1018">
        <v>76247089.599999994</v>
      </c>
      <c r="C16" s="1065">
        <v>0.12</v>
      </c>
      <c r="D16" s="1018">
        <f>C16*B16</f>
        <v>9149650.7519999985</v>
      </c>
      <c r="E16" s="1018">
        <f t="shared" si="38"/>
        <v>67097438.847999997</v>
      </c>
      <c r="F16" s="1019"/>
      <c r="G16" s="1019"/>
      <c r="H16" s="1019">
        <f>E16</f>
        <v>67097438.847999997</v>
      </c>
      <c r="I16" s="1018">
        <f t="shared" si="40"/>
        <v>3019384.74816</v>
      </c>
      <c r="J16" s="1018">
        <f t="shared" si="41"/>
        <v>70116823.596159995</v>
      </c>
      <c r="K16" s="1019">
        <f ca="1">SUMIF(Posting!$B:$F,A16,Posting!$F:$F)</f>
        <v>55737381</v>
      </c>
      <c r="L16" s="1019">
        <f t="shared" ca="1" si="42"/>
        <v>14379442.596159995</v>
      </c>
    </row>
    <row r="17" spans="1:200" s="4" customFormat="1" x14ac:dyDescent="0.3">
      <c r="A17" s="1089" t="s">
        <v>9658</v>
      </c>
      <c r="B17" s="1018">
        <v>19265070</v>
      </c>
      <c r="C17" s="1065"/>
      <c r="D17" s="1018"/>
      <c r="E17" s="1018">
        <f t="shared" si="38"/>
        <v>19265070</v>
      </c>
      <c r="F17" s="1019">
        <v>12264875</v>
      </c>
      <c r="G17" s="1019">
        <f>[5]Sheet1!$C$20</f>
        <v>553023</v>
      </c>
      <c r="H17" s="1019">
        <f t="shared" si="39"/>
        <v>12817898</v>
      </c>
      <c r="I17" s="1018">
        <f t="shared" si="40"/>
        <v>576805.41</v>
      </c>
      <c r="J17" s="1018">
        <f t="shared" si="41"/>
        <v>13394703.41</v>
      </c>
      <c r="K17" s="1019">
        <f ca="1">SUMIF(Posting!$B:$F,A17,Posting!$F:$F)</f>
        <v>10021233</v>
      </c>
      <c r="L17" s="1019">
        <f t="shared" ca="1" si="42"/>
        <v>3373470.41</v>
      </c>
    </row>
    <row r="18" spans="1:200" s="1020" customFormat="1" x14ac:dyDescent="0.3">
      <c r="A18" s="1089" t="s">
        <v>10335</v>
      </c>
      <c r="B18" s="1018"/>
      <c r="C18" s="1065"/>
      <c r="D18" s="1018"/>
      <c r="E18" s="1018">
        <v>9265000</v>
      </c>
      <c r="F18" s="1019"/>
      <c r="G18" s="1019">
        <f>[6]Sheet1!$C$26</f>
        <v>1337650</v>
      </c>
      <c r="H18" s="1019">
        <f>G18+E18</f>
        <v>10602650</v>
      </c>
      <c r="I18" s="1018">
        <f t="shared" si="40"/>
        <v>477119.25</v>
      </c>
      <c r="J18" s="1018">
        <f t="shared" si="41"/>
        <v>11079769.25</v>
      </c>
      <c r="K18" s="1019">
        <f ca="1">SUMIF(Posting!$B:$F,A18,Posting!$F:$F)</f>
        <v>7705250</v>
      </c>
      <c r="L18" s="1019">
        <f t="shared" ca="1" si="42"/>
        <v>3374519.25</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0" customFormat="1" x14ac:dyDescent="0.3">
      <c r="A19" s="1089" t="s">
        <v>9399</v>
      </c>
      <c r="B19" s="1018">
        <v>9435400</v>
      </c>
      <c r="C19" s="1065"/>
      <c r="D19" s="1018"/>
      <c r="E19" s="1018">
        <f t="shared" si="38"/>
        <v>9435400</v>
      </c>
      <c r="F19" s="1019">
        <v>7634180.5</v>
      </c>
      <c r="G19" s="1019">
        <f>[7]Sheet1!$C$23</f>
        <v>1335898.3032</v>
      </c>
      <c r="H19" s="1019">
        <f t="shared" si="39"/>
        <v>8970078.803199999</v>
      </c>
      <c r="I19" s="1018">
        <f t="shared" si="40"/>
        <v>403653.54614399996</v>
      </c>
      <c r="J19" s="1018">
        <f t="shared" si="41"/>
        <v>9373732.3493439984</v>
      </c>
      <c r="K19" s="1019">
        <f ca="1">SUMIF(Posting!$B:$F,A19,Posting!$F:$F)</f>
        <v>6590400</v>
      </c>
      <c r="L19" s="1019">
        <f t="shared" ca="1" si="42"/>
        <v>2783332.3493439984</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8873</v>
      </c>
      <c r="B20" s="1018">
        <v>14110484</v>
      </c>
      <c r="C20" s="1065">
        <v>7.0000000000000007E-2</v>
      </c>
      <c r="D20" s="1018">
        <f>C20*B20</f>
        <v>987733.88000000012</v>
      </c>
      <c r="E20" s="1018">
        <f t="shared" ref="E20" si="43">B20-D20</f>
        <v>13122750.119999999</v>
      </c>
      <c r="F20" s="1019">
        <v>15743818.6</v>
      </c>
      <c r="G20" s="1019">
        <f>[8]Sheet1!$D$26</f>
        <v>3091025.3200000003</v>
      </c>
      <c r="H20" s="1019">
        <f t="shared" si="39"/>
        <v>18834843.920000002</v>
      </c>
      <c r="I20" s="1018">
        <f t="shared" si="40"/>
        <v>847567.97640000004</v>
      </c>
      <c r="J20" s="1018">
        <f t="shared" si="41"/>
        <v>19682411.896400001</v>
      </c>
      <c r="K20" s="1019">
        <f ca="1">SUMIF(Posting!$B:$F,A20,Posting!$F:$F)+1300000</f>
        <v>15775224</v>
      </c>
      <c r="L20" s="1019">
        <f t="shared" ca="1" si="42"/>
        <v>3907187.8964000009</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9504</v>
      </c>
      <c r="B21" s="1018">
        <f>[9]Summary!$C$14</f>
        <v>7767350</v>
      </c>
      <c r="C21" s="1065"/>
      <c r="D21" s="1018"/>
      <c r="E21" s="1018">
        <f t="shared" si="38"/>
        <v>7767350</v>
      </c>
      <c r="F21" s="1019">
        <v>4180000</v>
      </c>
      <c r="G21" s="1019">
        <v>657480</v>
      </c>
      <c r="H21" s="1019">
        <f t="shared" si="39"/>
        <v>4837480</v>
      </c>
      <c r="I21" s="1018">
        <f t="shared" si="40"/>
        <v>217686.6</v>
      </c>
      <c r="J21" s="1018">
        <f t="shared" si="41"/>
        <v>5055166.5999999996</v>
      </c>
      <c r="K21" s="1019">
        <f ca="1">SUMIF(Posting!$B:$F,A21,Posting!$F:$F)</f>
        <v>3185630</v>
      </c>
      <c r="L21" s="1019">
        <f t="shared" ca="1" si="42"/>
        <v>1869536.5999999996</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7919</v>
      </c>
      <c r="B22" s="1018">
        <v>22948040</v>
      </c>
      <c r="C22" s="1090">
        <v>6.3E-2</v>
      </c>
      <c r="D22" s="1018">
        <v>1445726.52</v>
      </c>
      <c r="E22" s="1018">
        <f t="shared" si="38"/>
        <v>21502313.48</v>
      </c>
      <c r="F22" s="1019">
        <v>22717925.745000001</v>
      </c>
      <c r="G22" s="1019">
        <v>1010566</v>
      </c>
      <c r="H22" s="1019">
        <f t="shared" si="39"/>
        <v>23728491.745000001</v>
      </c>
      <c r="I22" s="1018">
        <f t="shared" si="40"/>
        <v>1067782.1285250001</v>
      </c>
      <c r="J22" s="1018">
        <f t="shared" si="41"/>
        <v>24796273.873525001</v>
      </c>
      <c r="K22" s="1019">
        <f ca="1">SUMIF(Posting!$B:$F,A22,Posting!$F:$F)</f>
        <v>26037593</v>
      </c>
      <c r="L22" s="1019">
        <f t="shared" ca="1" si="42"/>
        <v>-1241319.1264749989</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8336</v>
      </c>
      <c r="B23" s="1018">
        <v>12161762</v>
      </c>
      <c r="C23" s="1065"/>
      <c r="D23" s="1018"/>
      <c r="E23" s="1018">
        <f t="shared" si="38"/>
        <v>12161762</v>
      </c>
      <c r="F23" s="1019">
        <v>12508883.5</v>
      </c>
      <c r="G23" s="1019">
        <f>[10]Sheet1!$C$26</f>
        <v>1879892</v>
      </c>
      <c r="H23" s="1019">
        <f t="shared" si="39"/>
        <v>14388775.5</v>
      </c>
      <c r="I23" s="1018">
        <f t="shared" si="40"/>
        <v>647494.89749999996</v>
      </c>
      <c r="J23" s="1018">
        <f t="shared" si="41"/>
        <v>15036270.397500001</v>
      </c>
      <c r="K23" s="1019">
        <f ca="1">SUMIF(Posting!$B:$F,A23,Posting!$F:$F)</f>
        <v>14204081</v>
      </c>
      <c r="L23" s="1019">
        <f t="shared" ca="1" si="42"/>
        <v>832189.39750000089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8041</v>
      </c>
      <c r="B24" s="1018">
        <v>24512695</v>
      </c>
      <c r="C24" s="1065"/>
      <c r="D24" s="1018"/>
      <c r="E24" s="1018">
        <f>B24-D24</f>
        <v>24512695</v>
      </c>
      <c r="F24" s="1019">
        <v>26121171.999999996</v>
      </c>
      <c r="G24" s="1019">
        <f>[11]Sheet1!$E$24</f>
        <v>3571369.0625</v>
      </c>
      <c r="H24" s="1019">
        <f t="shared" si="39"/>
        <v>29692541.062499996</v>
      </c>
      <c r="I24" s="1018">
        <f t="shared" si="40"/>
        <v>1336164.3478124999</v>
      </c>
      <c r="J24" s="1018">
        <f>I24+H24</f>
        <v>31028705.410312496</v>
      </c>
      <c r="K24" s="1069">
        <f ca="1">SUMIF(Posting!$B:$F,A24,Posting!$F:$F)-835500</f>
        <v>27744816</v>
      </c>
      <c r="L24" s="1019">
        <f t="shared" ca="1" si="42"/>
        <v>3283889.4103124961</v>
      </c>
      <c r="M24" s="102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8865</v>
      </c>
      <c r="B25" s="1018">
        <v>5842450</v>
      </c>
      <c r="C25" s="1018"/>
      <c r="D25" s="1018">
        <v>188450</v>
      </c>
      <c r="E25" s="1018">
        <f t="shared" si="38"/>
        <v>5654000</v>
      </c>
      <c r="F25" s="1019">
        <v>5866320</v>
      </c>
      <c r="G25" s="1019">
        <f>[12]Sheet1!$C$23</f>
        <v>1099464.3999999999</v>
      </c>
      <c r="H25" s="1019">
        <f t="shared" si="39"/>
        <v>6965784.4000000004</v>
      </c>
      <c r="I25" s="1018">
        <f t="shared" si="40"/>
        <v>313460.29800000001</v>
      </c>
      <c r="J25" s="1018">
        <f>I25+H25</f>
        <v>7279244.6980000008</v>
      </c>
      <c r="K25" s="1019">
        <f ca="1">SUMIF(Posting!$B:$F,A25,Posting!$F:$F)</f>
        <v>4000000</v>
      </c>
      <c r="L25" s="1019">
        <f t="shared" ca="1" si="42"/>
        <v>3279244.6980000008</v>
      </c>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96" customFormat="1" ht="23.25" customHeight="1" x14ac:dyDescent="0.25">
      <c r="A26" s="1091"/>
      <c r="B26" s="1019"/>
      <c r="C26" s="1092"/>
      <c r="D26" s="1019"/>
      <c r="E26" s="1019"/>
      <c r="F26" s="1093"/>
      <c r="G26" s="1093"/>
      <c r="H26" s="1093"/>
      <c r="I26" s="1019"/>
      <c r="J26" s="1093">
        <f>SUM(J6:J25)</f>
        <v>224415821.48124149</v>
      </c>
      <c r="K26" s="1093">
        <f ca="1">SUM(K6:K25)</f>
        <v>194309133</v>
      </c>
      <c r="L26" s="1070">
        <f ca="1">SUM(L6:L25)</f>
        <v>41359813.481241487</v>
      </c>
      <c r="M26" s="1094"/>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1095"/>
      <c r="AN26" s="1095"/>
      <c r="AO26" s="1095"/>
      <c r="AP26" s="1095"/>
      <c r="AQ26" s="1095"/>
      <c r="AR26" s="1095"/>
      <c r="AS26" s="1095"/>
      <c r="AT26" s="1095"/>
      <c r="AU26" s="1095"/>
      <c r="AV26" s="1095"/>
      <c r="AW26" s="1095"/>
      <c r="AX26" s="1095"/>
      <c r="AY26" s="1095"/>
      <c r="AZ26" s="1095"/>
      <c r="BA26" s="1095"/>
      <c r="BB26" s="1095"/>
      <c r="BC26" s="1095"/>
      <c r="BD26" s="1095"/>
      <c r="BE26" s="1095"/>
      <c r="BF26" s="1095"/>
      <c r="BG26" s="1095"/>
      <c r="BH26" s="1095"/>
      <c r="BI26" s="1095"/>
      <c r="BJ26" s="1095"/>
      <c r="BK26" s="1095"/>
      <c r="BL26" s="1095"/>
      <c r="BM26" s="1095"/>
      <c r="BN26" s="1095"/>
      <c r="BO26" s="1095"/>
      <c r="BP26" s="1095"/>
      <c r="BQ26" s="1095"/>
      <c r="BR26" s="1095"/>
      <c r="BS26" s="1095"/>
      <c r="BT26" s="1095"/>
      <c r="BU26" s="1095"/>
      <c r="BV26" s="1095"/>
      <c r="BW26" s="1095"/>
      <c r="BX26" s="1095"/>
      <c r="BY26" s="1095"/>
      <c r="BZ26" s="1095"/>
      <c r="CA26" s="1095"/>
      <c r="CB26" s="1095"/>
      <c r="CC26" s="1095"/>
      <c r="CD26" s="1095"/>
      <c r="CE26" s="1095"/>
      <c r="CF26" s="1095"/>
      <c r="CG26" s="1095"/>
      <c r="CH26" s="1095"/>
      <c r="CI26" s="1095"/>
      <c r="CJ26" s="1095"/>
      <c r="CK26" s="1095"/>
      <c r="CL26" s="1095"/>
      <c r="CM26" s="1095"/>
      <c r="CN26" s="1095"/>
      <c r="CO26" s="1095"/>
      <c r="CP26" s="1095"/>
      <c r="CQ26" s="1095"/>
      <c r="CR26" s="1095"/>
      <c r="CS26" s="1095"/>
      <c r="CT26" s="1095"/>
      <c r="CU26" s="1095"/>
      <c r="CV26" s="1095"/>
      <c r="CW26" s="1095"/>
      <c r="CX26" s="1095"/>
      <c r="CY26" s="1095"/>
      <c r="CZ26" s="1095"/>
      <c r="DA26" s="1095"/>
      <c r="DB26" s="1095"/>
      <c r="DC26" s="1095"/>
      <c r="DD26" s="1095"/>
      <c r="DE26" s="1095"/>
      <c r="DF26" s="1095"/>
      <c r="DG26" s="1095"/>
      <c r="DH26" s="1095"/>
      <c r="DI26" s="1095"/>
      <c r="DJ26" s="1095"/>
      <c r="DK26" s="1095"/>
      <c r="DL26" s="1095"/>
      <c r="DM26" s="1095"/>
      <c r="DN26" s="1095"/>
      <c r="DO26" s="1095"/>
      <c r="DP26" s="1095"/>
      <c r="DQ26" s="1095"/>
      <c r="DR26" s="1095"/>
      <c r="DS26" s="1095"/>
      <c r="DT26" s="1095"/>
      <c r="DU26" s="1095"/>
      <c r="DV26" s="1095"/>
      <c r="DW26" s="1095"/>
      <c r="DX26" s="1095"/>
      <c r="DY26" s="1095"/>
      <c r="DZ26" s="1095"/>
      <c r="EA26" s="1095"/>
      <c r="EB26" s="1095"/>
      <c r="EC26" s="1095"/>
      <c r="ED26" s="1095"/>
      <c r="EE26" s="1095"/>
      <c r="EF26" s="1095"/>
      <c r="EG26" s="1095"/>
      <c r="EH26" s="1095"/>
      <c r="EI26" s="1095"/>
      <c r="EJ26" s="1095"/>
      <c r="EK26" s="1095"/>
      <c r="EL26" s="1095"/>
      <c r="EM26" s="1095"/>
      <c r="EN26" s="1095"/>
      <c r="EO26" s="1095"/>
      <c r="EP26" s="1095"/>
      <c r="EQ26" s="1095"/>
      <c r="ER26" s="1095"/>
      <c r="ES26" s="1095"/>
      <c r="ET26" s="1095"/>
      <c r="EU26" s="1095"/>
      <c r="EV26" s="1095"/>
      <c r="EW26" s="1095"/>
      <c r="EX26" s="1095"/>
      <c r="EY26" s="1095"/>
      <c r="EZ26" s="1095"/>
      <c r="FA26" s="1095"/>
      <c r="FB26" s="1095"/>
      <c r="FC26" s="1095"/>
      <c r="FD26" s="1095"/>
      <c r="FE26" s="1095"/>
      <c r="FF26" s="1095"/>
      <c r="FG26" s="1095"/>
      <c r="FH26" s="1095"/>
      <c r="FI26" s="1095"/>
      <c r="FJ26" s="1095"/>
      <c r="FK26" s="1095"/>
      <c r="FL26" s="1095"/>
      <c r="FM26" s="1095"/>
      <c r="FN26" s="1095"/>
      <c r="FO26" s="1095"/>
      <c r="FP26" s="1095"/>
      <c r="FQ26" s="1095"/>
      <c r="FR26" s="1095"/>
      <c r="FS26" s="1095"/>
      <c r="FT26" s="1095"/>
      <c r="FU26" s="1095"/>
      <c r="FV26" s="1095"/>
      <c r="FW26" s="1095"/>
      <c r="FX26" s="1095"/>
      <c r="FY26" s="1095"/>
      <c r="FZ26" s="1095"/>
      <c r="GA26" s="1095"/>
      <c r="GB26" s="1095"/>
      <c r="GC26" s="1095"/>
      <c r="GD26" s="1095"/>
      <c r="GE26" s="1095"/>
      <c r="GF26" s="1095"/>
      <c r="GG26" s="1095"/>
      <c r="GH26" s="1095"/>
      <c r="GI26" s="1095"/>
      <c r="GJ26" s="1095"/>
      <c r="GK26" s="1095"/>
      <c r="GL26" s="1095"/>
      <c r="GM26" s="1095"/>
      <c r="GN26" s="1095"/>
      <c r="GO26" s="1095"/>
      <c r="GP26" s="1095"/>
      <c r="GQ26" s="1095"/>
      <c r="GR26" s="1095"/>
    </row>
    <row r="27" spans="1:200" s="1020" customFormat="1" x14ac:dyDescent="0.3">
      <c r="A27" s="4"/>
      <c r="B27" s="1021"/>
      <c r="C27" s="1021"/>
      <c r="D27" s="1021"/>
      <c r="E27" s="1021"/>
      <c r="F27" s="1021"/>
      <c r="G27" s="1021"/>
      <c r="H27" s="1021"/>
      <c r="I27" s="1021"/>
      <c r="J27" s="1021"/>
      <c r="K27" s="1021"/>
      <c r="L27" s="1021"/>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0"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12"/>
  <sheetViews>
    <sheetView zoomScale="120" zoomScaleNormal="120" workbookViewId="0">
      <pane ySplit="1" topLeftCell="A3826" activePane="bottomLeft" state="frozen"/>
      <selection activeCell="D26" sqref="D26"/>
      <selection pane="bottomLeft" activeCell="B3848" sqref="B384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80" t="s">
        <v>518</v>
      </c>
    </row>
    <row r="52" spans="1:8" x14ac:dyDescent="0.25">
      <c r="A52" s="17">
        <v>42426</v>
      </c>
      <c r="B52" s="21" t="s">
        <v>129</v>
      </c>
      <c r="C52" s="13" t="s">
        <v>161</v>
      </c>
      <c r="D52" s="765"/>
      <c r="E52" s="22"/>
      <c r="F52" s="19">
        <v>60000</v>
      </c>
      <c r="G52" s="14">
        <f t="shared" si="4"/>
        <v>-60000</v>
      </c>
      <c r="H52" s="1180"/>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14" t="s">
        <v>517</v>
      </c>
    </row>
    <row r="64" spans="1:8" x14ac:dyDescent="0.25">
      <c r="A64" s="17">
        <v>42430</v>
      </c>
      <c r="B64" s="21" t="s">
        <v>40</v>
      </c>
      <c r="C64" s="13" t="s">
        <v>164</v>
      </c>
      <c r="D64" s="765">
        <v>8707</v>
      </c>
      <c r="E64" s="22">
        <v>9826</v>
      </c>
      <c r="F64" s="19"/>
      <c r="G64" s="14">
        <f t="shared" si="6"/>
        <v>9826</v>
      </c>
      <c r="H64" s="1177"/>
    </row>
    <row r="65" spans="1:8" x14ac:dyDescent="0.25">
      <c r="A65" s="17">
        <v>42432</v>
      </c>
      <c r="B65" s="21" t="s">
        <v>130</v>
      </c>
      <c r="C65" s="13" t="s">
        <v>164</v>
      </c>
      <c r="D65" s="765">
        <v>8822</v>
      </c>
      <c r="E65" s="22">
        <v>10294</v>
      </c>
      <c r="F65" s="19"/>
      <c r="G65" s="14">
        <f t="shared" si="6"/>
        <v>10294</v>
      </c>
      <c r="H65" s="1177"/>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6" t="s">
        <v>2192</v>
      </c>
    </row>
    <row r="441" spans="1:8" x14ac:dyDescent="0.25">
      <c r="A441" s="17">
        <v>42740</v>
      </c>
      <c r="B441" s="10" t="s">
        <v>1399</v>
      </c>
      <c r="C441" s="11" t="s">
        <v>1802</v>
      </c>
      <c r="F441" s="9">
        <v>433634</v>
      </c>
      <c r="G441" s="6">
        <f t="shared" si="11"/>
        <v>-433634</v>
      </c>
      <c r="H441" s="1187"/>
    </row>
    <row r="442" spans="1:8" x14ac:dyDescent="0.25">
      <c r="A442" s="17">
        <v>42740</v>
      </c>
      <c r="B442" s="10" t="s">
        <v>1675</v>
      </c>
      <c r="C442" s="11" t="s">
        <v>1802</v>
      </c>
      <c r="F442" s="9">
        <v>32908</v>
      </c>
      <c r="G442" s="6">
        <f t="shared" si="11"/>
        <v>-32908</v>
      </c>
      <c r="H442" s="1187"/>
    </row>
    <row r="443" spans="1:8" x14ac:dyDescent="0.25">
      <c r="A443" s="17">
        <v>42740</v>
      </c>
      <c r="B443" s="10" t="s">
        <v>32</v>
      </c>
      <c r="C443" s="11" t="s">
        <v>1802</v>
      </c>
      <c r="F443" s="9">
        <v>30468</v>
      </c>
      <c r="G443" s="6">
        <f t="shared" si="11"/>
        <v>-30468</v>
      </c>
      <c r="H443" s="118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6" t="s">
        <v>2193</v>
      </c>
    </row>
    <row r="459" spans="1:8" x14ac:dyDescent="0.25">
      <c r="A459" s="17">
        <v>42804</v>
      </c>
      <c r="B459" s="10" t="s">
        <v>1396</v>
      </c>
      <c r="C459" s="11" t="s">
        <v>1802</v>
      </c>
      <c r="F459" s="9">
        <v>100000</v>
      </c>
      <c r="G459" s="6">
        <f t="shared" si="11"/>
        <v>-100000</v>
      </c>
      <c r="H459" s="1187"/>
    </row>
    <row r="460" spans="1:8" x14ac:dyDescent="0.25">
      <c r="A460" s="17">
        <v>42804</v>
      </c>
      <c r="B460" s="10" t="s">
        <v>32</v>
      </c>
      <c r="C460" s="11" t="s">
        <v>1802</v>
      </c>
      <c r="F460" s="9">
        <v>100000</v>
      </c>
      <c r="G460" s="6">
        <f t="shared" si="11"/>
        <v>-100000</v>
      </c>
      <c r="H460" s="118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6" t="s">
        <v>2411</v>
      </c>
    </row>
    <row r="541" spans="1:8" x14ac:dyDescent="0.25">
      <c r="A541" s="17">
        <v>42875</v>
      </c>
      <c r="B541" s="10" t="s">
        <v>1396</v>
      </c>
      <c r="C541" s="11" t="s">
        <v>161</v>
      </c>
      <c r="F541" s="9">
        <v>99093</v>
      </c>
      <c r="G541" s="6">
        <f t="shared" si="16"/>
        <v>-99093</v>
      </c>
      <c r="H541" s="118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86" t="s">
        <v>2419</v>
      </c>
    </row>
    <row r="559" spans="1:8" x14ac:dyDescent="0.25">
      <c r="A559" s="17">
        <v>42880</v>
      </c>
      <c r="B559" s="148" t="s">
        <v>32</v>
      </c>
      <c r="C559" s="149" t="s">
        <v>1802</v>
      </c>
      <c r="D559" s="771"/>
      <c r="E559" s="150"/>
      <c r="F559" s="151">
        <v>100000</v>
      </c>
      <c r="G559" s="152">
        <f t="shared" si="16"/>
        <v>-100000</v>
      </c>
      <c r="H559" s="1188"/>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89" t="s">
        <v>2980</v>
      </c>
    </row>
    <row r="750" spans="1:8" x14ac:dyDescent="0.25">
      <c r="A750" s="17">
        <v>43081</v>
      </c>
      <c r="B750" s="10" t="s">
        <v>2786</v>
      </c>
      <c r="C750" s="11" t="s">
        <v>166</v>
      </c>
      <c r="F750" s="9">
        <v>183600</v>
      </c>
      <c r="G750" s="6">
        <f t="shared" si="20"/>
        <v>-183600</v>
      </c>
      <c r="H750" s="1190"/>
    </row>
    <row r="751" spans="1:8" x14ac:dyDescent="0.25">
      <c r="A751" s="17">
        <v>43081</v>
      </c>
      <c r="B751" s="10" t="s">
        <v>40</v>
      </c>
      <c r="C751" s="11" t="s">
        <v>166</v>
      </c>
      <c r="F751" s="9">
        <v>69900</v>
      </c>
      <c r="G751" s="6">
        <f t="shared" si="20"/>
        <v>-69900</v>
      </c>
      <c r="H751" s="1190"/>
    </row>
    <row r="752" spans="1:8" x14ac:dyDescent="0.25">
      <c r="A752" s="17">
        <v>43081</v>
      </c>
      <c r="B752" s="10" t="s">
        <v>1399</v>
      </c>
      <c r="C752" s="11" t="s">
        <v>166</v>
      </c>
      <c r="F752" s="9">
        <v>84000</v>
      </c>
      <c r="G752" s="6">
        <f t="shared" si="20"/>
        <v>-84000</v>
      </c>
      <c r="H752" s="1190"/>
    </row>
    <row r="753" spans="1:8" x14ac:dyDescent="0.25">
      <c r="A753" s="17">
        <v>43081</v>
      </c>
      <c r="B753" s="10" t="s">
        <v>2226</v>
      </c>
      <c r="C753" s="11" t="s">
        <v>166</v>
      </c>
      <c r="F753" s="9">
        <v>35709</v>
      </c>
      <c r="G753" s="6">
        <f t="shared" si="20"/>
        <v>-35709</v>
      </c>
      <c r="H753" s="1190"/>
    </row>
    <row r="754" spans="1:8" x14ac:dyDescent="0.25">
      <c r="A754" s="17">
        <v>43081</v>
      </c>
      <c r="B754" s="10" t="s">
        <v>1396</v>
      </c>
      <c r="C754" s="11" t="s">
        <v>166</v>
      </c>
      <c r="F754" s="9">
        <v>3823</v>
      </c>
      <c r="G754" s="6">
        <f t="shared" si="20"/>
        <v>-3823</v>
      </c>
      <c r="H754" s="119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2" t="s">
        <v>3051</v>
      </c>
    </row>
    <row r="767" spans="1:8" x14ac:dyDescent="0.25">
      <c r="A767" s="17">
        <v>43122</v>
      </c>
      <c r="B767" s="10" t="s">
        <v>2786</v>
      </c>
      <c r="C767" s="11" t="s">
        <v>166</v>
      </c>
      <c r="F767" s="9">
        <f>500000-F766</f>
        <v>443523</v>
      </c>
      <c r="G767" s="6">
        <f t="shared" si="20"/>
        <v>-443523</v>
      </c>
      <c r="H767" s="119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99" t="s">
        <v>6676</v>
      </c>
    </row>
    <row r="1800" spans="1:8" x14ac:dyDescent="0.25">
      <c r="A1800" s="112">
        <v>44261</v>
      </c>
      <c r="B1800" s="10" t="s">
        <v>1399</v>
      </c>
      <c r="C1800" s="11" t="s">
        <v>166</v>
      </c>
      <c r="F1800" s="9">
        <v>50000</v>
      </c>
      <c r="G1800" s="6">
        <f t="shared" ref="G1800" si="32">E1800-F1800</f>
        <v>-50000</v>
      </c>
      <c r="H1800" s="119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0" t="s">
        <v>6971</v>
      </c>
    </row>
    <row r="1877" spans="1:8" ht="24" customHeight="1" x14ac:dyDescent="0.25">
      <c r="A1877" s="112">
        <v>44288</v>
      </c>
      <c r="B1877" s="10" t="s">
        <v>6407</v>
      </c>
      <c r="C1877" s="11" t="s">
        <v>437</v>
      </c>
      <c r="F1877" s="9">
        <v>7970</v>
      </c>
      <c r="G1877" s="6">
        <f t="shared" si="34"/>
        <v>-7970</v>
      </c>
      <c r="H1877" s="1200"/>
    </row>
    <row r="1878" spans="1:8" ht="24" customHeight="1" x14ac:dyDescent="0.25">
      <c r="A1878" s="112">
        <v>44288</v>
      </c>
      <c r="B1878" s="10" t="s">
        <v>1399</v>
      </c>
      <c r="C1878" s="11" t="s">
        <v>437</v>
      </c>
      <c r="F1878" s="9">
        <v>21500</v>
      </c>
      <c r="G1878" s="6">
        <f t="shared" si="34"/>
        <v>-21500</v>
      </c>
      <c r="H1878" s="1200"/>
    </row>
    <row r="1879" spans="1:8" ht="24" customHeight="1" x14ac:dyDescent="0.25">
      <c r="A1879" s="112">
        <v>44288</v>
      </c>
      <c r="B1879" s="10" t="s">
        <v>6407</v>
      </c>
      <c r="C1879" s="11" t="s">
        <v>437</v>
      </c>
      <c r="F1879" s="9">
        <v>2900</v>
      </c>
      <c r="G1879" s="6">
        <f t="shared" si="34"/>
        <v>-2900</v>
      </c>
      <c r="H1879" s="1200"/>
    </row>
    <row r="1880" spans="1:8" ht="24" customHeight="1" x14ac:dyDescent="0.25">
      <c r="A1880" s="112">
        <v>44280</v>
      </c>
      <c r="B1880" s="10" t="s">
        <v>1399</v>
      </c>
      <c r="C1880" s="11" t="s">
        <v>437</v>
      </c>
      <c r="F1880" s="9">
        <v>24225</v>
      </c>
      <c r="G1880" s="6">
        <f t="shared" si="34"/>
        <v>-24225</v>
      </c>
      <c r="H1880" s="1200"/>
    </row>
    <row r="1881" spans="1:8" ht="24" customHeight="1" x14ac:dyDescent="0.25">
      <c r="A1881" s="112">
        <v>44331</v>
      </c>
      <c r="B1881" s="10" t="s">
        <v>6407</v>
      </c>
      <c r="C1881" s="11" t="s">
        <v>437</v>
      </c>
      <c r="F1881" s="9">
        <v>54720</v>
      </c>
      <c r="G1881" s="6">
        <f t="shared" si="34"/>
        <v>-54720</v>
      </c>
      <c r="H1881" s="1200"/>
    </row>
    <row r="1882" spans="1:8" ht="24" customHeight="1" x14ac:dyDescent="0.25">
      <c r="A1882" s="112">
        <v>44341</v>
      </c>
      <c r="B1882" s="10" t="s">
        <v>6509</v>
      </c>
      <c r="C1882" s="11" t="s">
        <v>437</v>
      </c>
      <c r="F1882" s="9">
        <v>22415</v>
      </c>
      <c r="G1882" s="6">
        <f t="shared" si="34"/>
        <v>-22415</v>
      </c>
      <c r="H1882" s="120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94" t="s">
        <v>6908</v>
      </c>
    </row>
    <row r="1886" spans="1:8" x14ac:dyDescent="0.25">
      <c r="A1886" s="112">
        <v>44291</v>
      </c>
      <c r="B1886" s="10" t="s">
        <v>6516</v>
      </c>
      <c r="C1886" s="11" t="s">
        <v>1802</v>
      </c>
      <c r="E1886" s="108"/>
      <c r="F1886" s="110">
        <v>82220</v>
      </c>
      <c r="G1886" s="6">
        <f t="shared" si="34"/>
        <v>-82220</v>
      </c>
      <c r="H1886" s="1121"/>
    </row>
    <row r="1887" spans="1:8" x14ac:dyDescent="0.25">
      <c r="A1887" s="112">
        <v>44291</v>
      </c>
      <c r="B1887" s="10" t="s">
        <v>6509</v>
      </c>
      <c r="C1887" s="11" t="s">
        <v>1802</v>
      </c>
      <c r="E1887" s="108"/>
      <c r="F1887" s="110">
        <f>16101+25620</f>
        <v>41721</v>
      </c>
      <c r="G1887" s="6">
        <f t="shared" si="34"/>
        <v>-41721</v>
      </c>
      <c r="H1887" s="1121"/>
    </row>
    <row r="1888" spans="1:8" x14ac:dyDescent="0.25">
      <c r="A1888" s="112">
        <v>44291</v>
      </c>
      <c r="B1888" s="10" t="s">
        <v>6718</v>
      </c>
      <c r="C1888" s="11" t="s">
        <v>1802</v>
      </c>
      <c r="E1888" s="108"/>
      <c r="F1888" s="111">
        <v>200000</v>
      </c>
      <c r="G1888" s="6">
        <f t="shared" si="34"/>
        <v>-200000</v>
      </c>
      <c r="H1888" s="119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6" t="s">
        <v>7137</v>
      </c>
    </row>
    <row r="1996" spans="1:8" x14ac:dyDescent="0.25">
      <c r="A1996" s="658">
        <v>44392</v>
      </c>
      <c r="B1996" s="659" t="s">
        <v>6953</v>
      </c>
      <c r="C1996" s="660" t="s">
        <v>166</v>
      </c>
      <c r="E1996" s="661"/>
      <c r="F1996" s="664">
        <v>34800</v>
      </c>
      <c r="G1996" s="663">
        <f t="shared" si="36"/>
        <v>-34800</v>
      </c>
      <c r="H1996" s="1197"/>
    </row>
    <row r="1997" spans="1:8" ht="16.5" thickBot="1" x14ac:dyDescent="0.3">
      <c r="A1997" s="658">
        <v>44392</v>
      </c>
      <c r="B1997" s="659" t="s">
        <v>1399</v>
      </c>
      <c r="C1997" s="660" t="s">
        <v>166</v>
      </c>
      <c r="E1997" s="661"/>
      <c r="F1997" s="665">
        <v>23022</v>
      </c>
      <c r="G1997" s="663">
        <f t="shared" si="36"/>
        <v>-23022</v>
      </c>
      <c r="H1997" s="1198"/>
    </row>
    <row r="1998" spans="1:8" x14ac:dyDescent="0.25">
      <c r="A1998" s="651">
        <v>44392</v>
      </c>
      <c r="B1998" s="652" t="s">
        <v>6509</v>
      </c>
      <c r="C1998" s="653" t="s">
        <v>437</v>
      </c>
      <c r="E1998" s="654"/>
      <c r="F1998" s="655">
        <f>480791-39410</f>
        <v>441381</v>
      </c>
      <c r="G1998" s="656">
        <f t="shared" si="36"/>
        <v>-441381</v>
      </c>
      <c r="H1998" s="1201" t="s">
        <v>7139</v>
      </c>
    </row>
    <row r="1999" spans="1:8" x14ac:dyDescent="0.25">
      <c r="A1999" s="651">
        <v>44392</v>
      </c>
      <c r="B1999" s="652" t="s">
        <v>6953</v>
      </c>
      <c r="C1999" s="653" t="s">
        <v>437</v>
      </c>
      <c r="E1999" s="654"/>
      <c r="F1999" s="672">
        <v>39410</v>
      </c>
      <c r="G1999" s="656">
        <f t="shared" si="36"/>
        <v>-39410</v>
      </c>
      <c r="H1999" s="1202"/>
    </row>
    <row r="2000" spans="1:8" ht="16.5" thickBot="1" x14ac:dyDescent="0.3">
      <c r="A2000" s="651">
        <v>44392</v>
      </c>
      <c r="B2000" s="652" t="s">
        <v>6407</v>
      </c>
      <c r="C2000" s="653" t="s">
        <v>437</v>
      </c>
      <c r="E2000" s="654"/>
      <c r="F2000" s="657">
        <v>40445</v>
      </c>
      <c r="G2000" s="656">
        <f t="shared" si="36"/>
        <v>-40445</v>
      </c>
      <c r="H2000" s="1203"/>
    </row>
    <row r="2001" spans="1:8" x14ac:dyDescent="0.25">
      <c r="A2001" s="658">
        <v>44392</v>
      </c>
      <c r="B2001" s="659" t="s">
        <v>6953</v>
      </c>
      <c r="C2001" s="660" t="s">
        <v>437</v>
      </c>
      <c r="E2001" s="661"/>
      <c r="F2001" s="662">
        <v>134360</v>
      </c>
      <c r="G2001" s="663">
        <f t="shared" si="36"/>
        <v>-134360</v>
      </c>
      <c r="H2001" s="1173" t="s">
        <v>7140</v>
      </c>
    </row>
    <row r="2002" spans="1:8" x14ac:dyDescent="0.25">
      <c r="A2002" s="658">
        <v>44392</v>
      </c>
      <c r="B2002" s="659" t="s">
        <v>1399</v>
      </c>
      <c r="C2002" s="660" t="s">
        <v>437</v>
      </c>
      <c r="E2002" s="661"/>
      <c r="F2002" s="664">
        <v>79000</v>
      </c>
      <c r="G2002" s="663">
        <f t="shared" si="36"/>
        <v>-79000</v>
      </c>
      <c r="H2002" s="1174"/>
    </row>
    <row r="2003" spans="1:8" x14ac:dyDescent="0.25">
      <c r="A2003" s="658">
        <v>44392</v>
      </c>
      <c r="B2003" s="659" t="s">
        <v>6407</v>
      </c>
      <c r="C2003" s="660" t="s">
        <v>437</v>
      </c>
      <c r="E2003" s="661"/>
      <c r="F2003" s="664">
        <v>35561</v>
      </c>
      <c r="G2003" s="663">
        <f t="shared" si="36"/>
        <v>-35561</v>
      </c>
      <c r="H2003" s="1174"/>
    </row>
    <row r="2004" spans="1:8" x14ac:dyDescent="0.25">
      <c r="A2004" s="658">
        <v>44392</v>
      </c>
      <c r="B2004" s="659" t="s">
        <v>3945</v>
      </c>
      <c r="C2004" s="660" t="s">
        <v>437</v>
      </c>
      <c r="E2004" s="661"/>
      <c r="F2004" s="664">
        <v>252800</v>
      </c>
      <c r="G2004" s="663">
        <f t="shared" si="36"/>
        <v>-252800</v>
      </c>
      <c r="H2004" s="1174"/>
    </row>
    <row r="2005" spans="1:8" ht="16.5" thickBot="1" x14ac:dyDescent="0.3">
      <c r="A2005" s="658">
        <v>44392</v>
      </c>
      <c r="B2005" s="659" t="s">
        <v>7065</v>
      </c>
      <c r="C2005" s="660" t="s">
        <v>437</v>
      </c>
      <c r="E2005" s="661"/>
      <c r="F2005" s="665">
        <v>209</v>
      </c>
      <c r="G2005" s="663">
        <f t="shared" si="36"/>
        <v>-209</v>
      </c>
      <c r="H2005" s="117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6" t="s">
        <v>7251</v>
      </c>
    </row>
    <row r="2035" spans="1:8" x14ac:dyDescent="0.25">
      <c r="A2035" s="112">
        <v>44431</v>
      </c>
      <c r="B2035" s="10" t="s">
        <v>7110</v>
      </c>
      <c r="C2035" s="11" t="s">
        <v>7240</v>
      </c>
      <c r="F2035" s="9">
        <v>50000</v>
      </c>
      <c r="G2035" s="6">
        <f t="shared" si="37"/>
        <v>-50000</v>
      </c>
      <c r="H2035" s="120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0" t="s">
        <v>7298</v>
      </c>
    </row>
    <row r="2060" spans="1:8" x14ac:dyDescent="0.25">
      <c r="A2060" s="112">
        <v>44456</v>
      </c>
      <c r="B2060" s="10" t="s">
        <v>6509</v>
      </c>
      <c r="C2060" s="11" t="s">
        <v>437</v>
      </c>
      <c r="F2060" s="9">
        <v>137800</v>
      </c>
      <c r="G2060" s="6">
        <f t="shared" si="38"/>
        <v>-137800</v>
      </c>
      <c r="H2060" s="1131"/>
    </row>
    <row r="2061" spans="1:8" x14ac:dyDescent="0.25">
      <c r="A2061" s="112">
        <v>44456</v>
      </c>
      <c r="B2061" s="10" t="s">
        <v>7065</v>
      </c>
      <c r="C2061" s="11" t="s">
        <v>437</v>
      </c>
      <c r="F2061" s="9">
        <v>29791</v>
      </c>
      <c r="G2061" s="6">
        <f t="shared" si="38"/>
        <v>-29791</v>
      </c>
      <c r="H2061" s="1131"/>
    </row>
    <row r="2062" spans="1:8" x14ac:dyDescent="0.25">
      <c r="A2062" s="112">
        <v>44456</v>
      </c>
      <c r="B2062" s="10" t="s">
        <v>6407</v>
      </c>
      <c r="C2062" s="11" t="s">
        <v>437</v>
      </c>
      <c r="F2062" s="9">
        <v>87105</v>
      </c>
      <c r="G2062" s="6">
        <f t="shared" si="38"/>
        <v>-87105</v>
      </c>
      <c r="H2062" s="1131"/>
    </row>
    <row r="2063" spans="1:8" x14ac:dyDescent="0.25">
      <c r="A2063" s="112">
        <v>44456</v>
      </c>
      <c r="B2063" s="10" t="s">
        <v>1399</v>
      </c>
      <c r="C2063" s="11" t="s">
        <v>437</v>
      </c>
      <c r="F2063" s="9">
        <v>3014</v>
      </c>
      <c r="G2063" s="6">
        <f t="shared" si="38"/>
        <v>-3014</v>
      </c>
      <c r="H2063" s="113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7" t="s">
        <v>7312</v>
      </c>
    </row>
    <row r="2077" spans="1:8" x14ac:dyDescent="0.25">
      <c r="A2077" s="112">
        <v>44460</v>
      </c>
      <c r="B2077" s="10" t="s">
        <v>6953</v>
      </c>
      <c r="C2077" s="11" t="s">
        <v>166</v>
      </c>
      <c r="F2077" s="9">
        <v>123680</v>
      </c>
      <c r="G2077" s="6">
        <f t="shared" si="38"/>
        <v>-123680</v>
      </c>
      <c r="H2077" s="1207"/>
    </row>
    <row r="2078" spans="1:8" x14ac:dyDescent="0.25">
      <c r="A2078" s="112">
        <v>44460</v>
      </c>
      <c r="B2078" s="10" t="s">
        <v>6407</v>
      </c>
      <c r="C2078" s="11" t="s">
        <v>166</v>
      </c>
      <c r="F2078" s="9">
        <v>13600</v>
      </c>
      <c r="G2078" s="6">
        <f t="shared" si="38"/>
        <v>-13600</v>
      </c>
      <c r="H2078" s="1207"/>
    </row>
    <row r="2079" spans="1:8" x14ac:dyDescent="0.25">
      <c r="A2079" s="112">
        <v>44460</v>
      </c>
      <c r="B2079" s="10" t="s">
        <v>6509</v>
      </c>
      <c r="C2079" s="11" t="s">
        <v>166</v>
      </c>
      <c r="F2079" s="9">
        <v>6755</v>
      </c>
      <c r="G2079" s="6">
        <f t="shared" si="38"/>
        <v>-6755</v>
      </c>
      <c r="H2079" s="1207"/>
    </row>
    <row r="2080" spans="1:8" x14ac:dyDescent="0.25">
      <c r="A2080" s="112">
        <v>44460</v>
      </c>
      <c r="B2080" s="10" t="s">
        <v>1399</v>
      </c>
      <c r="C2080" s="11" t="s">
        <v>166</v>
      </c>
      <c r="F2080" s="9">
        <v>9165</v>
      </c>
      <c r="G2080" s="6">
        <f t="shared" si="38"/>
        <v>-9165</v>
      </c>
      <c r="H2080" s="120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6" t="s">
        <v>7361</v>
      </c>
    </row>
    <row r="2085" spans="1:8" x14ac:dyDescent="0.25">
      <c r="A2085" s="112">
        <v>44476</v>
      </c>
      <c r="B2085" s="10" t="s">
        <v>6407</v>
      </c>
      <c r="C2085" s="660" t="s">
        <v>7240</v>
      </c>
      <c r="E2085" s="661"/>
      <c r="F2085" s="664">
        <v>2404</v>
      </c>
      <c r="G2085" s="663">
        <f t="shared" si="38"/>
        <v>-2404</v>
      </c>
      <c r="H2085" s="1206"/>
    </row>
    <row r="2086" spans="1:8" x14ac:dyDescent="0.25">
      <c r="A2086" s="112">
        <v>44476</v>
      </c>
      <c r="B2086" s="10" t="s">
        <v>6953</v>
      </c>
      <c r="C2086" s="660" t="s">
        <v>7240</v>
      </c>
      <c r="E2086" s="661"/>
      <c r="F2086" s="664">
        <v>14457</v>
      </c>
      <c r="G2086" s="663">
        <f t="shared" si="38"/>
        <v>-14457</v>
      </c>
      <c r="H2086" s="1206"/>
    </row>
    <row r="2087" spans="1:8" x14ac:dyDescent="0.25">
      <c r="A2087" s="112">
        <v>44476</v>
      </c>
      <c r="B2087" s="10" t="s">
        <v>7110</v>
      </c>
      <c r="C2087" s="660" t="s">
        <v>7240</v>
      </c>
      <c r="E2087" s="661"/>
      <c r="F2087" s="664">
        <v>3866</v>
      </c>
      <c r="G2087" s="663">
        <f t="shared" si="38"/>
        <v>-3866</v>
      </c>
      <c r="H2087" s="120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79" t="s">
        <v>7428</v>
      </c>
    </row>
    <row r="2105" spans="1:8" x14ac:dyDescent="0.25">
      <c r="A2105" s="112">
        <v>44495</v>
      </c>
      <c r="B2105" s="21" t="s">
        <v>5810</v>
      </c>
      <c r="C2105" s="745" t="s">
        <v>437</v>
      </c>
      <c r="D2105" s="765"/>
      <c r="E2105" s="746"/>
      <c r="F2105" s="747">
        <v>63000</v>
      </c>
      <c r="G2105" s="14">
        <f t="shared" si="39"/>
        <v>-63000</v>
      </c>
      <c r="H2105" s="1179"/>
    </row>
    <row r="2106" spans="1:8" x14ac:dyDescent="0.25">
      <c r="A2106" s="112">
        <v>44495</v>
      </c>
      <c r="B2106" s="21" t="s">
        <v>3945</v>
      </c>
      <c r="C2106" s="745" t="s">
        <v>437</v>
      </c>
      <c r="D2106" s="765"/>
      <c r="E2106" s="746"/>
      <c r="F2106" s="747">
        <v>161200</v>
      </c>
      <c r="G2106" s="14">
        <f t="shared" si="39"/>
        <v>-161200</v>
      </c>
      <c r="H2106" s="1179"/>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80" t="s">
        <v>7466</v>
      </c>
    </row>
    <row r="2124" spans="1:8" x14ac:dyDescent="0.25">
      <c r="A2124" s="112">
        <v>44510</v>
      </c>
      <c r="B2124" s="21" t="s">
        <v>7110</v>
      </c>
      <c r="C2124" s="13" t="s">
        <v>7465</v>
      </c>
      <c r="D2124" s="765"/>
      <c r="E2124" s="22"/>
      <c r="F2124" s="19">
        <v>30988</v>
      </c>
      <c r="G2124" s="14">
        <f t="shared" si="39"/>
        <v>-30988</v>
      </c>
      <c r="H2124" s="1180"/>
    </row>
    <row r="2125" spans="1:8" x14ac:dyDescent="0.25">
      <c r="A2125" s="112">
        <v>44510</v>
      </c>
      <c r="B2125" s="21" t="s">
        <v>6953</v>
      </c>
      <c r="C2125" s="13" t="s">
        <v>7465</v>
      </c>
      <c r="D2125" s="765"/>
      <c r="E2125" s="22"/>
      <c r="F2125" s="19">
        <v>21999</v>
      </c>
      <c r="G2125" s="14">
        <f t="shared" si="39"/>
        <v>-21999</v>
      </c>
      <c r="H2125" s="1180"/>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79" t="s">
        <v>7521</v>
      </c>
    </row>
    <row r="2140" spans="1:8" x14ac:dyDescent="0.25">
      <c r="A2140" s="112">
        <v>44529</v>
      </c>
      <c r="B2140" s="21" t="s">
        <v>6506</v>
      </c>
      <c r="C2140" s="13" t="s">
        <v>180</v>
      </c>
      <c r="D2140" s="765"/>
      <c r="E2140" s="22"/>
      <c r="F2140" s="19">
        <v>27915</v>
      </c>
      <c r="G2140" s="14">
        <f t="shared" si="39"/>
        <v>-27915</v>
      </c>
      <c r="H2140" s="1179"/>
    </row>
    <row r="2141" spans="1:8" x14ac:dyDescent="0.25">
      <c r="A2141" s="112">
        <v>44532</v>
      </c>
      <c r="B2141" s="21" t="s">
        <v>6407</v>
      </c>
      <c r="C2141" s="13" t="s">
        <v>1802</v>
      </c>
      <c r="D2141" s="765"/>
      <c r="E2141" s="22"/>
      <c r="F2141" s="19">
        <v>110233</v>
      </c>
      <c r="G2141" s="14">
        <f t="shared" si="39"/>
        <v>-110233</v>
      </c>
      <c r="H2141" s="1205" t="s">
        <v>7535</v>
      </c>
    </row>
    <row r="2142" spans="1:8" x14ac:dyDescent="0.25">
      <c r="A2142" s="112">
        <v>44532</v>
      </c>
      <c r="B2142" s="21" t="s">
        <v>6506</v>
      </c>
      <c r="C2142" s="13" t="s">
        <v>1802</v>
      </c>
      <c r="D2142" s="765"/>
      <c r="E2142" s="22"/>
      <c r="F2142" s="19">
        <v>230169</v>
      </c>
      <c r="G2142" s="14">
        <f t="shared" si="39"/>
        <v>-230169</v>
      </c>
      <c r="H2142" s="1205"/>
    </row>
    <row r="2143" spans="1:8" x14ac:dyDescent="0.25">
      <c r="A2143" s="112">
        <v>44532</v>
      </c>
      <c r="B2143" s="21" t="s">
        <v>6509</v>
      </c>
      <c r="C2143" s="13" t="s">
        <v>1802</v>
      </c>
      <c r="D2143" s="765"/>
      <c r="E2143" s="22"/>
      <c r="F2143" s="19">
        <v>136986</v>
      </c>
      <c r="G2143" s="14">
        <f t="shared" si="39"/>
        <v>-136986</v>
      </c>
      <c r="H2143" s="1205"/>
    </row>
    <row r="2144" spans="1:8" x14ac:dyDescent="0.25">
      <c r="A2144" s="112">
        <v>44532</v>
      </c>
      <c r="B2144" s="21" t="s">
        <v>6718</v>
      </c>
      <c r="C2144" s="13" t="s">
        <v>1802</v>
      </c>
      <c r="D2144" s="765"/>
      <c r="E2144" s="22"/>
      <c r="F2144" s="19">
        <v>10112</v>
      </c>
      <c r="G2144" s="14">
        <f t="shared" si="39"/>
        <v>-10112</v>
      </c>
      <c r="H2144" s="1205"/>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04" t="s">
        <v>7554</v>
      </c>
    </row>
    <row r="2148" spans="1:8" x14ac:dyDescent="0.25">
      <c r="A2148" s="112">
        <v>44538</v>
      </c>
      <c r="B2148" s="21" t="s">
        <v>2651</v>
      </c>
      <c r="C2148" s="13" t="s">
        <v>5680</v>
      </c>
      <c r="D2148" s="765"/>
      <c r="E2148" s="22"/>
      <c r="F2148" s="19">
        <v>72300</v>
      </c>
      <c r="G2148" s="14">
        <f t="shared" ref="G2148:G2190" si="40">E2148-F2148</f>
        <v>-72300</v>
      </c>
      <c r="H2148" s="1204"/>
    </row>
    <row r="2149" spans="1:8" x14ac:dyDescent="0.25">
      <c r="A2149" s="112">
        <v>44538</v>
      </c>
      <c r="B2149" s="21" t="s">
        <v>6407</v>
      </c>
      <c r="C2149" s="13" t="s">
        <v>5680</v>
      </c>
      <c r="D2149" s="765"/>
      <c r="E2149" s="22"/>
      <c r="F2149" s="19">
        <v>9500</v>
      </c>
      <c r="G2149" s="14">
        <f t="shared" si="40"/>
        <v>-9500</v>
      </c>
      <c r="H2149" s="1204"/>
    </row>
    <row r="2150" spans="1:8" x14ac:dyDescent="0.25">
      <c r="A2150" s="112">
        <v>44538</v>
      </c>
      <c r="B2150" s="21" t="s">
        <v>6509</v>
      </c>
      <c r="C2150" s="13" t="s">
        <v>5680</v>
      </c>
      <c r="D2150" s="765"/>
      <c r="E2150" s="22"/>
      <c r="F2150" s="19">
        <v>59100</v>
      </c>
      <c r="G2150" s="14">
        <f t="shared" si="40"/>
        <v>-59100</v>
      </c>
      <c r="H2150" s="1204"/>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75" t="s">
        <v>7674</v>
      </c>
    </row>
    <row r="2175" spans="1:8" x14ac:dyDescent="0.25">
      <c r="A2175" s="112">
        <v>44610</v>
      </c>
      <c r="B2175" s="21" t="s">
        <v>6953</v>
      </c>
      <c r="C2175" s="745" t="s">
        <v>7465</v>
      </c>
      <c r="D2175" s="765"/>
      <c r="E2175" s="746"/>
      <c r="F2175" s="747">
        <f>50900+252</f>
        <v>51152</v>
      </c>
      <c r="G2175" s="746">
        <f t="shared" si="40"/>
        <v>-51152</v>
      </c>
      <c r="H2175" s="1175"/>
    </row>
    <row r="2176" spans="1:8" x14ac:dyDescent="0.25">
      <c r="A2176" s="112">
        <v>44610</v>
      </c>
      <c r="B2176" s="21" t="s">
        <v>7065</v>
      </c>
      <c r="C2176" s="745" t="s">
        <v>7465</v>
      </c>
      <c r="D2176" s="765"/>
      <c r="E2176" s="746"/>
      <c r="F2176" s="747">
        <v>30105</v>
      </c>
      <c r="G2176" s="746">
        <f t="shared" si="40"/>
        <v>-30105</v>
      </c>
      <c r="H2176" s="1175"/>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80" t="s">
        <v>7894</v>
      </c>
    </row>
    <row r="2189" spans="1:8" x14ac:dyDescent="0.25">
      <c r="A2189" s="112">
        <v>44627</v>
      </c>
      <c r="B2189" s="21" t="s">
        <v>37</v>
      </c>
      <c r="C2189" s="13" t="s">
        <v>7240</v>
      </c>
      <c r="D2189" s="765"/>
      <c r="E2189" s="22"/>
      <c r="F2189" s="19">
        <v>66360</v>
      </c>
      <c r="G2189" s="14">
        <f t="shared" si="40"/>
        <v>-66360</v>
      </c>
      <c r="H2189" s="1180"/>
    </row>
    <row r="2190" spans="1:8" x14ac:dyDescent="0.25">
      <c r="A2190" s="112">
        <v>44627</v>
      </c>
      <c r="B2190" s="21" t="s">
        <v>1399</v>
      </c>
      <c r="C2190" s="745" t="s">
        <v>166</v>
      </c>
      <c r="D2190" s="765"/>
      <c r="E2190" s="746"/>
      <c r="F2190" s="746">
        <v>204468</v>
      </c>
      <c r="G2190" s="746">
        <f t="shared" si="40"/>
        <v>-204468</v>
      </c>
      <c r="H2190" s="1181" t="s">
        <v>7784</v>
      </c>
    </row>
    <row r="2191" spans="1:8" x14ac:dyDescent="0.25">
      <c r="A2191" s="112">
        <v>44627</v>
      </c>
      <c r="B2191" s="21" t="s">
        <v>7065</v>
      </c>
      <c r="C2191" s="745" t="s">
        <v>166</v>
      </c>
      <c r="D2191" s="765"/>
      <c r="E2191" s="746"/>
      <c r="F2191" s="746">
        <v>12627</v>
      </c>
      <c r="G2191" s="746">
        <f t="shared" ref="G2191:G2311" si="41">E2191-F2191</f>
        <v>-12627</v>
      </c>
      <c r="H2191" s="1181"/>
    </row>
    <row r="2192" spans="1:8" x14ac:dyDescent="0.25">
      <c r="A2192" s="112">
        <v>44627</v>
      </c>
      <c r="B2192" s="21" t="s">
        <v>7655</v>
      </c>
      <c r="C2192" s="745" t="s">
        <v>166</v>
      </c>
      <c r="D2192" s="765"/>
      <c r="E2192" s="746"/>
      <c r="F2192" s="746">
        <v>80000</v>
      </c>
      <c r="G2192" s="746">
        <f t="shared" si="41"/>
        <v>-80000</v>
      </c>
      <c r="H2192" s="1181"/>
    </row>
    <row r="2193" spans="1:8" x14ac:dyDescent="0.25">
      <c r="A2193" s="112">
        <v>44627</v>
      </c>
      <c r="B2193" s="21" t="s">
        <v>6953</v>
      </c>
      <c r="C2193" s="745" t="s">
        <v>166</v>
      </c>
      <c r="D2193" s="765"/>
      <c r="E2193" s="746"/>
      <c r="F2193" s="746">
        <v>2905</v>
      </c>
      <c r="G2193" s="746">
        <f t="shared" si="41"/>
        <v>-2905</v>
      </c>
      <c r="H2193" s="1181"/>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82" t="s">
        <v>7703</v>
      </c>
    </row>
    <row r="2201" spans="1:8" x14ac:dyDescent="0.25">
      <c r="A2201" s="112">
        <v>44627</v>
      </c>
      <c r="B2201" s="21" t="s">
        <v>7655</v>
      </c>
      <c r="C2201" s="13" t="s">
        <v>7240</v>
      </c>
      <c r="D2201" s="777" t="s">
        <v>7702</v>
      </c>
      <c r="E2201" s="22">
        <v>19800</v>
      </c>
      <c r="F2201" s="19"/>
      <c r="G2201" s="20">
        <f t="shared" si="41"/>
        <v>19800</v>
      </c>
      <c r="H2201" s="1182"/>
    </row>
    <row r="2202" spans="1:8" x14ac:dyDescent="0.25">
      <c r="A2202" s="112">
        <v>44637</v>
      </c>
      <c r="B2202" s="21" t="s">
        <v>7655</v>
      </c>
      <c r="C2202" s="13" t="s">
        <v>5680</v>
      </c>
      <c r="D2202" s="765">
        <v>35</v>
      </c>
      <c r="E2202" s="22">
        <f>11300+8400+7000+11700+2500</f>
        <v>40900</v>
      </c>
      <c r="F2202" s="19"/>
      <c r="G2202" s="20">
        <f t="shared" si="41"/>
        <v>40900</v>
      </c>
      <c r="H2202" s="1182" t="s">
        <v>7703</v>
      </c>
    </row>
    <row r="2203" spans="1:8" x14ac:dyDescent="0.25">
      <c r="A2203" s="112">
        <v>44637</v>
      </c>
      <c r="B2203" s="21" t="s">
        <v>7553</v>
      </c>
      <c r="C2203" s="13" t="s">
        <v>5680</v>
      </c>
      <c r="D2203" s="765">
        <v>35</v>
      </c>
      <c r="E2203" s="22">
        <f>7600+3500</f>
        <v>11100</v>
      </c>
      <c r="F2203" s="19"/>
      <c r="G2203" s="20">
        <f t="shared" si="41"/>
        <v>11100</v>
      </c>
      <c r="H2203" s="1182"/>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76" t="s">
        <v>7746</v>
      </c>
    </row>
    <row r="2219" spans="1:8" x14ac:dyDescent="0.25">
      <c r="A2219" s="112">
        <v>44645</v>
      </c>
      <c r="B2219" s="21" t="s">
        <v>6503</v>
      </c>
      <c r="C2219" s="13" t="s">
        <v>166</v>
      </c>
      <c r="D2219" s="765"/>
      <c r="E2219" s="22"/>
      <c r="F2219" s="19">
        <v>51585</v>
      </c>
      <c r="G2219" s="14">
        <f t="shared" si="41"/>
        <v>-51585</v>
      </c>
      <c r="H2219" s="1176"/>
    </row>
    <row r="2220" spans="1:8" x14ac:dyDescent="0.25">
      <c r="A2220" s="112">
        <v>44645</v>
      </c>
      <c r="B2220" s="21" t="s">
        <v>7655</v>
      </c>
      <c r="C2220" s="13" t="s">
        <v>166</v>
      </c>
      <c r="D2220" s="765"/>
      <c r="E2220" s="22"/>
      <c r="F2220" s="19">
        <v>122000</v>
      </c>
      <c r="G2220" s="14">
        <f t="shared" si="41"/>
        <v>-122000</v>
      </c>
      <c r="H2220" s="1176"/>
    </row>
    <row r="2221" spans="1:8" x14ac:dyDescent="0.25">
      <c r="A2221" s="112">
        <v>44645</v>
      </c>
      <c r="B2221" s="21" t="s">
        <v>37</v>
      </c>
      <c r="C2221" s="13" t="s">
        <v>166</v>
      </c>
      <c r="D2221" s="765"/>
      <c r="E2221" s="22"/>
      <c r="F2221" s="19">
        <v>8000</v>
      </c>
      <c r="G2221" s="14">
        <f t="shared" si="41"/>
        <v>-8000</v>
      </c>
      <c r="H2221" s="1176"/>
    </row>
    <row r="2222" spans="1:8" x14ac:dyDescent="0.25">
      <c r="A2222" s="112">
        <v>44645</v>
      </c>
      <c r="B2222" s="21" t="s">
        <v>7553</v>
      </c>
      <c r="C2222" s="13" t="s">
        <v>166</v>
      </c>
      <c r="D2222" s="765"/>
      <c r="E2222" s="22"/>
      <c r="F2222" s="19">
        <v>7857</v>
      </c>
      <c r="G2222" s="14">
        <f t="shared" si="41"/>
        <v>-7857</v>
      </c>
      <c r="H2222" s="1176"/>
    </row>
    <row r="2223" spans="1:8" x14ac:dyDescent="0.25">
      <c r="A2223" s="112">
        <v>44651</v>
      </c>
      <c r="B2223" s="21" t="s">
        <v>7065</v>
      </c>
      <c r="C2223" s="13" t="s">
        <v>164</v>
      </c>
      <c r="D2223" s="765"/>
      <c r="E2223" s="22"/>
      <c r="F2223" s="19">
        <v>100000</v>
      </c>
      <c r="G2223" s="14">
        <f t="shared" si="41"/>
        <v>-100000</v>
      </c>
      <c r="H2223" s="1181" t="s">
        <v>7748</v>
      </c>
    </row>
    <row r="2224" spans="1:8" x14ac:dyDescent="0.25">
      <c r="A2224" s="112">
        <v>44651</v>
      </c>
      <c r="B2224" s="21" t="s">
        <v>7110</v>
      </c>
      <c r="C2224" s="13" t="s">
        <v>164</v>
      </c>
      <c r="D2224" s="765"/>
      <c r="E2224" s="22"/>
      <c r="F2224" s="19">
        <v>100000</v>
      </c>
      <c r="G2224" s="14">
        <f t="shared" si="41"/>
        <v>-100000</v>
      </c>
      <c r="H2224" s="1181"/>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84" t="s">
        <v>7752</v>
      </c>
    </row>
    <row r="2231" spans="1:8" x14ac:dyDescent="0.25">
      <c r="A2231" s="112">
        <v>44651</v>
      </c>
      <c r="B2231" s="21" t="s">
        <v>7730</v>
      </c>
      <c r="C2231" s="13" t="s">
        <v>180</v>
      </c>
      <c r="D2231" s="765" t="s">
        <v>3917</v>
      </c>
      <c r="E2231" s="22"/>
      <c r="F2231" s="19">
        <v>710</v>
      </c>
      <c r="G2231" s="14">
        <f t="shared" si="41"/>
        <v>-710</v>
      </c>
      <c r="H2231" s="1184"/>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84" t="s">
        <v>7811</v>
      </c>
    </row>
    <row r="2242" spans="1:8" x14ac:dyDescent="0.25">
      <c r="A2242" s="112">
        <v>44669</v>
      </c>
      <c r="B2242" s="21" t="s">
        <v>7655</v>
      </c>
      <c r="C2242" s="13" t="s">
        <v>7240</v>
      </c>
      <c r="D2242" s="765"/>
      <c r="E2242" s="22"/>
      <c r="F2242" s="19">
        <v>14740</v>
      </c>
      <c r="G2242" s="14">
        <f t="shared" si="41"/>
        <v>-14740</v>
      </c>
      <c r="H2242" s="1184"/>
    </row>
    <row r="2243" spans="1:8" x14ac:dyDescent="0.25">
      <c r="A2243" s="112">
        <v>44669</v>
      </c>
      <c r="B2243" s="21" t="s">
        <v>7110</v>
      </c>
      <c r="C2243" s="13" t="s">
        <v>7240</v>
      </c>
      <c r="D2243" s="765"/>
      <c r="E2243" s="22"/>
      <c r="F2243" s="19">
        <v>12000</v>
      </c>
      <c r="G2243" s="14">
        <f t="shared" si="41"/>
        <v>-12000</v>
      </c>
      <c r="H2243" s="1184"/>
    </row>
    <row r="2244" spans="1:8" x14ac:dyDescent="0.25">
      <c r="A2244" s="112">
        <v>44669</v>
      </c>
      <c r="B2244" s="21" t="s">
        <v>7553</v>
      </c>
      <c r="C2244" s="13" t="s">
        <v>7240</v>
      </c>
      <c r="D2244" s="765"/>
      <c r="E2244" s="22"/>
      <c r="F2244" s="19">
        <v>14230</v>
      </c>
      <c r="G2244" s="14">
        <f t="shared" si="41"/>
        <v>-14230</v>
      </c>
      <c r="H2244" s="1184"/>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08" t="s">
        <v>7843</v>
      </c>
    </row>
    <row r="2250" spans="1:8" x14ac:dyDescent="0.25">
      <c r="A2250" s="715">
        <v>44676</v>
      </c>
      <c r="B2250" s="716" t="s">
        <v>3945</v>
      </c>
      <c r="C2250" s="717" t="s">
        <v>437</v>
      </c>
      <c r="D2250" s="765"/>
      <c r="E2250" s="718"/>
      <c r="F2250" s="719">
        <v>2600</v>
      </c>
      <c r="G2250" s="718">
        <f t="shared" si="41"/>
        <v>-2600</v>
      </c>
      <c r="H2250" s="1208"/>
    </row>
    <row r="2251" spans="1:8" x14ac:dyDescent="0.25">
      <c r="A2251" s="715">
        <v>44676</v>
      </c>
      <c r="B2251" s="716" t="s">
        <v>7110</v>
      </c>
      <c r="C2251" s="717" t="s">
        <v>437</v>
      </c>
      <c r="D2251" s="765"/>
      <c r="E2251" s="718"/>
      <c r="F2251" s="719">
        <v>24420</v>
      </c>
      <c r="G2251" s="718">
        <f t="shared" si="41"/>
        <v>-24420</v>
      </c>
      <c r="H2251" s="1208"/>
    </row>
    <row r="2252" spans="1:8" x14ac:dyDescent="0.25">
      <c r="A2252" s="715">
        <v>44676</v>
      </c>
      <c r="B2252" s="716" t="s">
        <v>1399</v>
      </c>
      <c r="C2252" s="717" t="s">
        <v>437</v>
      </c>
      <c r="D2252" s="765"/>
      <c r="E2252" s="718"/>
      <c r="F2252" s="719">
        <v>57690</v>
      </c>
      <c r="G2252" s="718">
        <f t="shared" si="41"/>
        <v>-57690</v>
      </c>
      <c r="H2252" s="1208"/>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09" t="s">
        <v>7990</v>
      </c>
    </row>
    <row r="2267" spans="1:8" x14ac:dyDescent="0.25">
      <c r="A2267" s="112">
        <v>44695</v>
      </c>
      <c r="B2267" s="21" t="s">
        <v>7110</v>
      </c>
      <c r="C2267" s="13" t="s">
        <v>166</v>
      </c>
      <c r="D2267" s="765"/>
      <c r="E2267" s="22"/>
      <c r="F2267" s="19">
        <v>3880</v>
      </c>
      <c r="G2267" s="14">
        <f t="shared" si="41"/>
        <v>-3880</v>
      </c>
      <c r="H2267" s="1209"/>
    </row>
    <row r="2268" spans="1:8" x14ac:dyDescent="0.25">
      <c r="A2268" s="112">
        <v>44695</v>
      </c>
      <c r="B2268" s="21" t="s">
        <v>7553</v>
      </c>
      <c r="C2268" s="13" t="s">
        <v>166</v>
      </c>
      <c r="D2268" s="765"/>
      <c r="E2268" s="22"/>
      <c r="F2268" s="19">
        <v>25143</v>
      </c>
      <c r="G2268" s="14">
        <f t="shared" si="41"/>
        <v>-25143</v>
      </c>
      <c r="H2268" s="1209"/>
    </row>
    <row r="2269" spans="1:8" x14ac:dyDescent="0.25">
      <c r="A2269" s="112">
        <v>44695</v>
      </c>
      <c r="B2269" s="21" t="s">
        <v>1399</v>
      </c>
      <c r="C2269" s="13" t="s">
        <v>166</v>
      </c>
      <c r="D2269" s="765"/>
      <c r="E2269" s="22"/>
      <c r="F2269" s="19">
        <v>116480</v>
      </c>
      <c r="G2269" s="14">
        <f t="shared" si="41"/>
        <v>-116480</v>
      </c>
      <c r="H2269" s="1209"/>
    </row>
    <row r="2270" spans="1:8" x14ac:dyDescent="0.25">
      <c r="A2270" s="112">
        <v>44695</v>
      </c>
      <c r="B2270" s="21" t="s">
        <v>7744</v>
      </c>
      <c r="C2270" s="13" t="s">
        <v>166</v>
      </c>
      <c r="D2270" s="765"/>
      <c r="E2270" s="22"/>
      <c r="F2270" s="19">
        <v>24000</v>
      </c>
      <c r="G2270" s="14">
        <f t="shared" si="41"/>
        <v>-24000</v>
      </c>
      <c r="H2270" s="1209"/>
    </row>
    <row r="2271" spans="1:8" x14ac:dyDescent="0.25">
      <c r="A2271" s="112">
        <v>44695</v>
      </c>
      <c r="B2271" s="21" t="s">
        <v>7815</v>
      </c>
      <c r="C2271" s="13" t="s">
        <v>166</v>
      </c>
      <c r="D2271" s="765"/>
      <c r="E2271" s="22"/>
      <c r="F2271" s="19">
        <v>15820</v>
      </c>
      <c r="G2271" s="14">
        <f t="shared" si="41"/>
        <v>-15820</v>
      </c>
      <c r="H2271" s="1209"/>
    </row>
    <row r="2272" spans="1:8" x14ac:dyDescent="0.25">
      <c r="A2272" s="112">
        <v>44695</v>
      </c>
      <c r="B2272" s="21" t="s">
        <v>3944</v>
      </c>
      <c r="C2272" s="13" t="s">
        <v>166</v>
      </c>
      <c r="D2272" s="765"/>
      <c r="E2272" s="22"/>
      <c r="F2272" s="19">
        <v>5200</v>
      </c>
      <c r="G2272" s="14">
        <f t="shared" si="41"/>
        <v>-5200</v>
      </c>
      <c r="H2272" s="1209"/>
    </row>
    <row r="2273" spans="1:8" x14ac:dyDescent="0.25">
      <c r="A2273" s="112">
        <v>44695</v>
      </c>
      <c r="B2273" s="21" t="s">
        <v>1399</v>
      </c>
      <c r="C2273" s="13" t="s">
        <v>166</v>
      </c>
      <c r="D2273" s="765"/>
      <c r="E2273" s="22"/>
      <c r="F2273" s="19">
        <v>84852</v>
      </c>
      <c r="G2273" s="14">
        <f t="shared" si="41"/>
        <v>-84852</v>
      </c>
      <c r="H2273" s="1209"/>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78" t="s">
        <v>7898</v>
      </c>
    </row>
    <row r="2278" spans="1:8" x14ac:dyDescent="0.25">
      <c r="A2278" s="112">
        <v>44709</v>
      </c>
      <c r="B2278" s="21" t="s">
        <v>7065</v>
      </c>
      <c r="C2278" s="13" t="s">
        <v>164</v>
      </c>
      <c r="D2278" s="765"/>
      <c r="E2278" s="22"/>
      <c r="F2278" s="19">
        <v>49174</v>
      </c>
      <c r="G2278" s="14">
        <f t="shared" si="41"/>
        <v>-49174</v>
      </c>
      <c r="H2278" s="1178"/>
    </row>
    <row r="2279" spans="1:8" x14ac:dyDescent="0.25">
      <c r="A2279" s="112">
        <v>44709</v>
      </c>
      <c r="B2279" s="21" t="s">
        <v>7110</v>
      </c>
      <c r="C2279" s="13" t="s">
        <v>164</v>
      </c>
      <c r="D2279" s="765"/>
      <c r="E2279" s="22"/>
      <c r="F2279" s="19">
        <v>36997</v>
      </c>
      <c r="G2279" s="14">
        <f t="shared" si="41"/>
        <v>-36997</v>
      </c>
      <c r="H2279" s="1178"/>
    </row>
    <row r="2280" spans="1:8" x14ac:dyDescent="0.25">
      <c r="A2280" s="112">
        <v>44709</v>
      </c>
      <c r="B2280" s="21" t="s">
        <v>7553</v>
      </c>
      <c r="C2280" s="13" t="s">
        <v>164</v>
      </c>
      <c r="D2280" s="765"/>
      <c r="E2280" s="22"/>
      <c r="F2280" s="19">
        <v>4174</v>
      </c>
      <c r="G2280" s="14">
        <f t="shared" si="41"/>
        <v>-4174</v>
      </c>
      <c r="H2280" s="1178"/>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78" t="s">
        <v>7899</v>
      </c>
    </row>
    <row r="2284" spans="1:8" x14ac:dyDescent="0.25">
      <c r="A2284" s="112">
        <v>44711</v>
      </c>
      <c r="B2284" s="21" t="s">
        <v>7553</v>
      </c>
      <c r="C2284" s="13" t="s">
        <v>5680</v>
      </c>
      <c r="D2284" s="765"/>
      <c r="E2284" s="22"/>
      <c r="F2284" s="19">
        <v>5700</v>
      </c>
      <c r="G2284" s="14">
        <f t="shared" si="41"/>
        <v>-5700</v>
      </c>
      <c r="H2284" s="1178"/>
    </row>
    <row r="2285" spans="1:8" x14ac:dyDescent="0.25">
      <c r="A2285" s="112">
        <v>44711</v>
      </c>
      <c r="B2285" s="21" t="s">
        <v>7744</v>
      </c>
      <c r="C2285" s="13" t="s">
        <v>5680</v>
      </c>
      <c r="D2285" s="765"/>
      <c r="E2285" s="22"/>
      <c r="F2285" s="19">
        <v>74800</v>
      </c>
      <c r="G2285" s="14">
        <f t="shared" si="41"/>
        <v>-74800</v>
      </c>
      <c r="H2285" s="1178"/>
    </row>
    <row r="2286" spans="1:8" x14ac:dyDescent="0.25">
      <c r="A2286" s="112">
        <v>44711</v>
      </c>
      <c r="B2286" s="21" t="s">
        <v>7553</v>
      </c>
      <c r="C2286" s="13" t="s">
        <v>7240</v>
      </c>
      <c r="D2286" s="765"/>
      <c r="E2286" s="22"/>
      <c r="F2286" s="19">
        <v>50320</v>
      </c>
      <c r="G2286" s="14">
        <f t="shared" si="41"/>
        <v>-50320</v>
      </c>
      <c r="H2286" s="1178" t="s">
        <v>7900</v>
      </c>
    </row>
    <row r="2287" spans="1:8" x14ac:dyDescent="0.25">
      <c r="A2287" s="112">
        <v>44711</v>
      </c>
      <c r="B2287" s="21" t="s">
        <v>7655</v>
      </c>
      <c r="C2287" s="13" t="s">
        <v>7240</v>
      </c>
      <c r="D2287" s="765"/>
      <c r="E2287" s="22"/>
      <c r="F2287" s="19">
        <v>8180</v>
      </c>
      <c r="G2287" s="14">
        <f t="shared" si="41"/>
        <v>-8180</v>
      </c>
      <c r="H2287" s="1178"/>
    </row>
    <row r="2288" spans="1:8" x14ac:dyDescent="0.25">
      <c r="A2288" s="112">
        <v>44711</v>
      </c>
      <c r="B2288" s="21" t="s">
        <v>7815</v>
      </c>
      <c r="C2288" s="13" t="s">
        <v>7240</v>
      </c>
      <c r="D2288" s="765"/>
      <c r="E2288" s="22"/>
      <c r="F2288" s="19">
        <v>17000</v>
      </c>
      <c r="G2288" s="14">
        <f t="shared" si="41"/>
        <v>-17000</v>
      </c>
      <c r="H2288" s="1178"/>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78" t="s">
        <v>1156</v>
      </c>
    </row>
    <row r="2292" spans="1:8" x14ac:dyDescent="0.25">
      <c r="A2292" s="112">
        <v>44712</v>
      </c>
      <c r="B2292" s="21" t="s">
        <v>6407</v>
      </c>
      <c r="C2292" s="13" t="s">
        <v>3010</v>
      </c>
      <c r="D2292" s="765"/>
      <c r="E2292" s="22"/>
      <c r="F2292" s="19">
        <v>28567</v>
      </c>
      <c r="G2292" s="14">
        <f t="shared" si="41"/>
        <v>-28567</v>
      </c>
      <c r="H2292" s="1178"/>
    </row>
    <row r="2293" spans="1:8" x14ac:dyDescent="0.25">
      <c r="A2293" s="112">
        <v>44712</v>
      </c>
      <c r="B2293" s="21" t="s">
        <v>6509</v>
      </c>
      <c r="C2293" s="13" t="s">
        <v>3010</v>
      </c>
      <c r="D2293" s="765"/>
      <c r="E2293" s="22"/>
      <c r="F2293" s="19">
        <v>3053</v>
      </c>
      <c r="G2293" s="14">
        <f t="shared" si="41"/>
        <v>-3053</v>
      </c>
      <c r="H2293" s="1178"/>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83" t="s">
        <v>7993</v>
      </c>
    </row>
    <row r="2304" spans="1:8" x14ac:dyDescent="0.25">
      <c r="A2304" s="112">
        <v>44726</v>
      </c>
      <c r="B2304" s="21" t="s">
        <v>7919</v>
      </c>
      <c r="C2304" s="13" t="s">
        <v>166</v>
      </c>
      <c r="D2304" s="765"/>
      <c r="E2304" s="22"/>
      <c r="F2304" s="19">
        <v>132000</v>
      </c>
      <c r="G2304" s="14">
        <f t="shared" si="41"/>
        <v>-132000</v>
      </c>
      <c r="H2304" s="1183"/>
    </row>
    <row r="2305" spans="1:8" x14ac:dyDescent="0.25">
      <c r="A2305" s="112">
        <v>44726</v>
      </c>
      <c r="B2305" s="21" t="s">
        <v>7919</v>
      </c>
      <c r="C2305" s="13" t="s">
        <v>166</v>
      </c>
      <c r="D2305" s="765"/>
      <c r="E2305" s="22"/>
      <c r="F2305" s="19">
        <v>151650</v>
      </c>
      <c r="G2305" s="14">
        <f t="shared" si="41"/>
        <v>-151650</v>
      </c>
      <c r="H2305" s="1183"/>
    </row>
    <row r="2306" spans="1:8" x14ac:dyDescent="0.25">
      <c r="A2306" s="112">
        <v>44726</v>
      </c>
      <c r="B2306" s="21" t="s">
        <v>7919</v>
      </c>
      <c r="C2306" s="13" t="s">
        <v>166</v>
      </c>
      <c r="D2306" s="765"/>
      <c r="E2306" s="22"/>
      <c r="F2306" s="19">
        <f>500000-F2305-F2304-F2303</f>
        <v>60560</v>
      </c>
      <c r="G2306" s="14">
        <f t="shared" si="41"/>
        <v>-60560</v>
      </c>
      <c r="H2306" s="1183"/>
    </row>
    <row r="2307" spans="1:8" ht="15.75" customHeight="1" x14ac:dyDescent="0.25">
      <c r="A2307" s="112">
        <v>44726</v>
      </c>
      <c r="B2307" s="21" t="s">
        <v>2932</v>
      </c>
      <c r="C2307" s="13" t="s">
        <v>161</v>
      </c>
      <c r="D2307" s="765"/>
      <c r="E2307" s="22"/>
      <c r="F2307" s="19">
        <v>21337</v>
      </c>
      <c r="G2307" s="14">
        <f t="shared" si="41"/>
        <v>-21337</v>
      </c>
      <c r="H2307" s="1185" t="s">
        <v>7962</v>
      </c>
    </row>
    <row r="2308" spans="1:8" ht="15.75" customHeight="1" x14ac:dyDescent="0.25">
      <c r="A2308" s="112">
        <v>44726</v>
      </c>
      <c r="B2308" s="21" t="s">
        <v>7730</v>
      </c>
      <c r="C2308" s="13" t="s">
        <v>161</v>
      </c>
      <c r="D2308" s="765"/>
      <c r="E2308" s="22"/>
      <c r="F2308" s="19">
        <v>44651</v>
      </c>
      <c r="G2308" s="14">
        <f t="shared" si="41"/>
        <v>-44651</v>
      </c>
      <c r="H2308" s="1185"/>
    </row>
    <row r="2309" spans="1:8" ht="15.75" customHeight="1" x14ac:dyDescent="0.25">
      <c r="A2309" s="112">
        <v>44726</v>
      </c>
      <c r="B2309" s="21" t="s">
        <v>7744</v>
      </c>
      <c r="C2309" s="13" t="s">
        <v>161</v>
      </c>
      <c r="D2309" s="765"/>
      <c r="E2309" s="22"/>
      <c r="F2309" s="19">
        <v>33179</v>
      </c>
      <c r="G2309" s="14">
        <f t="shared" si="41"/>
        <v>-33179</v>
      </c>
      <c r="H2309" s="1185"/>
    </row>
    <row r="2310" spans="1:8" ht="16.5" customHeight="1" x14ac:dyDescent="0.25">
      <c r="A2310" s="112">
        <v>44726</v>
      </c>
      <c r="B2310" s="21" t="s">
        <v>7815</v>
      </c>
      <c r="C2310" s="13" t="s">
        <v>161</v>
      </c>
      <c r="D2310" s="765"/>
      <c r="E2310" s="22"/>
      <c r="F2310" s="19">
        <v>58530</v>
      </c>
      <c r="G2310" s="14">
        <f t="shared" si="41"/>
        <v>-58530</v>
      </c>
      <c r="H2310" s="1185"/>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77" t="s">
        <v>8538</v>
      </c>
    </row>
    <row r="2438" spans="1:8" x14ac:dyDescent="0.25">
      <c r="A2438" s="112">
        <v>44859</v>
      </c>
      <c r="B2438" s="21" t="s">
        <v>8075</v>
      </c>
      <c r="C2438" s="13" t="s">
        <v>166</v>
      </c>
      <c r="D2438" s="765"/>
      <c r="E2438" s="22"/>
      <c r="F2438" s="19">
        <v>31200</v>
      </c>
      <c r="G2438" s="14">
        <f t="shared" si="47"/>
        <v>-31200</v>
      </c>
      <c r="H2438" s="1177"/>
    </row>
    <row r="2439" spans="1:8" x14ac:dyDescent="0.25">
      <c r="A2439" s="112">
        <v>44859</v>
      </c>
      <c r="B2439" s="21" t="s">
        <v>8556</v>
      </c>
      <c r="C2439" s="13" t="s">
        <v>166</v>
      </c>
      <c r="D2439" s="765"/>
      <c r="E2439" s="22"/>
      <c r="F2439" s="19">
        <v>109718</v>
      </c>
      <c r="G2439" s="14">
        <f t="shared" si="47"/>
        <v>-109718</v>
      </c>
      <c r="H2439" s="1177"/>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79" t="s">
        <v>8551</v>
      </c>
    </row>
    <row r="2444" spans="1:8" x14ac:dyDescent="0.25">
      <c r="A2444" s="112">
        <v>44860</v>
      </c>
      <c r="B2444" s="21" t="s">
        <v>6503</v>
      </c>
      <c r="C2444" s="13" t="s">
        <v>2195</v>
      </c>
      <c r="D2444" s="765"/>
      <c r="E2444" s="22"/>
      <c r="F2444" s="19">
        <v>23920</v>
      </c>
      <c r="G2444" s="14">
        <f t="shared" si="47"/>
        <v>-23920</v>
      </c>
      <c r="H2444" s="1179"/>
    </row>
    <row r="2445" spans="1:8" x14ac:dyDescent="0.25">
      <c r="A2445" s="112">
        <v>44860</v>
      </c>
      <c r="B2445" s="21" t="s">
        <v>8556</v>
      </c>
      <c r="C2445" s="13" t="s">
        <v>2195</v>
      </c>
      <c r="D2445" s="765"/>
      <c r="E2445" s="22"/>
      <c r="F2445" s="19">
        <v>11080</v>
      </c>
      <c r="G2445" s="14">
        <f t="shared" si="47"/>
        <v>-11080</v>
      </c>
      <c r="H2445" s="1179"/>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80" t="s">
        <v>8624</v>
      </c>
    </row>
    <row r="2468" spans="1:8" x14ac:dyDescent="0.25">
      <c r="A2468" s="112">
        <v>44872</v>
      </c>
      <c r="B2468" s="21" t="s">
        <v>7815</v>
      </c>
      <c r="C2468" s="13" t="s">
        <v>162</v>
      </c>
      <c r="D2468" s="765"/>
      <c r="E2468" s="22"/>
      <c r="F2468" s="19">
        <v>35000</v>
      </c>
      <c r="G2468" s="14">
        <f t="shared" si="47"/>
        <v>-35000</v>
      </c>
      <c r="H2468" s="1180"/>
    </row>
    <row r="2469" spans="1:8" x14ac:dyDescent="0.25">
      <c r="A2469" s="112">
        <v>44872</v>
      </c>
      <c r="B2469" s="21" t="s">
        <v>7919</v>
      </c>
      <c r="C2469" s="13" t="s">
        <v>162</v>
      </c>
      <c r="D2469" s="765"/>
      <c r="E2469" s="22"/>
      <c r="F2469" s="19">
        <v>26000</v>
      </c>
      <c r="G2469" s="14">
        <f t="shared" si="47"/>
        <v>-26000</v>
      </c>
      <c r="H2469" s="1180"/>
    </row>
    <row r="2470" spans="1:8" x14ac:dyDescent="0.25">
      <c r="A2470" s="112">
        <v>44872</v>
      </c>
      <c r="B2470" s="21" t="s">
        <v>8075</v>
      </c>
      <c r="C2470" s="13" t="s">
        <v>162</v>
      </c>
      <c r="D2470" s="765"/>
      <c r="E2470" s="22"/>
      <c r="F2470" s="19">
        <v>32000</v>
      </c>
      <c r="G2470" s="14">
        <f t="shared" si="47"/>
        <v>-32000</v>
      </c>
      <c r="H2470" s="1180"/>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80" t="s">
        <v>8673</v>
      </c>
    </row>
    <row r="2486" spans="1:8" x14ac:dyDescent="0.25">
      <c r="A2486" s="112">
        <v>44882</v>
      </c>
      <c r="B2486" s="21" t="s">
        <v>8041</v>
      </c>
      <c r="C2486" s="13" t="s">
        <v>161</v>
      </c>
      <c r="D2486" s="765"/>
      <c r="E2486" s="22"/>
      <c r="F2486" s="19">
        <v>60000</v>
      </c>
      <c r="G2486" s="14">
        <f t="shared" si="48"/>
        <v>-60000</v>
      </c>
      <c r="H2486" s="1180"/>
    </row>
    <row r="2487" spans="1:8" x14ac:dyDescent="0.25">
      <c r="A2487" s="112">
        <v>44882</v>
      </c>
      <c r="B2487" s="21" t="s">
        <v>7815</v>
      </c>
      <c r="C2487" s="13" t="s">
        <v>161</v>
      </c>
      <c r="D2487" s="765"/>
      <c r="E2487" s="22"/>
      <c r="F2487" s="19">
        <v>95</v>
      </c>
      <c r="G2487" s="14">
        <f t="shared" si="48"/>
        <v>-95</v>
      </c>
      <c r="H2487" s="1180" t="s">
        <v>4976</v>
      </c>
    </row>
    <row r="2488" spans="1:8" x14ac:dyDescent="0.25">
      <c r="A2488" s="112">
        <v>44882</v>
      </c>
      <c r="B2488" s="21" t="s">
        <v>8041</v>
      </c>
      <c r="C2488" s="13" t="s">
        <v>161</v>
      </c>
      <c r="D2488" s="765"/>
      <c r="E2488" s="22"/>
      <c r="F2488" s="19">
        <v>383</v>
      </c>
      <c r="G2488" s="14">
        <f t="shared" si="48"/>
        <v>-383</v>
      </c>
      <c r="H2488" s="1180"/>
    </row>
    <row r="2489" spans="1:8" x14ac:dyDescent="0.25">
      <c r="A2489" s="112">
        <v>44882</v>
      </c>
      <c r="B2489" s="21" t="s">
        <v>7919</v>
      </c>
      <c r="C2489" s="13" t="s">
        <v>8391</v>
      </c>
      <c r="D2489" s="765"/>
      <c r="E2489" s="22"/>
      <c r="F2489" s="19">
        <v>100000</v>
      </c>
      <c r="G2489" s="14">
        <f t="shared" si="48"/>
        <v>-100000</v>
      </c>
      <c r="H2489" s="1210" t="s">
        <v>8632</v>
      </c>
    </row>
    <row r="2490" spans="1:8" x14ac:dyDescent="0.25">
      <c r="A2490" s="112">
        <v>44882</v>
      </c>
      <c r="B2490" s="21" t="s">
        <v>8041</v>
      </c>
      <c r="C2490" s="13" t="s">
        <v>8391</v>
      </c>
      <c r="D2490" s="765"/>
      <c r="E2490" s="22"/>
      <c r="F2490" s="19">
        <v>100000</v>
      </c>
      <c r="G2490" s="14">
        <f t="shared" si="48"/>
        <v>-100000</v>
      </c>
      <c r="H2490" s="1210"/>
    </row>
    <row r="2491" spans="1:8" x14ac:dyDescent="0.25">
      <c r="A2491" s="112">
        <v>44882</v>
      </c>
      <c r="B2491" s="21" t="s">
        <v>8556</v>
      </c>
      <c r="C2491" s="13" t="s">
        <v>8391</v>
      </c>
      <c r="D2491" s="765"/>
      <c r="E2491" s="22"/>
      <c r="F2491" s="19">
        <v>200000</v>
      </c>
      <c r="G2491" s="14">
        <f t="shared" si="48"/>
        <v>-200000</v>
      </c>
      <c r="H2491" s="1210"/>
    </row>
    <row r="2492" spans="1:8" x14ac:dyDescent="0.25">
      <c r="A2492" s="112">
        <v>44882</v>
      </c>
      <c r="B2492" s="21" t="s">
        <v>8529</v>
      </c>
      <c r="C2492" s="13" t="s">
        <v>8391</v>
      </c>
      <c r="D2492" s="765"/>
      <c r="E2492" s="22"/>
      <c r="F2492" s="19">
        <v>100000</v>
      </c>
      <c r="G2492" s="14">
        <f t="shared" si="48"/>
        <v>-100000</v>
      </c>
      <c r="H2492" s="1210"/>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78" t="s">
        <v>8718</v>
      </c>
    </row>
    <row r="2508" spans="1:8" x14ac:dyDescent="0.25">
      <c r="A2508" s="112">
        <v>44888</v>
      </c>
      <c r="B2508" s="21" t="s">
        <v>7951</v>
      </c>
      <c r="C2508" s="13" t="s">
        <v>180</v>
      </c>
      <c r="D2508" s="765"/>
      <c r="E2508" s="22"/>
      <c r="F2508" s="19">
        <v>28000</v>
      </c>
      <c r="G2508" s="14">
        <f t="shared" si="48"/>
        <v>-28000</v>
      </c>
      <c r="H2508" s="1178"/>
    </row>
    <row r="2509" spans="1:8" x14ac:dyDescent="0.25">
      <c r="A2509" s="112">
        <v>44888</v>
      </c>
      <c r="B2509" s="21" t="s">
        <v>8041</v>
      </c>
      <c r="C2509" s="13" t="s">
        <v>180</v>
      </c>
      <c r="D2509" s="765"/>
      <c r="E2509" s="22"/>
      <c r="F2509" s="19">
        <v>100000</v>
      </c>
      <c r="G2509" s="14">
        <f t="shared" si="48"/>
        <v>-100000</v>
      </c>
      <c r="H2509" s="1178"/>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76" t="s">
        <v>8632</v>
      </c>
    </row>
    <row r="2523" spans="1:8" x14ac:dyDescent="0.25">
      <c r="A2523" s="112">
        <v>44889</v>
      </c>
      <c r="B2523" s="21" t="s">
        <v>8041</v>
      </c>
      <c r="C2523" s="13" t="s">
        <v>8391</v>
      </c>
      <c r="D2523" s="765"/>
      <c r="E2523" s="22"/>
      <c r="F2523" s="19">
        <v>50117</v>
      </c>
      <c r="G2523" s="14">
        <f t="shared" si="48"/>
        <v>-50117</v>
      </c>
      <c r="H2523" s="1176"/>
    </row>
    <row r="2524" spans="1:8" x14ac:dyDescent="0.25">
      <c r="A2524" s="112">
        <v>44889</v>
      </c>
      <c r="B2524" s="21" t="s">
        <v>8075</v>
      </c>
      <c r="C2524" s="13" t="s">
        <v>8391</v>
      </c>
      <c r="D2524" s="765"/>
      <c r="E2524" s="22"/>
      <c r="F2524" s="19">
        <v>13496</v>
      </c>
      <c r="G2524" s="14">
        <f t="shared" si="48"/>
        <v>-13496</v>
      </c>
      <c r="H2524" s="1176"/>
    </row>
    <row r="2525" spans="1:8" x14ac:dyDescent="0.25">
      <c r="A2525" s="112">
        <v>44889</v>
      </c>
      <c r="B2525" s="21" t="s">
        <v>8556</v>
      </c>
      <c r="C2525" s="13" t="s">
        <v>8391</v>
      </c>
      <c r="D2525" s="765"/>
      <c r="E2525" s="22"/>
      <c r="F2525" s="19">
        <v>115599</v>
      </c>
      <c r="G2525" s="14">
        <f t="shared" si="48"/>
        <v>-115599</v>
      </c>
      <c r="H2525" s="1176"/>
    </row>
    <row r="2526" spans="1:8" x14ac:dyDescent="0.25">
      <c r="A2526" s="112">
        <v>44889</v>
      </c>
      <c r="B2526" s="21" t="s">
        <v>8529</v>
      </c>
      <c r="C2526" s="13" t="s">
        <v>8391</v>
      </c>
      <c r="D2526" s="765"/>
      <c r="E2526" s="22"/>
      <c r="F2526" s="19">
        <v>72562</v>
      </c>
      <c r="G2526" s="14">
        <f t="shared" si="48"/>
        <v>-72562</v>
      </c>
      <c r="H2526" s="1176"/>
    </row>
    <row r="2527" spans="1:8" x14ac:dyDescent="0.25">
      <c r="A2527" s="112">
        <v>44889</v>
      </c>
      <c r="B2527" s="21" t="s">
        <v>8654</v>
      </c>
      <c r="C2527" s="13" t="s">
        <v>8391</v>
      </c>
      <c r="D2527" s="765"/>
      <c r="E2527" s="22"/>
      <c r="F2527" s="19">
        <f>500000-F2526-F2525-F2524-F2523-F2522</f>
        <v>197007</v>
      </c>
      <c r="G2527" s="14">
        <f t="shared" si="48"/>
        <v>-197007</v>
      </c>
      <c r="H2527" s="1176"/>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213" t="s">
        <v>8821</v>
      </c>
    </row>
    <row r="2554" spans="1:8" x14ac:dyDescent="0.25">
      <c r="A2554" s="112">
        <v>44902</v>
      </c>
      <c r="B2554" s="10" t="s">
        <v>8336</v>
      </c>
      <c r="C2554" s="11" t="s">
        <v>2195</v>
      </c>
      <c r="F2554" s="9">
        <v>39210</v>
      </c>
      <c r="G2554" s="6">
        <f t="shared" si="48"/>
        <v>-39210</v>
      </c>
      <c r="H2554" s="1213"/>
    </row>
    <row r="2555" spans="1:8" x14ac:dyDescent="0.25">
      <c r="A2555" s="112">
        <v>44902</v>
      </c>
      <c r="B2555" s="10" t="s">
        <v>8556</v>
      </c>
      <c r="C2555" s="11" t="s">
        <v>2195</v>
      </c>
      <c r="F2555" s="9">
        <v>18450</v>
      </c>
      <c r="G2555" s="6">
        <f t="shared" si="48"/>
        <v>-18450</v>
      </c>
      <c r="H2555" s="1213"/>
    </row>
    <row r="2556" spans="1:8" x14ac:dyDescent="0.25">
      <c r="A2556" s="112">
        <v>44902</v>
      </c>
      <c r="B2556" s="10" t="s">
        <v>8654</v>
      </c>
      <c r="C2556" s="11" t="s">
        <v>2195</v>
      </c>
      <c r="F2556" s="9">
        <v>80000</v>
      </c>
      <c r="G2556" s="6">
        <f t="shared" si="48"/>
        <v>-80000</v>
      </c>
      <c r="H2556" s="1213"/>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09" t="s">
        <v>8848</v>
      </c>
    </row>
    <row r="2564" spans="1:8" x14ac:dyDescent="0.25">
      <c r="A2564" s="112">
        <v>44907</v>
      </c>
      <c r="B2564" s="742" t="s">
        <v>3945</v>
      </c>
      <c r="C2564" s="749" t="s">
        <v>437</v>
      </c>
      <c r="D2564" s="778"/>
      <c r="E2564" s="750"/>
      <c r="F2564" s="751">
        <v>68000</v>
      </c>
      <c r="G2564" s="752">
        <f t="shared" si="48"/>
        <v>-68000</v>
      </c>
      <c r="H2564" s="1209"/>
    </row>
    <row r="2565" spans="1:8" x14ac:dyDescent="0.25">
      <c r="A2565" s="112">
        <v>44907</v>
      </c>
      <c r="B2565" s="742" t="s">
        <v>1399</v>
      </c>
      <c r="C2565" s="749" t="s">
        <v>437</v>
      </c>
      <c r="D2565" s="778"/>
      <c r="E2565" s="750"/>
      <c r="F2565" s="751">
        <v>7600</v>
      </c>
      <c r="G2565" s="752">
        <f t="shared" si="48"/>
        <v>-7600</v>
      </c>
      <c r="H2565" s="1209"/>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212" t="s">
        <v>8866</v>
      </c>
    </row>
    <row r="2574" spans="1:8" x14ac:dyDescent="0.25">
      <c r="A2574" s="112">
        <v>44910</v>
      </c>
      <c r="B2574" s="742" t="s">
        <v>6503</v>
      </c>
      <c r="C2574" s="749" t="s">
        <v>164</v>
      </c>
      <c r="D2574" s="778"/>
      <c r="E2574" s="750"/>
      <c r="F2574" s="751">
        <v>9328</v>
      </c>
      <c r="G2574" s="752">
        <f t="shared" si="48"/>
        <v>-9328</v>
      </c>
      <c r="H2574" s="1212"/>
    </row>
    <row r="2575" spans="1:8" x14ac:dyDescent="0.25">
      <c r="A2575" s="112">
        <v>44910</v>
      </c>
      <c r="B2575" s="742" t="s">
        <v>7065</v>
      </c>
      <c r="C2575" s="749" t="s">
        <v>164</v>
      </c>
      <c r="D2575" s="778"/>
      <c r="E2575" s="750"/>
      <c r="F2575" s="751">
        <v>247</v>
      </c>
      <c r="G2575" s="752">
        <f t="shared" si="48"/>
        <v>-247</v>
      </c>
      <c r="H2575" s="1212"/>
    </row>
    <row r="2576" spans="1:8" x14ac:dyDescent="0.25">
      <c r="A2576" s="112">
        <v>44910</v>
      </c>
      <c r="B2576" s="742" t="s">
        <v>1399</v>
      </c>
      <c r="C2576" s="749" t="s">
        <v>164</v>
      </c>
      <c r="D2576" s="778"/>
      <c r="E2576" s="750"/>
      <c r="F2576" s="751">
        <v>23076</v>
      </c>
      <c r="G2576" s="752">
        <f t="shared" si="48"/>
        <v>-23076</v>
      </c>
      <c r="H2576" s="1212"/>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211" t="s">
        <v>8893</v>
      </c>
    </row>
    <row r="2582" spans="1:8" x14ac:dyDescent="0.25">
      <c r="A2582" s="112">
        <v>44914</v>
      </c>
      <c r="B2582" s="742" t="s">
        <v>6509</v>
      </c>
      <c r="C2582" s="749" t="s">
        <v>3010</v>
      </c>
      <c r="D2582" s="778"/>
      <c r="E2582" s="750"/>
      <c r="F2582" s="751">
        <v>11000</v>
      </c>
      <c r="G2582" s="752">
        <f t="shared" si="48"/>
        <v>-11000</v>
      </c>
      <c r="H2582" s="1211"/>
    </row>
    <row r="2583" spans="1:8" x14ac:dyDescent="0.25">
      <c r="A2583" s="112">
        <v>44914</v>
      </c>
      <c r="B2583" s="742" t="s">
        <v>8041</v>
      </c>
      <c r="C2583" s="749" t="s">
        <v>3010</v>
      </c>
      <c r="D2583" s="778"/>
      <c r="E2583" s="750"/>
      <c r="F2583" s="751">
        <v>25000</v>
      </c>
      <c r="G2583" s="752">
        <f t="shared" si="48"/>
        <v>-25000</v>
      </c>
      <c r="H2583" s="1211"/>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12" t="s">
        <v>8986</v>
      </c>
    </row>
    <row r="2615" spans="1:8" x14ac:dyDescent="0.25">
      <c r="A2615" s="112">
        <v>44933</v>
      </c>
      <c r="B2615" s="21" t="s">
        <v>7919</v>
      </c>
      <c r="C2615" s="13" t="s">
        <v>8453</v>
      </c>
      <c r="D2615" s="765"/>
      <c r="E2615" s="22"/>
      <c r="F2615" s="19">
        <v>42000</v>
      </c>
      <c r="G2615" s="14">
        <f t="shared" si="48"/>
        <v>-42000</v>
      </c>
      <c r="H2615" s="1114"/>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94" t="s">
        <v>9031</v>
      </c>
    </row>
    <row r="2625" spans="1:8" x14ac:dyDescent="0.25">
      <c r="A2625" s="112">
        <v>44942</v>
      </c>
      <c r="B2625" s="21" t="s">
        <v>7919</v>
      </c>
      <c r="C2625" s="13" t="s">
        <v>166</v>
      </c>
      <c r="D2625" s="765"/>
      <c r="E2625" s="782"/>
      <c r="F2625" s="141">
        <v>25000</v>
      </c>
      <c r="G2625" s="783">
        <f t="shared" si="48"/>
        <v>-25000</v>
      </c>
      <c r="H2625" s="1121"/>
    </row>
    <row r="2626" spans="1:8" x14ac:dyDescent="0.25">
      <c r="A2626" s="112">
        <v>44942</v>
      </c>
      <c r="B2626" s="21" t="s">
        <v>8336</v>
      </c>
      <c r="C2626" s="13" t="s">
        <v>166</v>
      </c>
      <c r="D2626" s="765"/>
      <c r="E2626" s="782"/>
      <c r="F2626" s="141">
        <v>69000</v>
      </c>
      <c r="G2626" s="783">
        <f t="shared" si="48"/>
        <v>-69000</v>
      </c>
      <c r="H2626" s="1121"/>
    </row>
    <row r="2627" spans="1:8" x14ac:dyDescent="0.25">
      <c r="A2627" s="112">
        <v>44942</v>
      </c>
      <c r="B2627" s="21" t="s">
        <v>8556</v>
      </c>
      <c r="C2627" s="13" t="s">
        <v>166</v>
      </c>
      <c r="D2627" s="765"/>
      <c r="E2627" s="782"/>
      <c r="F2627" s="141">
        <v>15282</v>
      </c>
      <c r="G2627" s="783">
        <f t="shared" si="48"/>
        <v>-15282</v>
      </c>
      <c r="H2627" s="1121"/>
    </row>
    <row r="2628" spans="1:8" ht="16.5" thickBot="1" x14ac:dyDescent="0.3">
      <c r="A2628" s="112">
        <v>44942</v>
      </c>
      <c r="B2628" s="21" t="s">
        <v>8529</v>
      </c>
      <c r="C2628" s="13" t="s">
        <v>166</v>
      </c>
      <c r="D2628" s="765"/>
      <c r="E2628" s="782"/>
      <c r="F2628" s="785">
        <v>47891</v>
      </c>
      <c r="G2628" s="783">
        <f t="shared" si="48"/>
        <v>-47891</v>
      </c>
      <c r="H2628" s="1195"/>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12" t="s">
        <v>9072</v>
      </c>
    </row>
    <row r="2635" spans="1:8" x14ac:dyDescent="0.25">
      <c r="A2635" s="112">
        <v>44949</v>
      </c>
      <c r="B2635" s="21" t="s">
        <v>8336</v>
      </c>
      <c r="C2635" s="13" t="s">
        <v>169</v>
      </c>
      <c r="D2635" s="765"/>
      <c r="E2635" s="22"/>
      <c r="F2635" s="19">
        <v>65227</v>
      </c>
      <c r="G2635" s="783">
        <f t="shared" si="48"/>
        <v>-65227</v>
      </c>
      <c r="H2635" s="1114"/>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94" t="s">
        <v>10313</v>
      </c>
    </row>
    <row r="2650" spans="1:8" x14ac:dyDescent="0.25">
      <c r="A2650" s="112">
        <v>44957</v>
      </c>
      <c r="B2650" s="21" t="s">
        <v>8654</v>
      </c>
      <c r="C2650" s="13" t="s">
        <v>7240</v>
      </c>
      <c r="D2650" s="765"/>
      <c r="E2650" s="22"/>
      <c r="F2650" s="19">
        <v>443603</v>
      </c>
      <c r="G2650" s="14">
        <f t="shared" ref="G2650" si="49">E2650-F2650</f>
        <v>-443603</v>
      </c>
      <c r="H2650" s="1195"/>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54" t="s">
        <v>9304</v>
      </c>
      <c r="E2656" s="22">
        <v>56000</v>
      </c>
      <c r="F2656" s="19"/>
      <c r="G2656" s="14">
        <f t="shared" si="48"/>
        <v>56000</v>
      </c>
      <c r="H2656" s="921" t="s">
        <v>9305</v>
      </c>
    </row>
    <row r="2657" spans="1:8" x14ac:dyDescent="0.25">
      <c r="A2657" s="112">
        <v>44965</v>
      </c>
      <c r="B2657" s="21" t="s">
        <v>8041</v>
      </c>
      <c r="C2657" s="13" t="s">
        <v>169</v>
      </c>
      <c r="D2657" s="1155"/>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15" t="s">
        <v>9306</v>
      </c>
    </row>
    <row r="2659" spans="1:8" x14ac:dyDescent="0.25">
      <c r="A2659" s="112">
        <v>44965</v>
      </c>
      <c r="B2659" s="21" t="s">
        <v>8336</v>
      </c>
      <c r="C2659" s="13" t="s">
        <v>169</v>
      </c>
      <c r="D2659" s="765"/>
      <c r="E2659" s="22"/>
      <c r="F2659" s="19">
        <v>10173</v>
      </c>
      <c r="G2659" s="14">
        <f t="shared" si="48"/>
        <v>-10173</v>
      </c>
      <c r="H2659" s="1120"/>
    </row>
    <row r="2660" spans="1:8" x14ac:dyDescent="0.25">
      <c r="A2660" s="112">
        <v>44965</v>
      </c>
      <c r="B2660" s="21" t="s">
        <v>8873</v>
      </c>
      <c r="C2660" s="13" t="s">
        <v>169</v>
      </c>
      <c r="D2660" s="765"/>
      <c r="E2660" s="22"/>
      <c r="F2660" s="19">
        <v>23827</v>
      </c>
      <c r="G2660" s="14">
        <f t="shared" si="48"/>
        <v>-23827</v>
      </c>
      <c r="H2660" s="1116"/>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54" t="s">
        <v>9322</v>
      </c>
      <c r="E2662" s="22">
        <f>6336+15840+24960+43680</f>
        <v>90816</v>
      </c>
      <c r="F2662" s="19"/>
      <c r="G2662" s="14">
        <f t="shared" si="48"/>
        <v>90816</v>
      </c>
      <c r="H2662" s="1156" t="s">
        <v>9323</v>
      </c>
    </row>
    <row r="2663" spans="1:8" x14ac:dyDescent="0.25">
      <c r="A2663" s="112">
        <v>44967</v>
      </c>
      <c r="B2663" s="21" t="s">
        <v>8041</v>
      </c>
      <c r="C2663" s="13" t="s">
        <v>5186</v>
      </c>
      <c r="D2663" s="1155"/>
      <c r="E2663" s="22">
        <f>5032+5596</f>
        <v>10628</v>
      </c>
      <c r="F2663" s="19"/>
      <c r="G2663" s="14">
        <f t="shared" si="48"/>
        <v>10628</v>
      </c>
      <c r="H2663" s="1157"/>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54" t="s">
        <v>9347</v>
      </c>
      <c r="E2665" s="22">
        <f>15552+18000</f>
        <v>33552</v>
      </c>
      <c r="F2665" s="19"/>
      <c r="G2665" s="14">
        <f t="shared" si="48"/>
        <v>33552</v>
      </c>
      <c r="H2665" s="1156" t="s">
        <v>9323</v>
      </c>
    </row>
    <row r="2666" spans="1:8" x14ac:dyDescent="0.25">
      <c r="A2666" s="112">
        <v>44967</v>
      </c>
      <c r="B2666" s="21" t="s">
        <v>8336</v>
      </c>
      <c r="C2666" s="13" t="s">
        <v>5186</v>
      </c>
      <c r="D2666" s="1155"/>
      <c r="E2666" s="22">
        <v>28080</v>
      </c>
      <c r="F2666" s="19"/>
      <c r="G2666" s="14">
        <f t="shared" si="48"/>
        <v>28080</v>
      </c>
      <c r="H2666" s="1157"/>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30" t="s">
        <v>9348</v>
      </c>
    </row>
    <row r="2684" spans="1:8" x14ac:dyDescent="0.25">
      <c r="A2684" s="112">
        <v>44973</v>
      </c>
      <c r="B2684" s="21" t="s">
        <v>8075</v>
      </c>
      <c r="C2684" s="13" t="s">
        <v>5186</v>
      </c>
      <c r="D2684" s="765"/>
      <c r="E2684" s="22"/>
      <c r="F2684" s="19">
        <v>63132</v>
      </c>
      <c r="G2684" s="14">
        <f t="shared" si="48"/>
        <v>-63132</v>
      </c>
      <c r="H2684" s="1131"/>
    </row>
    <row r="2685" spans="1:8" x14ac:dyDescent="0.25">
      <c r="A2685" s="112">
        <v>44973</v>
      </c>
      <c r="B2685" s="21" t="s">
        <v>8336</v>
      </c>
      <c r="C2685" s="13" t="s">
        <v>5186</v>
      </c>
      <c r="D2685" s="765"/>
      <c r="E2685" s="22"/>
      <c r="F2685" s="19">
        <v>98924</v>
      </c>
      <c r="G2685" s="14">
        <f t="shared" si="48"/>
        <v>-98924</v>
      </c>
      <c r="H2685" s="1132"/>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62" t="s">
        <v>9455</v>
      </c>
    </row>
    <row r="2701" spans="1:8" x14ac:dyDescent="0.25">
      <c r="A2701" s="112">
        <v>45001</v>
      </c>
      <c r="B2701" s="21" t="s">
        <v>8529</v>
      </c>
      <c r="C2701" s="13" t="s">
        <v>166</v>
      </c>
      <c r="D2701" s="765"/>
      <c r="E2701" s="22"/>
      <c r="F2701" s="19">
        <v>15069</v>
      </c>
      <c r="G2701" s="14">
        <f t="shared" si="48"/>
        <v>-15069</v>
      </c>
      <c r="H2701" s="1163"/>
    </row>
    <row r="2702" spans="1:8" x14ac:dyDescent="0.25">
      <c r="A2702" s="112">
        <v>45001</v>
      </c>
      <c r="B2702" s="21" t="s">
        <v>8654</v>
      </c>
      <c r="C2702" s="13" t="s">
        <v>166</v>
      </c>
      <c r="D2702" s="765"/>
      <c r="E2702" s="22"/>
      <c r="F2702" s="19">
        <v>848690</v>
      </c>
      <c r="G2702" s="14">
        <f t="shared" si="48"/>
        <v>-848690</v>
      </c>
      <c r="H2702" s="1163"/>
    </row>
    <row r="2703" spans="1:8" x14ac:dyDescent="0.25">
      <c r="A2703" s="112">
        <v>45001</v>
      </c>
      <c r="B2703" s="21" t="s">
        <v>8865</v>
      </c>
      <c r="C2703" s="13" t="s">
        <v>166</v>
      </c>
      <c r="D2703" s="765"/>
      <c r="E2703" s="22"/>
      <c r="F2703" s="19">
        <v>78000</v>
      </c>
      <c r="G2703" s="14">
        <f t="shared" si="48"/>
        <v>-78000</v>
      </c>
      <c r="H2703" s="1163"/>
    </row>
    <row r="2704" spans="1:8" x14ac:dyDescent="0.25">
      <c r="A2704" s="112">
        <v>45001</v>
      </c>
      <c r="B2704" s="21" t="s">
        <v>8873</v>
      </c>
      <c r="C2704" s="13" t="s">
        <v>166</v>
      </c>
      <c r="D2704" s="765"/>
      <c r="E2704" s="22"/>
      <c r="F2704" s="19">
        <v>115000</v>
      </c>
      <c r="G2704" s="14">
        <f t="shared" si="48"/>
        <v>-115000</v>
      </c>
      <c r="H2704" s="1164"/>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58" t="s">
        <v>9476</v>
      </c>
    </row>
    <row r="2708" spans="1:8" x14ac:dyDescent="0.25">
      <c r="A2708" s="112">
        <v>45002</v>
      </c>
      <c r="B2708" s="21" t="s">
        <v>8865</v>
      </c>
      <c r="C2708" s="13" t="s">
        <v>180</v>
      </c>
      <c r="D2708" s="765"/>
      <c r="E2708" s="22"/>
      <c r="F2708" s="19">
        <v>164160</v>
      </c>
      <c r="G2708" s="14">
        <f t="shared" si="48"/>
        <v>-164160</v>
      </c>
      <c r="H2708" s="1159"/>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58" t="s">
        <v>9004</v>
      </c>
    </row>
    <row r="2713" spans="1:8" x14ac:dyDescent="0.25">
      <c r="A2713" s="112">
        <v>45005</v>
      </c>
      <c r="B2713" s="21" t="s">
        <v>8654</v>
      </c>
      <c r="C2713" s="13" t="s">
        <v>8391</v>
      </c>
      <c r="D2713" s="765"/>
      <c r="E2713" s="22"/>
      <c r="F2713" s="19">
        <v>371446</v>
      </c>
      <c r="G2713" s="14">
        <f t="shared" si="53"/>
        <v>-371446</v>
      </c>
      <c r="H2713" s="1159"/>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71" t="s">
        <v>9280</v>
      </c>
      <c r="E2725" s="22">
        <v>28496</v>
      </c>
      <c r="F2725" s="19"/>
      <c r="G2725" s="14">
        <f t="shared" si="53"/>
        <v>28496</v>
      </c>
      <c r="H2725" s="1156" t="s">
        <v>9323</v>
      </c>
    </row>
    <row r="2726" spans="1:8" x14ac:dyDescent="0.25">
      <c r="A2726" s="112">
        <v>45019</v>
      </c>
      <c r="B2726" s="21" t="s">
        <v>3945</v>
      </c>
      <c r="C2726" s="13" t="s">
        <v>8391</v>
      </c>
      <c r="D2726" s="1172"/>
      <c r="E2726" s="22">
        <v>8745</v>
      </c>
      <c r="F2726" s="19"/>
      <c r="G2726" s="14">
        <f t="shared" si="53"/>
        <v>8745</v>
      </c>
      <c r="H2726" s="1157"/>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54" t="s">
        <v>9599</v>
      </c>
      <c r="E2730" s="22">
        <v>20000</v>
      </c>
      <c r="F2730" s="19"/>
      <c r="G2730" s="14">
        <f t="shared" si="53"/>
        <v>20000</v>
      </c>
      <c r="H2730" s="1156" t="s">
        <v>9323</v>
      </c>
    </row>
    <row r="2731" spans="1:8" x14ac:dyDescent="0.25">
      <c r="A2731" s="112">
        <v>45024</v>
      </c>
      <c r="B2731" s="21" t="s">
        <v>8041</v>
      </c>
      <c r="C2731" s="13" t="s">
        <v>5186</v>
      </c>
      <c r="D2731" s="1155"/>
      <c r="E2731" s="22">
        <v>15000</v>
      </c>
      <c r="F2731" s="19"/>
      <c r="G2731" s="14">
        <f t="shared" si="53"/>
        <v>15000</v>
      </c>
      <c r="H2731" s="1157"/>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133" t="s">
        <v>12252</v>
      </c>
    </row>
    <row r="2735" spans="1:8" x14ac:dyDescent="0.25">
      <c r="A2735" s="112">
        <v>45026</v>
      </c>
      <c r="B2735" s="21" t="s">
        <v>8336</v>
      </c>
      <c r="C2735" s="13" t="s">
        <v>5186</v>
      </c>
      <c r="D2735" s="765"/>
      <c r="E2735" s="22"/>
      <c r="F2735" s="19">
        <v>20624</v>
      </c>
      <c r="G2735" s="14">
        <f t="shared" si="53"/>
        <v>-20624</v>
      </c>
      <c r="H2735" s="1134"/>
    </row>
    <row r="2736" spans="1:8" x14ac:dyDescent="0.25">
      <c r="A2736" s="112">
        <v>45026</v>
      </c>
      <c r="B2736" s="21" t="s">
        <v>8873</v>
      </c>
      <c r="C2736" s="13" t="s">
        <v>5186</v>
      </c>
      <c r="D2736" s="765"/>
      <c r="E2736" s="22"/>
      <c r="F2736" s="19">
        <v>34826</v>
      </c>
      <c r="G2736" s="14">
        <f t="shared" si="53"/>
        <v>-34826</v>
      </c>
      <c r="H2736" s="1135"/>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136" t="s">
        <v>9653</v>
      </c>
    </row>
    <row r="2741" spans="1:8" ht="15.75" customHeight="1" x14ac:dyDescent="0.25">
      <c r="A2741" s="112">
        <v>45029</v>
      </c>
      <c r="B2741" s="21" t="s">
        <v>7655</v>
      </c>
      <c r="C2741" s="13" t="s">
        <v>5680</v>
      </c>
      <c r="D2741" s="765"/>
      <c r="E2741" s="782"/>
      <c r="F2741" s="141">
        <v>40900</v>
      </c>
      <c r="G2741" s="783">
        <f t="shared" si="53"/>
        <v>-40900</v>
      </c>
      <c r="H2741" s="1137"/>
    </row>
    <row r="2742" spans="1:8" ht="15.75" customHeight="1" x14ac:dyDescent="0.25">
      <c r="A2742" s="112">
        <v>45029</v>
      </c>
      <c r="B2742" s="21" t="s">
        <v>7553</v>
      </c>
      <c r="C2742" s="13" t="s">
        <v>5680</v>
      </c>
      <c r="D2742" s="765"/>
      <c r="E2742" s="782"/>
      <c r="F2742" s="141">
        <v>5400</v>
      </c>
      <c r="G2742" s="783">
        <f t="shared" si="53"/>
        <v>-5400</v>
      </c>
      <c r="H2742" s="1137"/>
    </row>
    <row r="2743" spans="1:8" ht="16.5" thickBot="1" x14ac:dyDescent="0.3">
      <c r="A2743" s="112">
        <v>45029</v>
      </c>
      <c r="B2743" s="21" t="s">
        <v>8654</v>
      </c>
      <c r="C2743" s="13" t="s">
        <v>5680</v>
      </c>
      <c r="D2743" s="765"/>
      <c r="E2743" s="782"/>
      <c r="F2743" s="785">
        <v>40520</v>
      </c>
      <c r="G2743" s="783">
        <f t="shared" si="53"/>
        <v>-40520</v>
      </c>
      <c r="H2743" s="1138"/>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136" t="s">
        <v>9653</v>
      </c>
    </row>
    <row r="2746" spans="1:8" x14ac:dyDescent="0.25">
      <c r="A2746" s="112">
        <v>45031</v>
      </c>
      <c r="B2746" s="21" t="s">
        <v>8873</v>
      </c>
      <c r="C2746" s="13" t="s">
        <v>169</v>
      </c>
      <c r="D2746" s="765"/>
      <c r="E2746" s="782"/>
      <c r="F2746" s="141">
        <v>18365</v>
      </c>
      <c r="G2746" s="783">
        <f t="shared" si="53"/>
        <v>-18365</v>
      </c>
      <c r="H2746" s="1137"/>
    </row>
    <row r="2747" spans="1:8" x14ac:dyDescent="0.25">
      <c r="A2747" s="112">
        <v>45031</v>
      </c>
      <c r="B2747" s="21" t="s">
        <v>9406</v>
      </c>
      <c r="C2747" s="13" t="s">
        <v>169</v>
      </c>
      <c r="D2747" s="765"/>
      <c r="E2747" s="782"/>
      <c r="F2747" s="141">
        <v>20500</v>
      </c>
      <c r="G2747" s="783">
        <f t="shared" si="53"/>
        <v>-20500</v>
      </c>
      <c r="H2747" s="1137"/>
    </row>
    <row r="2748" spans="1:8" ht="16.5" thickBot="1" x14ac:dyDescent="0.3">
      <c r="A2748" s="112">
        <v>45031</v>
      </c>
      <c r="B2748" s="21" t="s">
        <v>9406</v>
      </c>
      <c r="C2748" s="13" t="s">
        <v>169</v>
      </c>
      <c r="D2748" s="765"/>
      <c r="E2748" s="782"/>
      <c r="F2748" s="785">
        <v>4135</v>
      </c>
      <c r="G2748" s="783">
        <f t="shared" si="53"/>
        <v>-4135</v>
      </c>
      <c r="H2748" s="1138"/>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139" t="s">
        <v>9723</v>
      </c>
    </row>
    <row r="2753" spans="1:8" x14ac:dyDescent="0.25">
      <c r="A2753" s="112">
        <v>45035</v>
      </c>
      <c r="B2753" s="21" t="s">
        <v>8654</v>
      </c>
      <c r="C2753" s="13" t="s">
        <v>8391</v>
      </c>
      <c r="D2753" s="765"/>
      <c r="E2753" s="782"/>
      <c r="F2753" s="141">
        <v>51861</v>
      </c>
      <c r="G2753" s="14">
        <f t="shared" si="54"/>
        <v>-51861</v>
      </c>
      <c r="H2753" s="1140"/>
    </row>
    <row r="2754" spans="1:8" x14ac:dyDescent="0.25">
      <c r="A2754" s="112">
        <v>45035</v>
      </c>
      <c r="B2754" s="21" t="s">
        <v>8873</v>
      </c>
      <c r="C2754" s="13" t="s">
        <v>8391</v>
      </c>
      <c r="D2754" s="765"/>
      <c r="E2754" s="782"/>
      <c r="F2754" s="141">
        <v>17015</v>
      </c>
      <c r="G2754" s="14">
        <f t="shared" si="54"/>
        <v>-17015</v>
      </c>
      <c r="H2754" s="1140"/>
    </row>
    <row r="2755" spans="1:8" x14ac:dyDescent="0.25">
      <c r="A2755" s="112">
        <v>45035</v>
      </c>
      <c r="B2755" s="21" t="s">
        <v>9504</v>
      </c>
      <c r="C2755" s="13" t="s">
        <v>8391</v>
      </c>
      <c r="D2755" s="765"/>
      <c r="E2755" s="782"/>
      <c r="F2755" s="141">
        <v>28496</v>
      </c>
      <c r="G2755" s="14">
        <f t="shared" si="54"/>
        <v>-28496</v>
      </c>
      <c r="H2755" s="1140"/>
    </row>
    <row r="2756" spans="1:8" x14ac:dyDescent="0.25">
      <c r="A2756" s="112">
        <v>45035</v>
      </c>
      <c r="B2756" s="21" t="s">
        <v>9353</v>
      </c>
      <c r="C2756" s="13" t="s">
        <v>8391</v>
      </c>
      <c r="D2756" s="765"/>
      <c r="E2756" s="954"/>
      <c r="F2756" s="146">
        <v>93883</v>
      </c>
      <c r="G2756" s="14">
        <f t="shared" si="54"/>
        <v>-93883</v>
      </c>
      <c r="H2756" s="1141"/>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60" t="s">
        <v>9735</v>
      </c>
    </row>
    <row r="2761" spans="1:8" x14ac:dyDescent="0.25">
      <c r="A2761" s="112">
        <v>45043</v>
      </c>
      <c r="B2761" s="21" t="s">
        <v>8654</v>
      </c>
      <c r="C2761" s="13" t="s">
        <v>8391</v>
      </c>
      <c r="D2761" s="765"/>
      <c r="E2761" s="22"/>
      <c r="F2761" s="19">
        <v>447612</v>
      </c>
      <c r="G2761" s="14">
        <f t="shared" si="54"/>
        <v>-447612</v>
      </c>
      <c r="H2761" s="1161"/>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12" t="s">
        <v>9797</v>
      </c>
    </row>
    <row r="2768" spans="1:8" x14ac:dyDescent="0.25">
      <c r="A2768" s="112">
        <v>45049</v>
      </c>
      <c r="B2768" s="21" t="s">
        <v>9658</v>
      </c>
      <c r="C2768" s="13" t="s">
        <v>8391</v>
      </c>
      <c r="D2768" s="765"/>
      <c r="E2768" s="22"/>
      <c r="F2768" s="19">
        <f>730000-F2767</f>
        <v>235093</v>
      </c>
      <c r="G2768" s="14">
        <f t="shared" si="54"/>
        <v>-235093</v>
      </c>
      <c r="H2768" s="1113"/>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12" t="s">
        <v>9845</v>
      </c>
    </row>
    <row r="2778" spans="1:8" ht="16.5" thickBot="1" x14ac:dyDescent="0.3">
      <c r="A2778" s="112">
        <v>45056</v>
      </c>
      <c r="B2778" s="21" t="s">
        <v>9353</v>
      </c>
      <c r="C2778" s="13" t="s">
        <v>169</v>
      </c>
      <c r="D2778" s="765"/>
      <c r="E2778" s="782"/>
      <c r="F2778" s="785">
        <v>124699</v>
      </c>
      <c r="G2778" s="783">
        <f t="shared" si="54"/>
        <v>-124699</v>
      </c>
      <c r="H2778" s="1114"/>
    </row>
    <row r="2779" spans="1:8" x14ac:dyDescent="0.25">
      <c r="A2779" s="112">
        <v>45056</v>
      </c>
      <c r="B2779" s="21" t="s">
        <v>8873</v>
      </c>
      <c r="C2779" s="13" t="s">
        <v>180</v>
      </c>
      <c r="D2779" s="765"/>
      <c r="E2779" s="782"/>
      <c r="F2779" s="784">
        <v>380920</v>
      </c>
      <c r="G2779" s="783">
        <f t="shared" si="54"/>
        <v>-380920</v>
      </c>
      <c r="H2779" s="1112" t="s">
        <v>9846</v>
      </c>
    </row>
    <row r="2780" spans="1:8" ht="16.5" thickBot="1" x14ac:dyDescent="0.3">
      <c r="A2780" s="112">
        <v>45056</v>
      </c>
      <c r="B2780" s="21" t="s">
        <v>9406</v>
      </c>
      <c r="C2780" s="13" t="s">
        <v>180</v>
      </c>
      <c r="D2780" s="765"/>
      <c r="E2780" s="782"/>
      <c r="F2780" s="785">
        <v>192080</v>
      </c>
      <c r="G2780" s="783">
        <f t="shared" si="54"/>
        <v>-192080</v>
      </c>
      <c r="H2780" s="1114"/>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12" t="s">
        <v>12251</v>
      </c>
    </row>
    <row r="2783" spans="1:8" x14ac:dyDescent="0.25">
      <c r="A2783" s="112">
        <v>45056</v>
      </c>
      <c r="B2783" s="21" t="s">
        <v>8873</v>
      </c>
      <c r="C2783" s="13" t="s">
        <v>5186</v>
      </c>
      <c r="D2783" s="765"/>
      <c r="E2783" s="22"/>
      <c r="F2783" s="111">
        <v>150000</v>
      </c>
      <c r="G2783" s="14">
        <f t="shared" si="54"/>
        <v>-150000</v>
      </c>
      <c r="H2783" s="1113"/>
    </row>
    <row r="2784" spans="1:8" x14ac:dyDescent="0.25">
      <c r="A2784" s="112">
        <v>45056</v>
      </c>
      <c r="B2784" s="21" t="s">
        <v>8873</v>
      </c>
      <c r="C2784" s="13" t="s">
        <v>5186</v>
      </c>
      <c r="D2784" s="765"/>
      <c r="E2784" s="22"/>
      <c r="F2784" s="111">
        <v>35000</v>
      </c>
      <c r="G2784" s="14">
        <f t="shared" si="54"/>
        <v>-35000</v>
      </c>
      <c r="H2784" s="1113"/>
    </row>
    <row r="2785" spans="1:8" x14ac:dyDescent="0.25">
      <c r="A2785" s="112">
        <v>45056</v>
      </c>
      <c r="B2785" s="21" t="s">
        <v>8873</v>
      </c>
      <c r="C2785" s="13" t="s">
        <v>5186</v>
      </c>
      <c r="D2785" s="765"/>
      <c r="E2785" s="22"/>
      <c r="F2785" s="111">
        <v>5000</v>
      </c>
      <c r="G2785" s="14">
        <f t="shared" si="54"/>
        <v>-5000</v>
      </c>
      <c r="H2785" s="1114"/>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62" t="s">
        <v>10314</v>
      </c>
    </row>
    <row r="2825" spans="1:8" x14ac:dyDescent="0.25">
      <c r="A2825" s="112">
        <v>45076</v>
      </c>
      <c r="B2825" s="21" t="s">
        <v>8041</v>
      </c>
      <c r="C2825" s="13" t="s">
        <v>7240</v>
      </c>
      <c r="D2825" s="765"/>
      <c r="E2825" s="22"/>
      <c r="F2825" s="19">
        <v>141655</v>
      </c>
      <c r="G2825" s="14">
        <f t="shared" si="54"/>
        <v>-141655</v>
      </c>
      <c r="H2825" s="1163"/>
    </row>
    <row r="2826" spans="1:8" x14ac:dyDescent="0.25">
      <c r="A2826" s="112">
        <v>45076</v>
      </c>
      <c r="B2826" s="21" t="s">
        <v>8336</v>
      </c>
      <c r="C2826" s="13" t="s">
        <v>7240</v>
      </c>
      <c r="D2826" s="765"/>
      <c r="E2826" s="22"/>
      <c r="F2826" s="19">
        <v>27798</v>
      </c>
      <c r="G2826" s="14">
        <f t="shared" si="54"/>
        <v>-27798</v>
      </c>
      <c r="H2826" s="1163"/>
    </row>
    <row r="2827" spans="1:8" x14ac:dyDescent="0.25">
      <c r="A2827" s="112">
        <v>45076</v>
      </c>
      <c r="B2827" s="21" t="s">
        <v>8556</v>
      </c>
      <c r="C2827" s="13" t="s">
        <v>7240</v>
      </c>
      <c r="D2827" s="765"/>
      <c r="E2827" s="22"/>
      <c r="F2827" s="19">
        <v>65342</v>
      </c>
      <c r="G2827" s="14">
        <f t="shared" si="54"/>
        <v>-65342</v>
      </c>
      <c r="H2827" s="1163"/>
    </row>
    <row r="2828" spans="1:8" x14ac:dyDescent="0.25">
      <c r="A2828" s="112">
        <v>45076</v>
      </c>
      <c r="B2828" s="21" t="s">
        <v>8654</v>
      </c>
      <c r="C2828" s="13" t="s">
        <v>7240</v>
      </c>
      <c r="D2828" s="765"/>
      <c r="E2828" s="22"/>
      <c r="F2828" s="19">
        <v>188071</v>
      </c>
      <c r="G2828" s="14">
        <f t="shared" si="54"/>
        <v>-188071</v>
      </c>
      <c r="H2828" s="1163"/>
    </row>
    <row r="2829" spans="1:8" x14ac:dyDescent="0.25">
      <c r="A2829" s="112">
        <v>45076</v>
      </c>
      <c r="B2829" s="21" t="s">
        <v>8865</v>
      </c>
      <c r="C2829" s="13" t="s">
        <v>7240</v>
      </c>
      <c r="D2829" s="765"/>
      <c r="E2829" s="22"/>
      <c r="F2829" s="19">
        <v>3983</v>
      </c>
      <c r="G2829" s="14">
        <f t="shared" si="54"/>
        <v>-3983</v>
      </c>
      <c r="H2829" s="1163"/>
    </row>
    <row r="2830" spans="1:8" x14ac:dyDescent="0.25">
      <c r="A2830" s="112">
        <v>45076</v>
      </c>
      <c r="B2830" s="21" t="s">
        <v>8873</v>
      </c>
      <c r="C2830" s="13" t="s">
        <v>7240</v>
      </c>
      <c r="D2830" s="765"/>
      <c r="E2830" s="22"/>
      <c r="F2830" s="19">
        <v>48076</v>
      </c>
      <c r="G2830" s="14">
        <f t="shared" si="54"/>
        <v>-48076</v>
      </c>
      <c r="H2830" s="1163"/>
    </row>
    <row r="2831" spans="1:8" x14ac:dyDescent="0.25">
      <c r="A2831" s="112">
        <v>45076</v>
      </c>
      <c r="B2831" s="21" t="s">
        <v>9406</v>
      </c>
      <c r="C2831" s="13" t="s">
        <v>7240</v>
      </c>
      <c r="D2831" s="765"/>
      <c r="E2831" s="22"/>
      <c r="F2831" s="19">
        <v>48076</v>
      </c>
      <c r="G2831" s="14">
        <f t="shared" si="54"/>
        <v>-48076</v>
      </c>
      <c r="H2831" s="1164"/>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17" t="s">
        <v>10124</v>
      </c>
    </row>
    <row r="2875" spans="1:8" x14ac:dyDescent="0.25">
      <c r="A2875" s="112">
        <v>45086</v>
      </c>
      <c r="B2875" s="21" t="s">
        <v>8041</v>
      </c>
      <c r="C2875" s="13" t="s">
        <v>7465</v>
      </c>
      <c r="D2875" s="765"/>
      <c r="E2875" s="782"/>
      <c r="F2875" s="141">
        <v>176124</v>
      </c>
      <c r="G2875" s="783">
        <f t="shared" ref="G2875:G2942" si="57">E2875-F2875</f>
        <v>-176124</v>
      </c>
      <c r="H2875" s="1118"/>
    </row>
    <row r="2876" spans="1:8" x14ac:dyDescent="0.25">
      <c r="A2876" s="112">
        <v>45086</v>
      </c>
      <c r="B2876" s="21" t="s">
        <v>8336</v>
      </c>
      <c r="C2876" s="13" t="s">
        <v>7465</v>
      </c>
      <c r="D2876" s="765"/>
      <c r="E2876" s="782"/>
      <c r="F2876" s="141">
        <v>265939</v>
      </c>
      <c r="G2876" s="783">
        <f t="shared" si="57"/>
        <v>-265939</v>
      </c>
      <c r="H2876" s="1118"/>
    </row>
    <row r="2877" spans="1:8" x14ac:dyDescent="0.25">
      <c r="A2877" s="112">
        <v>45086</v>
      </c>
      <c r="B2877" s="21" t="s">
        <v>8556</v>
      </c>
      <c r="C2877" s="13" t="s">
        <v>7465</v>
      </c>
      <c r="D2877" s="765"/>
      <c r="E2877" s="782"/>
      <c r="F2877" s="141">
        <v>245863</v>
      </c>
      <c r="G2877" s="783">
        <f t="shared" si="57"/>
        <v>-245863</v>
      </c>
      <c r="H2877" s="1118"/>
    </row>
    <row r="2878" spans="1:8" ht="16.5" thickBot="1" x14ac:dyDescent="0.3">
      <c r="A2878" s="112">
        <v>45086</v>
      </c>
      <c r="B2878" s="21" t="s">
        <v>8873</v>
      </c>
      <c r="C2878" s="13" t="s">
        <v>7465</v>
      </c>
      <c r="D2878" s="765"/>
      <c r="E2878" s="782"/>
      <c r="F2878" s="785">
        <v>201031</v>
      </c>
      <c r="G2878" s="783">
        <f t="shared" si="57"/>
        <v>-201031</v>
      </c>
      <c r="H2878" s="1119"/>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51" t="s">
        <v>10124</v>
      </c>
    </row>
    <row r="2882" spans="1:8" x14ac:dyDescent="0.25">
      <c r="A2882" s="112">
        <v>45089</v>
      </c>
      <c r="B2882" s="21" t="s">
        <v>9658</v>
      </c>
      <c r="C2882" s="13" t="s">
        <v>8391</v>
      </c>
      <c r="D2882" s="765"/>
      <c r="E2882" s="22"/>
      <c r="F2882" s="19">
        <v>100000</v>
      </c>
      <c r="G2882" s="14">
        <f t="shared" si="57"/>
        <v>-100000</v>
      </c>
      <c r="H2882" s="1152"/>
    </row>
    <row r="2883" spans="1:8" x14ac:dyDescent="0.25">
      <c r="A2883" s="112">
        <v>45089</v>
      </c>
      <c r="B2883" s="21" t="s">
        <v>8654</v>
      </c>
      <c r="C2883" s="13" t="s">
        <v>8391</v>
      </c>
      <c r="D2883" s="765"/>
      <c r="E2883" s="22"/>
      <c r="F2883" s="19">
        <v>350000</v>
      </c>
      <c r="G2883" s="14">
        <f t="shared" si="57"/>
        <v>-350000</v>
      </c>
      <c r="H2883" s="1153"/>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15" t="s">
        <v>10230</v>
      </c>
    </row>
    <row r="2894" spans="1:8" x14ac:dyDescent="0.25">
      <c r="A2894" s="112">
        <v>45094</v>
      </c>
      <c r="B2894" s="21" t="s">
        <v>9766</v>
      </c>
      <c r="C2894" s="13" t="s">
        <v>180</v>
      </c>
      <c r="D2894" s="765"/>
      <c r="E2894" s="782"/>
      <c r="F2894" s="141">
        <v>49080</v>
      </c>
      <c r="G2894" s="783">
        <f t="shared" si="57"/>
        <v>-49080</v>
      </c>
      <c r="H2894" s="1120"/>
    </row>
    <row r="2895" spans="1:8" x14ac:dyDescent="0.25">
      <c r="A2895" s="112">
        <v>45094</v>
      </c>
      <c r="B2895" s="21" t="s">
        <v>10293</v>
      </c>
      <c r="C2895" s="13" t="s">
        <v>180</v>
      </c>
      <c r="D2895" s="765"/>
      <c r="E2895" s="782"/>
      <c r="F2895" s="146">
        <v>151960</v>
      </c>
      <c r="G2895" s="783">
        <f t="shared" si="57"/>
        <v>-151960</v>
      </c>
      <c r="H2895" s="1120"/>
    </row>
    <row r="2896" spans="1:8" ht="16.5" thickBot="1" x14ac:dyDescent="0.3">
      <c r="A2896" s="112">
        <v>45094</v>
      </c>
      <c r="B2896" s="21" t="s">
        <v>10229</v>
      </c>
      <c r="C2896" s="13" t="s">
        <v>180</v>
      </c>
      <c r="D2896" s="765"/>
      <c r="E2896" s="782"/>
      <c r="F2896" s="785">
        <f>875000-F2895-F2894-F2893</f>
        <v>3960</v>
      </c>
      <c r="G2896" s="783">
        <f t="shared" si="57"/>
        <v>-3960</v>
      </c>
      <c r="H2896" s="1116"/>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15" t="s">
        <v>10253</v>
      </c>
    </row>
    <row r="2909" spans="1:8" x14ac:dyDescent="0.25">
      <c r="A2909" s="112">
        <v>45096</v>
      </c>
      <c r="B2909" s="21" t="s">
        <v>9964</v>
      </c>
      <c r="C2909" s="13" t="s">
        <v>169</v>
      </c>
      <c r="D2909" s="765"/>
      <c r="E2909" s="782"/>
      <c r="F2909" s="151">
        <v>23382</v>
      </c>
      <c r="G2909" s="783">
        <f t="shared" si="57"/>
        <v>-23382</v>
      </c>
      <c r="H2909" s="1120"/>
    </row>
    <row r="2910" spans="1:8" ht="16.5" thickBot="1" x14ac:dyDescent="0.3">
      <c r="A2910" s="112">
        <v>45096</v>
      </c>
      <c r="B2910" s="21" t="s">
        <v>9983</v>
      </c>
      <c r="C2910" s="13" t="s">
        <v>169</v>
      </c>
      <c r="D2910" s="765"/>
      <c r="E2910" s="782"/>
      <c r="F2910" s="295">
        <v>102854</v>
      </c>
      <c r="G2910" s="783">
        <f t="shared" si="57"/>
        <v>-102854</v>
      </c>
      <c r="H2910" s="1116"/>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12" t="s">
        <v>10232</v>
      </c>
    </row>
    <row r="2914" spans="1:8" x14ac:dyDescent="0.25">
      <c r="A2914" s="112">
        <v>45096</v>
      </c>
      <c r="B2914" s="21" t="s">
        <v>6503</v>
      </c>
      <c r="C2914" s="13" t="s">
        <v>164</v>
      </c>
      <c r="D2914" s="765"/>
      <c r="E2914" s="22"/>
      <c r="F2914" s="19">
        <v>1320</v>
      </c>
      <c r="G2914" s="14">
        <f t="shared" si="57"/>
        <v>-1320</v>
      </c>
      <c r="H2914" s="1113"/>
    </row>
    <row r="2915" spans="1:8" x14ac:dyDescent="0.25">
      <c r="A2915" s="112">
        <v>45096</v>
      </c>
      <c r="B2915" s="21" t="s">
        <v>8865</v>
      </c>
      <c r="C2915" s="13" t="s">
        <v>164</v>
      </c>
      <c r="D2915" s="765"/>
      <c r="E2915" s="22"/>
      <c r="F2915" s="19">
        <v>2773</v>
      </c>
      <c r="G2915" s="14">
        <f t="shared" si="57"/>
        <v>-2773</v>
      </c>
      <c r="H2915" s="1113"/>
    </row>
    <row r="2916" spans="1:8" x14ac:dyDescent="0.25">
      <c r="A2916" s="112">
        <v>45096</v>
      </c>
      <c r="B2916" s="21" t="s">
        <v>9353</v>
      </c>
      <c r="C2916" s="13" t="s">
        <v>164</v>
      </c>
      <c r="D2916" s="765"/>
      <c r="E2916" s="22"/>
      <c r="F2916" s="19">
        <v>12911</v>
      </c>
      <c r="G2916" s="14">
        <f t="shared" si="57"/>
        <v>-12911</v>
      </c>
      <c r="H2916" s="1113"/>
    </row>
    <row r="2917" spans="1:8" x14ac:dyDescent="0.25">
      <c r="A2917" s="112">
        <v>45096</v>
      </c>
      <c r="B2917" s="21" t="s">
        <v>9504</v>
      </c>
      <c r="C2917" s="13" t="s">
        <v>164</v>
      </c>
      <c r="D2917" s="765"/>
      <c r="E2917" s="22"/>
      <c r="F2917" s="19">
        <v>3303</v>
      </c>
      <c r="G2917" s="14">
        <f t="shared" si="57"/>
        <v>-3303</v>
      </c>
      <c r="H2917" s="1113"/>
    </row>
    <row r="2918" spans="1:8" x14ac:dyDescent="0.25">
      <c r="A2918" s="112">
        <v>45096</v>
      </c>
      <c r="B2918" s="21" t="s">
        <v>10901</v>
      </c>
      <c r="C2918" s="13" t="s">
        <v>164</v>
      </c>
      <c r="D2918" s="765"/>
      <c r="E2918" s="22"/>
      <c r="F2918" s="19">
        <v>64935</v>
      </c>
      <c r="G2918" s="14">
        <f t="shared" si="57"/>
        <v>-64935</v>
      </c>
      <c r="H2918" s="1113"/>
    </row>
    <row r="2919" spans="1:8" x14ac:dyDescent="0.25">
      <c r="A2919" s="112">
        <v>45096</v>
      </c>
      <c r="B2919" s="21" t="s">
        <v>9964</v>
      </c>
      <c r="C2919" s="13" t="s">
        <v>164</v>
      </c>
      <c r="D2919" s="765"/>
      <c r="E2919" s="22"/>
      <c r="F2919" s="19">
        <v>5073</v>
      </c>
      <c r="G2919" s="14">
        <f t="shared" si="57"/>
        <v>-5073</v>
      </c>
      <c r="H2919" s="1113"/>
    </row>
    <row r="2920" spans="1:8" x14ac:dyDescent="0.25">
      <c r="A2920" s="112">
        <v>45096</v>
      </c>
      <c r="B2920" s="21" t="s">
        <v>9983</v>
      </c>
      <c r="C2920" s="13" t="s">
        <v>164</v>
      </c>
      <c r="D2920" s="765"/>
      <c r="E2920" s="22"/>
      <c r="F2920" s="109">
        <f>100000-F2919-F2918-3485-F2916-F2915-F2914-F2913</f>
        <v>2239</v>
      </c>
      <c r="G2920" s="14">
        <f t="shared" si="57"/>
        <v>-2239</v>
      </c>
      <c r="H2920" s="1114"/>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46" t="s">
        <v>10124</v>
      </c>
    </row>
    <row r="2925" spans="1:8" x14ac:dyDescent="0.25">
      <c r="A2925" s="112">
        <v>45099</v>
      </c>
      <c r="B2925" s="21" t="s">
        <v>9766</v>
      </c>
      <c r="C2925" s="13" t="s">
        <v>8391</v>
      </c>
      <c r="D2925" s="765"/>
      <c r="E2925" s="782"/>
      <c r="F2925" s="213">
        <v>500000</v>
      </c>
      <c r="G2925" s="783">
        <f t="shared" si="57"/>
        <v>-500000</v>
      </c>
      <c r="H2925" s="1147"/>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62" t="s">
        <v>10395</v>
      </c>
    </row>
    <row r="2931" spans="1:8" ht="15.75" customHeight="1" x14ac:dyDescent="0.25">
      <c r="A2931" s="112">
        <v>45104</v>
      </c>
      <c r="B2931" s="21" t="s">
        <v>9406</v>
      </c>
      <c r="C2931" s="13" t="s">
        <v>7240</v>
      </c>
      <c r="D2931" s="765"/>
      <c r="E2931" s="22"/>
      <c r="F2931" s="19">
        <v>116894</v>
      </c>
      <c r="G2931" s="14">
        <f t="shared" si="57"/>
        <v>-116894</v>
      </c>
      <c r="H2931" s="1163"/>
    </row>
    <row r="2932" spans="1:8" x14ac:dyDescent="0.25">
      <c r="A2932" s="112">
        <v>45104</v>
      </c>
      <c r="B2932" s="21"/>
      <c r="C2932" s="13" t="s">
        <v>7240</v>
      </c>
      <c r="D2932" s="765"/>
      <c r="E2932" s="22"/>
      <c r="F2932" s="19">
        <v>13918</v>
      </c>
      <c r="G2932" s="14">
        <f t="shared" si="57"/>
        <v>-13918</v>
      </c>
      <c r="H2932" s="1164"/>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168" t="s">
        <v>10322</v>
      </c>
    </row>
    <row r="2939" spans="1:8" x14ac:dyDescent="0.25">
      <c r="A2939" s="112">
        <v>45112</v>
      </c>
      <c r="B2939" s="21" t="s">
        <v>8865</v>
      </c>
      <c r="C2939" s="13" t="s">
        <v>8391</v>
      </c>
      <c r="D2939" s="765"/>
      <c r="E2939" s="22"/>
      <c r="F2939" s="19">
        <v>200000</v>
      </c>
      <c r="G2939" s="14">
        <f t="shared" si="57"/>
        <v>-200000</v>
      </c>
      <c r="H2939" s="1169"/>
    </row>
    <row r="2940" spans="1:8" x14ac:dyDescent="0.25">
      <c r="A2940" s="112">
        <v>45112</v>
      </c>
      <c r="B2940" s="21" t="s">
        <v>9353</v>
      </c>
      <c r="C2940" s="13" t="s">
        <v>8391</v>
      </c>
      <c r="D2940" s="765"/>
      <c r="E2940" s="22"/>
      <c r="F2940" s="19">
        <v>270000</v>
      </c>
      <c r="G2940" s="14">
        <f t="shared" si="57"/>
        <v>-270000</v>
      </c>
      <c r="H2940" s="1169"/>
    </row>
    <row r="2941" spans="1:8" x14ac:dyDescent="0.25">
      <c r="A2941" s="112">
        <v>45112</v>
      </c>
      <c r="B2941" s="21" t="s">
        <v>9658</v>
      </c>
      <c r="C2941" s="13" t="s">
        <v>8391</v>
      </c>
      <c r="D2941" s="765"/>
      <c r="E2941" s="22"/>
      <c r="F2941" s="19">
        <v>430000</v>
      </c>
      <c r="G2941" s="14">
        <f t="shared" si="57"/>
        <v>-430000</v>
      </c>
      <c r="H2941" s="1169"/>
    </row>
    <row r="2942" spans="1:8" x14ac:dyDescent="0.25">
      <c r="A2942" s="112">
        <v>45112</v>
      </c>
      <c r="B2942" s="21" t="s">
        <v>10148</v>
      </c>
      <c r="C2942" s="13" t="s">
        <v>8391</v>
      </c>
      <c r="D2942" s="765"/>
      <c r="E2942" s="22"/>
      <c r="F2942" s="19">
        <v>50000</v>
      </c>
      <c r="G2942" s="14">
        <f t="shared" si="57"/>
        <v>-50000</v>
      </c>
      <c r="H2942" s="1170"/>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142" t="s">
        <v>10470</v>
      </c>
      <c r="E2949" s="782">
        <v>130000</v>
      </c>
      <c r="F2949" s="19"/>
      <c r="G2949" s="14">
        <f t="shared" si="60"/>
        <v>130000</v>
      </c>
      <c r="H2949" s="342" t="s">
        <v>9276</v>
      </c>
    </row>
    <row r="2950" spans="1:10" x14ac:dyDescent="0.25">
      <c r="A2950" s="112">
        <v>45118</v>
      </c>
      <c r="B2950" s="21" t="s">
        <v>8865</v>
      </c>
      <c r="C2950" s="13" t="s">
        <v>166</v>
      </c>
      <c r="D2950" s="1143"/>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52" t="s">
        <v>10477</v>
      </c>
      <c r="J2960" s="127"/>
    </row>
    <row r="2961" spans="1:8" x14ac:dyDescent="0.25">
      <c r="A2961" s="112">
        <v>45124</v>
      </c>
      <c r="B2961" s="21" t="s">
        <v>9766</v>
      </c>
      <c r="C2961" s="13" t="s">
        <v>166</v>
      </c>
      <c r="D2961" s="765"/>
      <c r="E2961" s="22"/>
      <c r="F2961" s="19">
        <v>66000</v>
      </c>
      <c r="G2961" s="14">
        <f t="shared" si="60"/>
        <v>-66000</v>
      </c>
      <c r="H2961" s="1152"/>
    </row>
    <row r="2962" spans="1:8" x14ac:dyDescent="0.25">
      <c r="A2962" s="112">
        <v>45124</v>
      </c>
      <c r="B2962" s="21" t="s">
        <v>9964</v>
      </c>
      <c r="C2962" s="13" t="s">
        <v>166</v>
      </c>
      <c r="D2962" s="765"/>
      <c r="E2962" s="22"/>
      <c r="F2962" s="19">
        <v>15800</v>
      </c>
      <c r="G2962" s="14">
        <f t="shared" si="60"/>
        <v>-15800</v>
      </c>
      <c r="H2962" s="1152"/>
    </row>
    <row r="2963" spans="1:8" x14ac:dyDescent="0.25">
      <c r="A2963" s="112">
        <v>45124</v>
      </c>
      <c r="B2963" s="21" t="s">
        <v>10468</v>
      </c>
      <c r="C2963" s="13" t="s">
        <v>166</v>
      </c>
      <c r="D2963" s="765"/>
      <c r="E2963" s="22"/>
      <c r="F2963" s="19">
        <v>13260</v>
      </c>
      <c r="G2963" s="14">
        <f t="shared" si="60"/>
        <v>-13260</v>
      </c>
      <c r="H2963" s="1152"/>
    </row>
    <row r="2964" spans="1:8" x14ac:dyDescent="0.25">
      <c r="A2964" s="112">
        <v>45124</v>
      </c>
      <c r="B2964" s="21" t="s">
        <v>8654</v>
      </c>
      <c r="C2964" s="13" t="s">
        <v>166</v>
      </c>
      <c r="D2964" s="765"/>
      <c r="E2964" s="22"/>
      <c r="F2964" s="19">
        <v>290840</v>
      </c>
      <c r="G2964" s="14">
        <f t="shared" si="60"/>
        <v>-290840</v>
      </c>
      <c r="H2964" s="1153"/>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12" t="s">
        <v>10507</v>
      </c>
    </row>
    <row r="2974" spans="1:8" ht="16.5" thickBot="1" x14ac:dyDescent="0.3">
      <c r="A2974" s="112">
        <v>45125</v>
      </c>
      <c r="B2974" s="21" t="s">
        <v>10468</v>
      </c>
      <c r="C2974" s="13" t="s">
        <v>166</v>
      </c>
      <c r="D2974" s="765"/>
      <c r="E2974" s="782"/>
      <c r="F2974" s="785">
        <v>130000</v>
      </c>
      <c r="G2974" s="783">
        <f t="shared" si="60"/>
        <v>-130000</v>
      </c>
      <c r="H2974" s="1114"/>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65" t="s">
        <v>10548</v>
      </c>
    </row>
    <row r="2981" spans="1:8" x14ac:dyDescent="0.25">
      <c r="A2981" s="112">
        <v>45127</v>
      </c>
      <c r="B2981" s="21" t="s">
        <v>8865</v>
      </c>
      <c r="C2981" s="13" t="s">
        <v>8391</v>
      </c>
      <c r="D2981" s="765"/>
      <c r="E2981" s="782"/>
      <c r="F2981" s="141">
        <v>182717</v>
      </c>
      <c r="G2981" s="783">
        <f t="shared" si="60"/>
        <v>-182717</v>
      </c>
      <c r="H2981" s="1166"/>
    </row>
    <row r="2982" spans="1:8" x14ac:dyDescent="0.25">
      <c r="A2982" s="112">
        <v>45127</v>
      </c>
      <c r="B2982" s="21" t="s">
        <v>9353</v>
      </c>
      <c r="C2982" s="13" t="s">
        <v>8391</v>
      </c>
      <c r="D2982" s="765"/>
      <c r="E2982" s="782"/>
      <c r="F2982" s="141">
        <v>190000</v>
      </c>
      <c r="G2982" s="783">
        <f t="shared" si="60"/>
        <v>-190000</v>
      </c>
      <c r="H2982" s="1166"/>
    </row>
    <row r="2983" spans="1:8" x14ac:dyDescent="0.25">
      <c r="A2983" s="112">
        <v>45127</v>
      </c>
      <c r="B2983" s="21" t="s">
        <v>9658</v>
      </c>
      <c r="C2983" s="13" t="s">
        <v>8391</v>
      </c>
      <c r="D2983" s="765"/>
      <c r="E2983" s="782"/>
      <c r="F2983" s="141">
        <v>45196</v>
      </c>
      <c r="G2983" s="783">
        <f t="shared" si="60"/>
        <v>-45196</v>
      </c>
      <c r="H2983" s="1166"/>
    </row>
    <row r="2984" spans="1:8" x14ac:dyDescent="0.25">
      <c r="A2984" s="112">
        <v>45127</v>
      </c>
      <c r="B2984" s="21" t="s">
        <v>9766</v>
      </c>
      <c r="C2984" s="13" t="s">
        <v>8391</v>
      </c>
      <c r="D2984" s="765"/>
      <c r="E2984" s="782"/>
      <c r="F2984" s="141">
        <v>190000</v>
      </c>
      <c r="G2984" s="783">
        <f t="shared" si="60"/>
        <v>-190000</v>
      </c>
      <c r="H2984" s="1166"/>
    </row>
    <row r="2985" spans="1:8" x14ac:dyDescent="0.25">
      <c r="A2985" s="112">
        <v>45127</v>
      </c>
      <c r="B2985" s="21" t="s">
        <v>10148</v>
      </c>
      <c r="C2985" s="13" t="s">
        <v>8391</v>
      </c>
      <c r="D2985" s="765"/>
      <c r="E2985" s="782"/>
      <c r="F2985" s="141">
        <v>190000</v>
      </c>
      <c r="G2985" s="783">
        <f t="shared" si="60"/>
        <v>-190000</v>
      </c>
      <c r="H2985" s="1166"/>
    </row>
    <row r="2986" spans="1:8" ht="16.5" thickBot="1" x14ac:dyDescent="0.3">
      <c r="A2986" s="112">
        <v>45127</v>
      </c>
      <c r="B2986" s="21" t="s">
        <v>10293</v>
      </c>
      <c r="C2986" s="13" t="s">
        <v>8391</v>
      </c>
      <c r="D2986" s="765"/>
      <c r="E2986" s="782"/>
      <c r="F2986" s="785">
        <v>190000</v>
      </c>
      <c r="G2986" s="783">
        <f t="shared" si="60"/>
        <v>-190000</v>
      </c>
      <c r="H2986" s="1167"/>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17" t="s">
        <v>10749</v>
      </c>
    </row>
    <row r="3029" spans="1:8" x14ac:dyDescent="0.25">
      <c r="A3029" s="112">
        <v>45153</v>
      </c>
      <c r="B3029" s="21" t="s">
        <v>8873</v>
      </c>
      <c r="C3029" s="13" t="s">
        <v>7465</v>
      </c>
      <c r="D3029" s="765"/>
      <c r="E3029" s="22"/>
      <c r="F3029" s="19">
        <v>201658</v>
      </c>
      <c r="G3029" s="14">
        <f t="shared" si="60"/>
        <v>-201658</v>
      </c>
      <c r="H3029" s="1118"/>
    </row>
    <row r="3030" spans="1:8" x14ac:dyDescent="0.25">
      <c r="A3030" s="112">
        <v>45153</v>
      </c>
      <c r="B3030" s="21" t="s">
        <v>9658</v>
      </c>
      <c r="C3030" s="13" t="s">
        <v>7465</v>
      </c>
      <c r="D3030" s="765"/>
      <c r="E3030" s="22"/>
      <c r="F3030" s="19">
        <v>482460</v>
      </c>
      <c r="G3030" s="14">
        <f t="shared" si="60"/>
        <v>-482460</v>
      </c>
      <c r="H3030" s="1119"/>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25" t="s">
        <v>10845</v>
      </c>
    </row>
    <row r="3033" spans="1:8" x14ac:dyDescent="0.25">
      <c r="A3033" s="112">
        <v>45154</v>
      </c>
      <c r="B3033" s="21" t="s">
        <v>9353</v>
      </c>
      <c r="C3033" s="13" t="s">
        <v>8391</v>
      </c>
      <c r="D3033" s="765"/>
      <c r="E3033" s="782"/>
      <c r="F3033" s="141">
        <v>150000</v>
      </c>
      <c r="G3033" s="783">
        <f t="shared" ref="G3033:G3170" si="62">E3033-F3033</f>
        <v>-150000</v>
      </c>
      <c r="H3033" s="1126"/>
    </row>
    <row r="3034" spans="1:8" x14ac:dyDescent="0.25">
      <c r="A3034" s="112">
        <v>45154</v>
      </c>
      <c r="B3034" s="21" t="s">
        <v>9766</v>
      </c>
      <c r="C3034" s="13" t="s">
        <v>8391</v>
      </c>
      <c r="D3034" s="765"/>
      <c r="E3034" s="782"/>
      <c r="F3034" s="141">
        <v>372320</v>
      </c>
      <c r="G3034" s="783">
        <f t="shared" si="62"/>
        <v>-372320</v>
      </c>
      <c r="H3034" s="1126"/>
    </row>
    <row r="3035" spans="1:8" x14ac:dyDescent="0.25">
      <c r="A3035" s="112">
        <v>45154</v>
      </c>
      <c r="B3035" s="21" t="s">
        <v>10148</v>
      </c>
      <c r="C3035" s="13" t="s">
        <v>8391</v>
      </c>
      <c r="D3035" s="765"/>
      <c r="E3035" s="782"/>
      <c r="F3035" s="141">
        <v>300000</v>
      </c>
      <c r="G3035" s="783">
        <f t="shared" si="62"/>
        <v>-300000</v>
      </c>
      <c r="H3035" s="1126"/>
    </row>
    <row r="3036" spans="1:8" x14ac:dyDescent="0.25">
      <c r="A3036" s="112">
        <v>45154</v>
      </c>
      <c r="B3036" s="982" t="s">
        <v>10376</v>
      </c>
      <c r="C3036" s="13" t="s">
        <v>8391</v>
      </c>
      <c r="D3036" s="765"/>
      <c r="E3036" s="782"/>
      <c r="F3036" s="141">
        <v>100000</v>
      </c>
      <c r="G3036" s="783">
        <f t="shared" si="62"/>
        <v>-100000</v>
      </c>
      <c r="H3036" s="1126"/>
    </row>
    <row r="3037" spans="1:8" x14ac:dyDescent="0.25">
      <c r="A3037" s="265">
        <v>45154</v>
      </c>
      <c r="B3037" s="977" t="s">
        <v>10229</v>
      </c>
      <c r="C3037" s="53" t="s">
        <v>8391</v>
      </c>
      <c r="D3037" s="776"/>
      <c r="E3037" s="954"/>
      <c r="F3037" s="146">
        <v>5602</v>
      </c>
      <c r="G3037" s="978">
        <f t="shared" si="62"/>
        <v>-5602</v>
      </c>
      <c r="H3037" s="1127"/>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145" t="s">
        <v>10803</v>
      </c>
      <c r="E3043" s="22">
        <v>20300</v>
      </c>
      <c r="F3043" s="19"/>
      <c r="G3043" s="14">
        <f t="shared" si="62"/>
        <v>20300</v>
      </c>
      <c r="H3043" s="1146" t="s">
        <v>9323</v>
      </c>
    </row>
    <row r="3044" spans="1:8" ht="15.75" customHeight="1" x14ac:dyDescent="0.25">
      <c r="A3044" s="112">
        <v>45156</v>
      </c>
      <c r="B3044" s="982" t="s">
        <v>10376</v>
      </c>
      <c r="C3044" s="13" t="s">
        <v>166</v>
      </c>
      <c r="D3044" s="1145"/>
      <c r="E3044" s="22">
        <v>45000</v>
      </c>
      <c r="F3044" s="19"/>
      <c r="G3044" s="14">
        <f t="shared" si="62"/>
        <v>45000</v>
      </c>
      <c r="H3044" s="1147"/>
    </row>
    <row r="3045" spans="1:8" x14ac:dyDescent="0.25">
      <c r="A3045" s="112">
        <v>45156</v>
      </c>
      <c r="B3045" s="21" t="s">
        <v>8654</v>
      </c>
      <c r="C3045" s="13" t="s">
        <v>166</v>
      </c>
      <c r="D3045" s="765"/>
      <c r="E3045" s="22"/>
      <c r="F3045" s="19">
        <v>64845</v>
      </c>
      <c r="G3045" s="14">
        <f t="shared" si="62"/>
        <v>-64845</v>
      </c>
      <c r="H3045" s="1151" t="s">
        <v>10840</v>
      </c>
    </row>
    <row r="3046" spans="1:8" x14ac:dyDescent="0.25">
      <c r="A3046" s="112">
        <v>45156</v>
      </c>
      <c r="B3046" s="21" t="s">
        <v>8865</v>
      </c>
      <c r="C3046" s="13" t="s">
        <v>166</v>
      </c>
      <c r="D3046" s="765"/>
      <c r="E3046" s="22"/>
      <c r="F3046" s="19">
        <v>22500</v>
      </c>
      <c r="G3046" s="14">
        <f t="shared" si="62"/>
        <v>-22500</v>
      </c>
      <c r="H3046" s="1152"/>
    </row>
    <row r="3047" spans="1:8" x14ac:dyDescent="0.25">
      <c r="A3047" s="112">
        <v>45156</v>
      </c>
      <c r="B3047" s="21" t="s">
        <v>10148</v>
      </c>
      <c r="C3047" s="13" t="s">
        <v>166</v>
      </c>
      <c r="D3047" s="765"/>
      <c r="E3047" s="22"/>
      <c r="F3047" s="19">
        <v>19260</v>
      </c>
      <c r="G3047" s="14">
        <f t="shared" si="62"/>
        <v>-19260</v>
      </c>
      <c r="H3047" s="1152"/>
    </row>
    <row r="3048" spans="1:8" x14ac:dyDescent="0.25">
      <c r="A3048" s="112">
        <v>45156</v>
      </c>
      <c r="B3048" s="21" t="s">
        <v>10468</v>
      </c>
      <c r="C3048" s="13" t="s">
        <v>166</v>
      </c>
      <c r="D3048" s="765"/>
      <c r="E3048" s="22"/>
      <c r="F3048" s="19">
        <v>34640</v>
      </c>
      <c r="G3048" s="14">
        <f t="shared" si="62"/>
        <v>-34640</v>
      </c>
      <c r="H3048" s="1152"/>
    </row>
    <row r="3049" spans="1:8" x14ac:dyDescent="0.25">
      <c r="A3049" s="112">
        <v>45156</v>
      </c>
      <c r="B3049" s="982" t="s">
        <v>10376</v>
      </c>
      <c r="C3049" s="13" t="s">
        <v>166</v>
      </c>
      <c r="D3049" s="765"/>
      <c r="E3049" s="22"/>
      <c r="F3049" s="19">
        <v>58755</v>
      </c>
      <c r="G3049" s="14">
        <f t="shared" si="62"/>
        <v>-58755</v>
      </c>
      <c r="H3049" s="1153"/>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25" t="s">
        <v>10845</v>
      </c>
    </row>
    <row r="3065" spans="1:8" x14ac:dyDescent="0.25">
      <c r="A3065" s="112">
        <v>45161</v>
      </c>
      <c r="B3065" s="982" t="s">
        <v>10293</v>
      </c>
      <c r="C3065" s="139" t="s">
        <v>8391</v>
      </c>
      <c r="D3065" s="983"/>
      <c r="E3065" s="782"/>
      <c r="F3065" s="141">
        <v>112135</v>
      </c>
      <c r="G3065" s="783">
        <f t="shared" si="62"/>
        <v>-112135</v>
      </c>
      <c r="H3065" s="1126"/>
    </row>
    <row r="3066" spans="1:8" x14ac:dyDescent="0.25">
      <c r="A3066" s="112">
        <v>45161</v>
      </c>
      <c r="B3066" s="21" t="s">
        <v>9353</v>
      </c>
      <c r="C3066" s="139" t="s">
        <v>8391</v>
      </c>
      <c r="D3066" s="983"/>
      <c r="E3066" s="782"/>
      <c r="F3066" s="141">
        <v>22065</v>
      </c>
      <c r="G3066" s="783">
        <f t="shared" si="62"/>
        <v>-22065</v>
      </c>
      <c r="H3066" s="1126"/>
    </row>
    <row r="3067" spans="1:8" x14ac:dyDescent="0.25">
      <c r="A3067" s="112">
        <v>45161</v>
      </c>
      <c r="B3067" s="982" t="s">
        <v>10148</v>
      </c>
      <c r="C3067" s="139" t="s">
        <v>8391</v>
      </c>
      <c r="D3067" s="983"/>
      <c r="E3067" s="782"/>
      <c r="F3067" s="141">
        <v>300000</v>
      </c>
      <c r="G3067" s="783">
        <f t="shared" si="62"/>
        <v>-300000</v>
      </c>
      <c r="H3067" s="1126"/>
    </row>
    <row r="3068" spans="1:8" x14ac:dyDescent="0.25">
      <c r="A3068" s="112">
        <v>45161</v>
      </c>
      <c r="B3068" s="982" t="s">
        <v>10376</v>
      </c>
      <c r="C3068" s="139" t="s">
        <v>8391</v>
      </c>
      <c r="D3068" s="983"/>
      <c r="E3068" s="782"/>
      <c r="F3068" s="141">
        <v>200000</v>
      </c>
      <c r="G3068" s="783">
        <f t="shared" si="62"/>
        <v>-200000</v>
      </c>
      <c r="H3068" s="1126"/>
    </row>
    <row r="3069" spans="1:8" ht="16.5" thickBot="1" x14ac:dyDescent="0.3">
      <c r="A3069" s="112">
        <v>45161</v>
      </c>
      <c r="B3069" s="982" t="s">
        <v>10229</v>
      </c>
      <c r="C3069" s="985" t="s">
        <v>8391</v>
      </c>
      <c r="D3069" s="983"/>
      <c r="E3069" s="782"/>
      <c r="F3069" s="785">
        <v>337781</v>
      </c>
      <c r="G3069" s="783">
        <f t="shared" si="62"/>
        <v>-337781</v>
      </c>
      <c r="H3069" s="1127"/>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148" t="s">
        <v>10853</v>
      </c>
    </row>
    <row r="3079" spans="1:8" x14ac:dyDescent="0.25">
      <c r="A3079" s="112">
        <v>45164</v>
      </c>
      <c r="B3079" s="21" t="s">
        <v>9964</v>
      </c>
      <c r="C3079" s="13" t="s">
        <v>169</v>
      </c>
      <c r="D3079" s="765"/>
      <c r="E3079" s="782"/>
      <c r="F3079" s="141">
        <v>23382</v>
      </c>
      <c r="G3079" s="783">
        <f t="shared" si="62"/>
        <v>-23382</v>
      </c>
      <c r="H3079" s="1149"/>
    </row>
    <row r="3080" spans="1:8" x14ac:dyDescent="0.25">
      <c r="A3080" s="112">
        <v>45164</v>
      </c>
      <c r="B3080" s="21" t="s">
        <v>9983</v>
      </c>
      <c r="C3080" s="13" t="s">
        <v>169</v>
      </c>
      <c r="D3080" s="765"/>
      <c r="E3080" s="782"/>
      <c r="F3080" s="141">
        <v>37222</v>
      </c>
      <c r="G3080" s="783">
        <f t="shared" si="62"/>
        <v>-37222</v>
      </c>
      <c r="H3080" s="1149"/>
    </row>
    <row r="3081" spans="1:8" x14ac:dyDescent="0.25">
      <c r="A3081" s="112">
        <v>45164</v>
      </c>
      <c r="B3081" s="21" t="s">
        <v>10293</v>
      </c>
      <c r="C3081" s="13" t="s">
        <v>169</v>
      </c>
      <c r="D3081" s="765"/>
      <c r="E3081" s="782"/>
      <c r="F3081" s="141">
        <v>129892</v>
      </c>
      <c r="G3081" s="783">
        <f t="shared" si="62"/>
        <v>-129892</v>
      </c>
      <c r="H3081" s="1149"/>
    </row>
    <row r="3082" spans="1:8" ht="16.5" thickBot="1" x14ac:dyDescent="0.3">
      <c r="A3082" s="112">
        <v>45164</v>
      </c>
      <c r="B3082" s="21" t="s">
        <v>10568</v>
      </c>
      <c r="C3082" s="13" t="s">
        <v>169</v>
      </c>
      <c r="D3082" s="765"/>
      <c r="E3082" s="782"/>
      <c r="F3082" s="785">
        <v>7300</v>
      </c>
      <c r="G3082" s="783">
        <f t="shared" si="62"/>
        <v>-7300</v>
      </c>
      <c r="H3082" s="1150"/>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136" t="s">
        <v>10873</v>
      </c>
    </row>
    <row r="3085" spans="1:8" x14ac:dyDescent="0.25">
      <c r="A3085" s="112">
        <v>45164</v>
      </c>
      <c r="B3085" s="21" t="s">
        <v>10293</v>
      </c>
      <c r="C3085" s="13" t="s">
        <v>1802</v>
      </c>
      <c r="D3085" s="765"/>
      <c r="E3085" s="782"/>
      <c r="F3085" s="141">
        <v>4870</v>
      </c>
      <c r="G3085" s="783">
        <f t="shared" si="62"/>
        <v>-4870</v>
      </c>
      <c r="H3085" s="1137"/>
    </row>
    <row r="3086" spans="1:8" ht="16.5" thickBot="1" x14ac:dyDescent="0.3">
      <c r="A3086" s="112">
        <v>45164</v>
      </c>
      <c r="B3086" s="21" t="s">
        <v>10899</v>
      </c>
      <c r="C3086" s="13" t="s">
        <v>1802</v>
      </c>
      <c r="D3086" s="765"/>
      <c r="E3086" s="954"/>
      <c r="F3086" s="785">
        <v>75050</v>
      </c>
      <c r="G3086" s="978">
        <f t="shared" si="62"/>
        <v>-75050</v>
      </c>
      <c r="H3086" s="1138"/>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12" t="s">
        <v>10994</v>
      </c>
    </row>
    <row r="3111" spans="1:8" x14ac:dyDescent="0.25">
      <c r="A3111" s="112">
        <v>45174</v>
      </c>
      <c r="B3111" s="21" t="s">
        <v>10568</v>
      </c>
      <c r="C3111" s="13" t="s">
        <v>180</v>
      </c>
      <c r="D3111" s="765"/>
      <c r="E3111" s="22"/>
      <c r="F3111" s="19">
        <v>120960</v>
      </c>
      <c r="G3111" s="14">
        <f t="shared" si="62"/>
        <v>-120960</v>
      </c>
      <c r="H3111" s="1113"/>
    </row>
    <row r="3112" spans="1:8" x14ac:dyDescent="0.25">
      <c r="A3112" s="112">
        <v>45174</v>
      </c>
      <c r="B3112" s="21" t="s">
        <v>10376</v>
      </c>
      <c r="C3112" s="13" t="s">
        <v>180</v>
      </c>
      <c r="D3112" s="765"/>
      <c r="E3112" s="22"/>
      <c r="F3112" s="19">
        <v>4960</v>
      </c>
      <c r="G3112" s="14">
        <f t="shared" si="62"/>
        <v>-4960</v>
      </c>
      <c r="H3112" s="1114"/>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54" t="s">
        <v>11151</v>
      </c>
      <c r="E3152" s="22">
        <v>35941</v>
      </c>
      <c r="F3152" s="19"/>
      <c r="G3152" s="14">
        <f t="shared" si="62"/>
        <v>35941</v>
      </c>
      <c r="H3152" s="13"/>
    </row>
    <row r="3153" spans="1:8" x14ac:dyDescent="0.25">
      <c r="A3153" s="112">
        <v>45190</v>
      </c>
      <c r="B3153" s="21" t="s">
        <v>11063</v>
      </c>
      <c r="C3153" s="13" t="s">
        <v>8391</v>
      </c>
      <c r="D3153" s="1155"/>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54" t="s">
        <v>11153</v>
      </c>
      <c r="E3155" s="22">
        <v>3870</v>
      </c>
      <c r="F3155" s="19"/>
      <c r="G3155" s="14">
        <f t="shared" si="62"/>
        <v>3870</v>
      </c>
      <c r="H3155" s="13"/>
    </row>
    <row r="3156" spans="1:8" x14ac:dyDescent="0.25">
      <c r="A3156" s="112">
        <v>45190</v>
      </c>
      <c r="B3156" s="21" t="s">
        <v>11063</v>
      </c>
      <c r="C3156" s="13" t="s">
        <v>8391</v>
      </c>
      <c r="D3156" s="1155"/>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122" t="s">
        <v>11161</v>
      </c>
    </row>
    <row r="3171" spans="1:8" x14ac:dyDescent="0.25">
      <c r="A3171" s="112">
        <v>45188</v>
      </c>
      <c r="B3171" s="21" t="s">
        <v>9964</v>
      </c>
      <c r="C3171" s="13" t="s">
        <v>164</v>
      </c>
      <c r="D3171" s="765"/>
      <c r="E3171" s="782"/>
      <c r="F3171" s="141">
        <v>1260</v>
      </c>
      <c r="G3171" s="783">
        <f t="shared" ref="G3171:G3272" si="64">E3171-F3171</f>
        <v>-1260</v>
      </c>
      <c r="H3171" s="1123"/>
    </row>
    <row r="3172" spans="1:8" x14ac:dyDescent="0.25">
      <c r="A3172" s="112">
        <v>45188</v>
      </c>
      <c r="B3172" s="21" t="s">
        <v>9983</v>
      </c>
      <c r="C3172" s="13" t="s">
        <v>164</v>
      </c>
      <c r="D3172" s="765"/>
      <c r="E3172" s="782"/>
      <c r="F3172" s="141">
        <v>9626</v>
      </c>
      <c r="G3172" s="783">
        <f t="shared" si="64"/>
        <v>-9626</v>
      </c>
      <c r="H3172" s="1123"/>
    </row>
    <row r="3173" spans="1:8" x14ac:dyDescent="0.25">
      <c r="A3173" s="112">
        <v>45188</v>
      </c>
      <c r="B3173" s="21" t="s">
        <v>10148</v>
      </c>
      <c r="C3173" s="13" t="s">
        <v>164</v>
      </c>
      <c r="D3173" s="765"/>
      <c r="E3173" s="782"/>
      <c r="F3173" s="141">
        <v>6023</v>
      </c>
      <c r="G3173" s="783">
        <f t="shared" si="64"/>
        <v>-6023</v>
      </c>
      <c r="H3173" s="1123"/>
    </row>
    <row r="3174" spans="1:8" x14ac:dyDescent="0.25">
      <c r="A3174" s="112">
        <v>45188</v>
      </c>
      <c r="B3174" s="21" t="s">
        <v>10293</v>
      </c>
      <c r="C3174" s="13" t="s">
        <v>164</v>
      </c>
      <c r="D3174" s="765"/>
      <c r="E3174" s="782"/>
      <c r="F3174" s="141">
        <v>6055</v>
      </c>
      <c r="G3174" s="783">
        <f t="shared" si="64"/>
        <v>-6055</v>
      </c>
      <c r="H3174" s="1123"/>
    </row>
    <row r="3175" spans="1:8" x14ac:dyDescent="0.25">
      <c r="A3175" s="112">
        <v>45188</v>
      </c>
      <c r="B3175" s="21" t="s">
        <v>10468</v>
      </c>
      <c r="C3175" s="13" t="s">
        <v>164</v>
      </c>
      <c r="D3175" s="765"/>
      <c r="E3175" s="782"/>
      <c r="F3175" s="141">
        <v>60002</v>
      </c>
      <c r="G3175" s="783">
        <f t="shared" si="64"/>
        <v>-60002</v>
      </c>
      <c r="H3175" s="1123"/>
    </row>
    <row r="3176" spans="1:8" x14ac:dyDescent="0.25">
      <c r="A3176" s="112">
        <v>45188</v>
      </c>
      <c r="B3176" s="21" t="s">
        <v>10229</v>
      </c>
      <c r="C3176" s="13" t="s">
        <v>164</v>
      </c>
      <c r="D3176" s="765"/>
      <c r="E3176" s="782"/>
      <c r="F3176" s="141">
        <v>9551</v>
      </c>
      <c r="G3176" s="783">
        <f t="shared" si="64"/>
        <v>-9551</v>
      </c>
      <c r="H3176" s="1123"/>
    </row>
    <row r="3177" spans="1:8" x14ac:dyDescent="0.25">
      <c r="A3177" s="112">
        <v>45188</v>
      </c>
      <c r="B3177" s="21" t="s">
        <v>9353</v>
      </c>
      <c r="C3177" s="13" t="s">
        <v>164</v>
      </c>
      <c r="D3177" s="765"/>
      <c r="E3177" s="782"/>
      <c r="F3177" s="141">
        <v>20807</v>
      </c>
      <c r="G3177" s="783">
        <f t="shared" si="64"/>
        <v>-20807</v>
      </c>
      <c r="H3177" s="1123"/>
    </row>
    <row r="3178" spans="1:8" ht="16.5" thickBot="1" x14ac:dyDescent="0.3">
      <c r="A3178" s="112">
        <v>45188</v>
      </c>
      <c r="B3178" s="21" t="s">
        <v>10376</v>
      </c>
      <c r="C3178" s="13" t="s">
        <v>164</v>
      </c>
      <c r="D3178" s="765"/>
      <c r="E3178" s="782"/>
      <c r="F3178" s="785">
        <v>14924</v>
      </c>
      <c r="G3178" s="783">
        <f t="shared" si="64"/>
        <v>-14924</v>
      </c>
      <c r="H3178" s="1124"/>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12" t="s">
        <v>11160</v>
      </c>
    </row>
    <row r="3182" spans="1:8" x14ac:dyDescent="0.25">
      <c r="A3182" s="112">
        <v>45190</v>
      </c>
      <c r="B3182" s="21" t="s">
        <v>10568</v>
      </c>
      <c r="C3182" s="13" t="s">
        <v>169</v>
      </c>
      <c r="D3182" s="765"/>
      <c r="E3182" s="782"/>
      <c r="F3182" s="141">
        <v>100000</v>
      </c>
      <c r="G3182" s="783">
        <f t="shared" si="64"/>
        <v>-100000</v>
      </c>
      <c r="H3182" s="1113"/>
    </row>
    <row r="3183" spans="1:8" ht="16.5" thickBot="1" x14ac:dyDescent="0.3">
      <c r="A3183" s="112">
        <v>45190</v>
      </c>
      <c r="B3183" s="21" t="s">
        <v>9353</v>
      </c>
      <c r="C3183" s="13" t="s">
        <v>169</v>
      </c>
      <c r="D3183" s="765"/>
      <c r="E3183" s="782"/>
      <c r="F3183" s="785">
        <v>300000</v>
      </c>
      <c r="G3183" s="783">
        <f t="shared" si="64"/>
        <v>-300000</v>
      </c>
      <c r="H3183" s="1114"/>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12" t="s">
        <v>11212</v>
      </c>
    </row>
    <row r="3191" spans="1:8" x14ac:dyDescent="0.25">
      <c r="A3191" s="112">
        <v>45195</v>
      </c>
      <c r="B3191" s="21" t="s">
        <v>10568</v>
      </c>
      <c r="C3191" s="13" t="s">
        <v>8391</v>
      </c>
      <c r="D3191" s="765"/>
      <c r="E3191" s="782"/>
      <c r="F3191" s="151">
        <v>11574</v>
      </c>
      <c r="G3191" s="783">
        <f t="shared" si="64"/>
        <v>-11574</v>
      </c>
      <c r="H3191" s="1113"/>
    </row>
    <row r="3192" spans="1:8" x14ac:dyDescent="0.25">
      <c r="A3192" s="112">
        <v>45195</v>
      </c>
      <c r="B3192" s="21" t="s">
        <v>9353</v>
      </c>
      <c r="C3192" s="13" t="s">
        <v>8391</v>
      </c>
      <c r="D3192" s="765"/>
      <c r="E3192" s="782"/>
      <c r="F3192" s="151">
        <v>120076</v>
      </c>
      <c r="G3192" s="783">
        <f t="shared" si="64"/>
        <v>-120076</v>
      </c>
      <c r="H3192" s="1113"/>
    </row>
    <row r="3193" spans="1:8" x14ac:dyDescent="0.25">
      <c r="A3193" s="112">
        <v>45195</v>
      </c>
      <c r="B3193" s="21" t="s">
        <v>10376</v>
      </c>
      <c r="C3193" s="13" t="s">
        <v>8391</v>
      </c>
      <c r="D3193" s="765"/>
      <c r="E3193" s="782"/>
      <c r="F3193" s="151">
        <v>209438</v>
      </c>
      <c r="G3193" s="783">
        <f t="shared" si="64"/>
        <v>-209438</v>
      </c>
      <c r="H3193" s="1113"/>
    </row>
    <row r="3194" spans="1:8" x14ac:dyDescent="0.25">
      <c r="A3194" s="112">
        <v>45195</v>
      </c>
      <c r="B3194" s="21" t="s">
        <v>11063</v>
      </c>
      <c r="C3194" s="13" t="s">
        <v>8391</v>
      </c>
      <c r="D3194" s="765"/>
      <c r="E3194" s="782"/>
      <c r="F3194" s="151">
        <v>203556</v>
      </c>
      <c r="G3194" s="783">
        <f t="shared" si="64"/>
        <v>-203556</v>
      </c>
      <c r="H3194" s="1113"/>
    </row>
    <row r="3195" spans="1:8" ht="16.5" customHeight="1" thickBot="1" x14ac:dyDescent="0.3">
      <c r="A3195" s="112">
        <v>45195</v>
      </c>
      <c r="B3195" s="21" t="s">
        <v>10573</v>
      </c>
      <c r="C3195" s="13" t="s">
        <v>8391</v>
      </c>
      <c r="D3195" s="765"/>
      <c r="E3195" s="782"/>
      <c r="F3195" s="295">
        <v>296860</v>
      </c>
      <c r="G3195" s="783">
        <f t="shared" si="64"/>
        <v>-296860</v>
      </c>
      <c r="H3195" s="1114"/>
    </row>
    <row r="3196" spans="1:8" x14ac:dyDescent="0.25">
      <c r="A3196" s="112">
        <v>45195</v>
      </c>
      <c r="B3196" s="21" t="s">
        <v>10568</v>
      </c>
      <c r="C3196" s="13" t="s">
        <v>7465</v>
      </c>
      <c r="D3196" s="765"/>
      <c r="E3196" s="782"/>
      <c r="F3196" s="784">
        <v>586928</v>
      </c>
      <c r="G3196" s="783">
        <f t="shared" si="64"/>
        <v>-586928</v>
      </c>
      <c r="H3196" s="1115" t="s">
        <v>11201</v>
      </c>
    </row>
    <row r="3197" spans="1:8" x14ac:dyDescent="0.25">
      <c r="A3197" s="112">
        <v>45195</v>
      </c>
      <c r="B3197" s="21" t="s">
        <v>9658</v>
      </c>
      <c r="C3197" s="13" t="s">
        <v>7465</v>
      </c>
      <c r="D3197" s="765"/>
      <c r="E3197" s="782"/>
      <c r="F3197" s="141">
        <v>130436</v>
      </c>
      <c r="G3197" s="783">
        <f t="shared" si="64"/>
        <v>-130436</v>
      </c>
      <c r="H3197" s="1120"/>
    </row>
    <row r="3198" spans="1:8" ht="16.5" thickBot="1" x14ac:dyDescent="0.3">
      <c r="A3198" s="112">
        <v>45195</v>
      </c>
      <c r="B3198" s="21" t="s">
        <v>10293</v>
      </c>
      <c r="C3198" s="13" t="s">
        <v>7465</v>
      </c>
      <c r="D3198" s="765"/>
      <c r="E3198" s="782"/>
      <c r="F3198" s="785">
        <v>82636</v>
      </c>
      <c r="G3198" s="783">
        <f t="shared" si="64"/>
        <v>-82636</v>
      </c>
      <c r="H3198" s="1116"/>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12" t="s">
        <v>11160</v>
      </c>
    </row>
    <row r="3202" spans="1:8" x14ac:dyDescent="0.25">
      <c r="A3202" s="112">
        <v>45195</v>
      </c>
      <c r="B3202" s="21" t="s">
        <v>10148</v>
      </c>
      <c r="C3202" s="13" t="s">
        <v>7465</v>
      </c>
      <c r="D3202" s="765"/>
      <c r="E3202" s="782"/>
      <c r="F3202" s="151">
        <v>228360</v>
      </c>
      <c r="G3202" s="783">
        <f t="shared" si="64"/>
        <v>-228360</v>
      </c>
      <c r="H3202" s="1113"/>
    </row>
    <row r="3203" spans="1:8" x14ac:dyDescent="0.25">
      <c r="A3203" s="112">
        <v>45195</v>
      </c>
      <c r="B3203" s="21" t="s">
        <v>9983</v>
      </c>
      <c r="C3203" s="13" t="s">
        <v>7465</v>
      </c>
      <c r="D3203" s="765"/>
      <c r="E3203" s="782"/>
      <c r="F3203" s="151">
        <v>35755</v>
      </c>
      <c r="G3203" s="783">
        <f t="shared" si="64"/>
        <v>-35755</v>
      </c>
      <c r="H3203" s="1113"/>
    </row>
    <row r="3204" spans="1:8" ht="16.5" thickBot="1" x14ac:dyDescent="0.3">
      <c r="A3204" s="112">
        <v>45195</v>
      </c>
      <c r="B3204" s="21" t="s">
        <v>11063</v>
      </c>
      <c r="C3204" s="13" t="s">
        <v>7465</v>
      </c>
      <c r="D3204" s="765"/>
      <c r="E3204" s="782"/>
      <c r="F3204" s="295">
        <f>500000-F3203-F3202-F3201</f>
        <v>203425</v>
      </c>
      <c r="G3204" s="783">
        <f t="shared" si="64"/>
        <v>-203425</v>
      </c>
      <c r="H3204" s="1114"/>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12" t="s">
        <v>11160</v>
      </c>
    </row>
    <row r="3218" spans="1:8" x14ac:dyDescent="0.25">
      <c r="A3218" s="112">
        <v>45202</v>
      </c>
      <c r="B3218" s="21" t="s">
        <v>8865</v>
      </c>
      <c r="C3218" s="13" t="s">
        <v>168</v>
      </c>
      <c r="D3218" s="765"/>
      <c r="E3218" s="782"/>
      <c r="F3218" s="151">
        <v>227720</v>
      </c>
      <c r="G3218" s="783">
        <f t="shared" si="64"/>
        <v>-227720</v>
      </c>
      <c r="H3218" s="1113"/>
    </row>
    <row r="3219" spans="1:8" x14ac:dyDescent="0.25">
      <c r="A3219" s="112">
        <v>45202</v>
      </c>
      <c r="B3219" s="21" t="s">
        <v>9504</v>
      </c>
      <c r="C3219" s="13" t="s">
        <v>168</v>
      </c>
      <c r="D3219" s="765"/>
      <c r="E3219" s="782"/>
      <c r="F3219" s="151">
        <v>9820</v>
      </c>
      <c r="G3219" s="783">
        <f t="shared" si="64"/>
        <v>-9820</v>
      </c>
      <c r="H3219" s="1113"/>
    </row>
    <row r="3220" spans="1:8" ht="16.5" thickBot="1" x14ac:dyDescent="0.3">
      <c r="A3220" s="112">
        <v>45202</v>
      </c>
      <c r="B3220" s="21" t="s">
        <v>10293</v>
      </c>
      <c r="C3220" s="13" t="s">
        <v>168</v>
      </c>
      <c r="D3220" s="765"/>
      <c r="E3220" s="782"/>
      <c r="F3220" s="295">
        <v>179260</v>
      </c>
      <c r="G3220" s="783">
        <f t="shared" si="64"/>
        <v>-179260</v>
      </c>
      <c r="H3220" s="1114"/>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12" t="s">
        <v>11383</v>
      </c>
    </row>
    <row r="3273" spans="1:8" x14ac:dyDescent="0.25">
      <c r="A3273" s="112">
        <v>45216</v>
      </c>
      <c r="B3273" s="21" t="s">
        <v>9353</v>
      </c>
      <c r="C3273" s="13" t="s">
        <v>8391</v>
      </c>
      <c r="D3273" s="765"/>
      <c r="E3273" s="22"/>
      <c r="F3273" s="19">
        <v>3763</v>
      </c>
      <c r="G3273" s="14">
        <f t="shared" ref="G3273:G3369" si="65">E3273-F3273</f>
        <v>-3763</v>
      </c>
      <c r="H3273" s="1113"/>
    </row>
    <row r="3274" spans="1:8" x14ac:dyDescent="0.25">
      <c r="A3274" s="112">
        <v>45216</v>
      </c>
      <c r="B3274" s="21" t="s">
        <v>10376</v>
      </c>
      <c r="C3274" s="13" t="s">
        <v>8391</v>
      </c>
      <c r="D3274" s="765"/>
      <c r="E3274" s="22"/>
      <c r="F3274" s="19">
        <v>17368</v>
      </c>
      <c r="G3274" s="14">
        <f t="shared" si="65"/>
        <v>-17368</v>
      </c>
      <c r="H3274" s="1113"/>
    </row>
    <row r="3275" spans="1:8" x14ac:dyDescent="0.25">
      <c r="A3275" s="112">
        <v>45216</v>
      </c>
      <c r="B3275" s="21" t="s">
        <v>11063</v>
      </c>
      <c r="C3275" s="13" t="s">
        <v>8391</v>
      </c>
      <c r="D3275" s="765"/>
      <c r="E3275" s="22"/>
      <c r="F3275" s="19">
        <v>194858</v>
      </c>
      <c r="G3275" s="14">
        <f t="shared" si="65"/>
        <v>-194858</v>
      </c>
      <c r="H3275" s="1113"/>
    </row>
    <row r="3276" spans="1:8" x14ac:dyDescent="0.25">
      <c r="A3276" s="112">
        <v>45216</v>
      </c>
      <c r="B3276" s="21" t="s">
        <v>10229</v>
      </c>
      <c r="C3276" s="13" t="s">
        <v>8391</v>
      </c>
      <c r="D3276" s="765"/>
      <c r="E3276" s="22"/>
      <c r="F3276" s="19">
        <v>650000</v>
      </c>
      <c r="G3276" s="14">
        <f t="shared" si="65"/>
        <v>-650000</v>
      </c>
      <c r="H3276" s="1113"/>
    </row>
    <row r="3277" spans="1:8" x14ac:dyDescent="0.25">
      <c r="A3277" s="112">
        <v>45216</v>
      </c>
      <c r="B3277" s="21" t="s">
        <v>10899</v>
      </c>
      <c r="C3277" s="13" t="s">
        <v>8391</v>
      </c>
      <c r="D3277" s="765"/>
      <c r="E3277" s="22"/>
      <c r="F3277" s="19">
        <v>308871</v>
      </c>
      <c r="G3277" s="14">
        <f t="shared" si="65"/>
        <v>-308871</v>
      </c>
      <c r="H3277" s="1113"/>
    </row>
    <row r="3278" spans="1:8" x14ac:dyDescent="0.25">
      <c r="A3278" s="112">
        <v>45216</v>
      </c>
      <c r="B3278" s="21" t="s">
        <v>10573</v>
      </c>
      <c r="C3278" s="13" t="s">
        <v>8391</v>
      </c>
      <c r="D3278" s="765"/>
      <c r="E3278" s="22"/>
      <c r="F3278" s="19">
        <v>250000</v>
      </c>
      <c r="G3278" s="14">
        <f t="shared" si="65"/>
        <v>-250000</v>
      </c>
      <c r="H3278" s="1114"/>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144" t="s">
        <v>11434</v>
      </c>
      <c r="E3290" s="22">
        <v>20103</v>
      </c>
      <c r="F3290" s="19"/>
      <c r="G3290" s="14">
        <f t="shared" si="65"/>
        <v>20103</v>
      </c>
      <c r="H3290" s="13"/>
    </row>
    <row r="3291" spans="1:8" x14ac:dyDescent="0.25">
      <c r="A3291" s="112">
        <v>45220</v>
      </c>
      <c r="B3291" s="21" t="s">
        <v>11187</v>
      </c>
      <c r="C3291" s="13" t="s">
        <v>8391</v>
      </c>
      <c r="D3291" s="1144"/>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15" t="s">
        <v>11565</v>
      </c>
    </row>
    <row r="3328" spans="1:10" ht="16.5" thickBot="1" x14ac:dyDescent="0.3">
      <c r="A3328" s="112">
        <v>45233</v>
      </c>
      <c r="B3328" s="21" t="s">
        <v>11063</v>
      </c>
      <c r="C3328" s="13" t="s">
        <v>7465</v>
      </c>
      <c r="D3328" s="765"/>
      <c r="E3328" s="782"/>
      <c r="F3328" s="785">
        <v>173681</v>
      </c>
      <c r="G3328" s="783">
        <f t="shared" si="65"/>
        <v>-173681</v>
      </c>
      <c r="H3328" s="1116"/>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15" t="s">
        <v>12259</v>
      </c>
    </row>
    <row r="3393" spans="1:8" x14ac:dyDescent="0.25">
      <c r="A3393" s="112">
        <v>45248</v>
      </c>
      <c r="B3393" s="21" t="s">
        <v>11596</v>
      </c>
      <c r="C3393" s="13" t="s">
        <v>168</v>
      </c>
      <c r="D3393" s="765"/>
      <c r="E3393" s="22"/>
      <c r="F3393" s="109">
        <v>250000</v>
      </c>
      <c r="G3393" s="14">
        <f t="shared" si="67"/>
        <v>-250000</v>
      </c>
      <c r="H3393" s="1116"/>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21" t="s">
        <v>12044</v>
      </c>
    </row>
    <row r="3480" spans="1:8" x14ac:dyDescent="0.25">
      <c r="A3480" s="112">
        <v>45286</v>
      </c>
      <c r="B3480" s="21" t="s">
        <v>10148</v>
      </c>
      <c r="C3480" s="13" t="s">
        <v>166</v>
      </c>
      <c r="D3480" s="765"/>
      <c r="E3480" s="782"/>
      <c r="F3480" s="141">
        <v>21340</v>
      </c>
      <c r="G3480" s="783">
        <f t="shared" si="68"/>
        <v>-21340</v>
      </c>
      <c r="H3480" s="1121"/>
    </row>
    <row r="3481" spans="1:8" x14ac:dyDescent="0.25">
      <c r="A3481" s="112">
        <v>45286</v>
      </c>
      <c r="B3481" s="21" t="s">
        <v>10468</v>
      </c>
      <c r="C3481" s="13" t="s">
        <v>166</v>
      </c>
      <c r="D3481" s="765"/>
      <c r="E3481" s="782"/>
      <c r="F3481" s="141">
        <v>140985</v>
      </c>
      <c r="G3481" s="783">
        <f t="shared" si="68"/>
        <v>-140985</v>
      </c>
      <c r="H3481" s="1121"/>
    </row>
    <row r="3482" spans="1:8" x14ac:dyDescent="0.25">
      <c r="A3482" s="112">
        <v>45286</v>
      </c>
      <c r="B3482" s="21" t="s">
        <v>10229</v>
      </c>
      <c r="C3482" s="13" t="s">
        <v>166</v>
      </c>
      <c r="D3482" s="765"/>
      <c r="E3482" s="782"/>
      <c r="F3482" s="141">
        <v>15980</v>
      </c>
      <c r="G3482" s="783">
        <f t="shared" si="68"/>
        <v>-15980</v>
      </c>
      <c r="H3482" s="1121"/>
    </row>
    <row r="3483" spans="1:8" x14ac:dyDescent="0.25">
      <c r="A3483" s="112">
        <v>45286</v>
      </c>
      <c r="B3483" s="21" t="s">
        <v>10568</v>
      </c>
      <c r="C3483" s="13" t="s">
        <v>166</v>
      </c>
      <c r="D3483" s="765"/>
      <c r="E3483" s="782"/>
      <c r="F3483" s="141">
        <v>45000</v>
      </c>
      <c r="G3483" s="783">
        <f t="shared" si="68"/>
        <v>-45000</v>
      </c>
      <c r="H3483" s="1121"/>
    </row>
    <row r="3484" spans="1:8" x14ac:dyDescent="0.25">
      <c r="A3484" s="112">
        <v>45286</v>
      </c>
      <c r="B3484" s="21" t="s">
        <v>10376</v>
      </c>
      <c r="C3484" s="13" t="s">
        <v>166</v>
      </c>
      <c r="D3484" s="765"/>
      <c r="E3484" s="782"/>
      <c r="F3484" s="141">
        <v>114255</v>
      </c>
      <c r="G3484" s="783">
        <f t="shared" si="68"/>
        <v>-114255</v>
      </c>
      <c r="H3484" s="1121"/>
    </row>
    <row r="3485" spans="1:8" x14ac:dyDescent="0.25">
      <c r="A3485" s="112">
        <v>45286</v>
      </c>
      <c r="B3485" s="21" t="s">
        <v>10899</v>
      </c>
      <c r="C3485" s="13" t="s">
        <v>166</v>
      </c>
      <c r="D3485" s="765"/>
      <c r="E3485" s="782"/>
      <c r="F3485" s="141">
        <v>83530</v>
      </c>
      <c r="G3485" s="783">
        <f t="shared" si="68"/>
        <v>-83530</v>
      </c>
      <c r="H3485" s="1121"/>
    </row>
    <row r="3486" spans="1:8" x14ac:dyDescent="0.25">
      <c r="A3486" s="112">
        <v>45286</v>
      </c>
      <c r="B3486" s="21" t="s">
        <v>10995</v>
      </c>
      <c r="C3486" s="13" t="s">
        <v>166</v>
      </c>
      <c r="D3486" s="765"/>
      <c r="E3486" s="782"/>
      <c r="F3486" s="141">
        <v>65500</v>
      </c>
      <c r="G3486" s="783">
        <f t="shared" si="68"/>
        <v>-65500</v>
      </c>
      <c r="H3486" s="1121"/>
    </row>
    <row r="3487" spans="1:8" x14ac:dyDescent="0.25">
      <c r="A3487" s="112">
        <v>45286</v>
      </c>
      <c r="B3487" s="21" t="s">
        <v>11433</v>
      </c>
      <c r="C3487" s="13" t="s">
        <v>166</v>
      </c>
      <c r="D3487" s="765"/>
      <c r="E3487" s="782"/>
      <c r="F3487" s="141">
        <v>250855</v>
      </c>
      <c r="G3487" s="783">
        <f t="shared" si="68"/>
        <v>-250855</v>
      </c>
      <c r="H3487" s="1121"/>
    </row>
    <row r="3488" spans="1:8" x14ac:dyDescent="0.25">
      <c r="A3488" s="112">
        <v>45286</v>
      </c>
      <c r="B3488" s="21" t="s">
        <v>11596</v>
      </c>
      <c r="C3488" s="13" t="s">
        <v>166</v>
      </c>
      <c r="D3488" s="765"/>
      <c r="E3488" s="782"/>
      <c r="F3488" s="141">
        <v>41135</v>
      </c>
      <c r="G3488" s="783">
        <f t="shared" si="68"/>
        <v>-41135</v>
      </c>
      <c r="H3488" s="1121"/>
    </row>
    <row r="3489" spans="1:8" x14ac:dyDescent="0.25">
      <c r="A3489" s="112">
        <v>45286</v>
      </c>
      <c r="B3489" s="21" t="s">
        <v>10899</v>
      </c>
      <c r="C3489" s="13" t="s">
        <v>166</v>
      </c>
      <c r="D3489" s="765"/>
      <c r="E3489" s="782"/>
      <c r="F3489" s="146">
        <v>103490</v>
      </c>
      <c r="G3489" s="783">
        <f t="shared" si="68"/>
        <v>-103490</v>
      </c>
      <c r="H3489" s="1121"/>
    </row>
    <row r="3490" spans="1:8" x14ac:dyDescent="0.25">
      <c r="A3490" s="112">
        <v>45286</v>
      </c>
      <c r="B3490" s="21" t="s">
        <v>11874</v>
      </c>
      <c r="C3490" s="13" t="s">
        <v>166</v>
      </c>
      <c r="D3490" s="765"/>
      <c r="E3490" s="782"/>
      <c r="F3490" s="146">
        <v>56000</v>
      </c>
      <c r="G3490" s="783">
        <f t="shared" si="68"/>
        <v>-56000</v>
      </c>
      <c r="H3490" s="1121"/>
    </row>
    <row r="3491" spans="1:8" ht="16.5" thickBot="1" x14ac:dyDescent="0.3">
      <c r="A3491" s="112">
        <v>45286</v>
      </c>
      <c r="B3491" s="21" t="s">
        <v>12182</v>
      </c>
      <c r="C3491" s="13" t="s">
        <v>166</v>
      </c>
      <c r="D3491" s="765"/>
      <c r="E3491" s="782"/>
      <c r="F3491" s="785">
        <v>45650</v>
      </c>
      <c r="G3491" s="783">
        <f t="shared" si="68"/>
        <v>-45650</v>
      </c>
      <c r="H3491" s="1121"/>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15" t="s">
        <v>13035</v>
      </c>
    </row>
    <row r="3498" spans="1:8" x14ac:dyDescent="0.25">
      <c r="A3498" s="112">
        <v>45287</v>
      </c>
      <c r="B3498" s="21" t="s">
        <v>6407</v>
      </c>
      <c r="C3498" s="13" t="s">
        <v>1802</v>
      </c>
      <c r="D3498" s="765"/>
      <c r="E3498" s="782"/>
      <c r="F3498" s="141">
        <v>80843</v>
      </c>
      <c r="G3498" s="783">
        <f t="shared" si="68"/>
        <v>-80843</v>
      </c>
      <c r="H3498" s="1120"/>
    </row>
    <row r="3499" spans="1:8" x14ac:dyDescent="0.25">
      <c r="A3499" s="112">
        <v>45287</v>
      </c>
      <c r="B3499" s="21" t="s">
        <v>6506</v>
      </c>
      <c r="C3499" s="13" t="s">
        <v>1802</v>
      </c>
      <c r="D3499" s="765"/>
      <c r="E3499" s="782"/>
      <c r="F3499" s="141">
        <v>4245</v>
      </c>
      <c r="G3499" s="783">
        <f t="shared" si="68"/>
        <v>-4245</v>
      </c>
      <c r="H3499" s="1120"/>
    </row>
    <row r="3500" spans="1:8" ht="16.5" thickBot="1" x14ac:dyDescent="0.3">
      <c r="A3500" s="112">
        <v>45287</v>
      </c>
      <c r="B3500" s="21" t="s">
        <v>10293</v>
      </c>
      <c r="C3500" s="13" t="s">
        <v>1802</v>
      </c>
      <c r="D3500" s="765"/>
      <c r="E3500" s="782"/>
      <c r="F3500" s="785">
        <v>5367</v>
      </c>
      <c r="G3500" s="783">
        <f t="shared" si="68"/>
        <v>-5367</v>
      </c>
      <c r="H3500" s="1116"/>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17" t="s">
        <v>11980</v>
      </c>
    </row>
    <row r="3512" spans="1:8" x14ac:dyDescent="0.25">
      <c r="A3512" s="112">
        <v>45294</v>
      </c>
      <c r="B3512" s="21" t="s">
        <v>10376</v>
      </c>
      <c r="C3512" s="13" t="s">
        <v>5680</v>
      </c>
      <c r="D3512" s="765"/>
      <c r="E3512" s="22"/>
      <c r="F3512" s="19">
        <v>190000</v>
      </c>
      <c r="G3512" s="14">
        <f t="shared" si="68"/>
        <v>-190000</v>
      </c>
      <c r="H3512" s="1119"/>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15" t="s">
        <v>12113</v>
      </c>
    </row>
    <row r="3518" spans="1:8" x14ac:dyDescent="0.25">
      <c r="A3518" s="112">
        <v>45295</v>
      </c>
      <c r="B3518" s="21" t="s">
        <v>11433</v>
      </c>
      <c r="C3518" s="13" t="s">
        <v>8391</v>
      </c>
      <c r="D3518" s="765"/>
      <c r="E3518" s="22"/>
      <c r="F3518" s="19">
        <v>250000</v>
      </c>
      <c r="G3518" s="14">
        <f t="shared" si="68"/>
        <v>-250000</v>
      </c>
      <c r="H3518" s="1120"/>
    </row>
    <row r="3519" spans="1:8" x14ac:dyDescent="0.25">
      <c r="A3519" s="112">
        <v>45295</v>
      </c>
      <c r="B3519" s="21" t="s">
        <v>11596</v>
      </c>
      <c r="C3519" s="13" t="s">
        <v>8391</v>
      </c>
      <c r="D3519" s="765"/>
      <c r="E3519" s="22"/>
      <c r="F3519" s="19">
        <v>500000</v>
      </c>
      <c r="G3519" s="14">
        <f t="shared" si="68"/>
        <v>-500000</v>
      </c>
      <c r="H3519" s="1116"/>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12" t="s">
        <v>12286</v>
      </c>
    </row>
    <row r="3528" spans="1:8" x14ac:dyDescent="0.25">
      <c r="A3528" s="112">
        <v>45300</v>
      </c>
      <c r="B3528" s="21" t="s">
        <v>10229</v>
      </c>
      <c r="C3528" s="13" t="s">
        <v>8391</v>
      </c>
      <c r="D3528" s="765"/>
      <c r="E3528" s="22"/>
      <c r="F3528" s="19">
        <v>10470</v>
      </c>
      <c r="G3528" s="14">
        <f t="shared" si="69"/>
        <v>-10470</v>
      </c>
      <c r="H3528" s="1113"/>
    </row>
    <row r="3529" spans="1:8" x14ac:dyDescent="0.25">
      <c r="A3529" s="112">
        <v>45300</v>
      </c>
      <c r="B3529" s="21" t="s">
        <v>10573</v>
      </c>
      <c r="C3529" s="13" t="s">
        <v>8391</v>
      </c>
      <c r="D3529" s="765"/>
      <c r="E3529" s="22"/>
      <c r="F3529" s="19">
        <v>1347</v>
      </c>
      <c r="G3529" s="14">
        <f t="shared" si="69"/>
        <v>-1347</v>
      </c>
      <c r="H3529" s="1113"/>
    </row>
    <row r="3530" spans="1:8" x14ac:dyDescent="0.25">
      <c r="A3530" s="112">
        <v>45300</v>
      </c>
      <c r="B3530" s="21" t="s">
        <v>10899</v>
      </c>
      <c r="C3530" s="13" t="s">
        <v>8391</v>
      </c>
      <c r="D3530" s="765"/>
      <c r="E3530" s="22"/>
      <c r="F3530" s="19">
        <v>187415</v>
      </c>
      <c r="G3530" s="14">
        <f t="shared" si="69"/>
        <v>-187415</v>
      </c>
      <c r="H3530" s="1113"/>
    </row>
    <row r="3531" spans="1:8" x14ac:dyDescent="0.25">
      <c r="A3531" s="112">
        <v>45300</v>
      </c>
      <c r="B3531" s="21" t="s">
        <v>10995</v>
      </c>
      <c r="C3531" s="13" t="s">
        <v>8391</v>
      </c>
      <c r="D3531" s="765"/>
      <c r="E3531" s="22"/>
      <c r="F3531" s="19">
        <v>4390</v>
      </c>
      <c r="G3531" s="14">
        <f t="shared" si="69"/>
        <v>-4390</v>
      </c>
      <c r="H3531" s="1113"/>
    </row>
    <row r="3532" spans="1:8" x14ac:dyDescent="0.25">
      <c r="A3532" s="112">
        <v>45300</v>
      </c>
      <c r="B3532" s="21" t="s">
        <v>11063</v>
      </c>
      <c r="C3532" s="13" t="s">
        <v>8391</v>
      </c>
      <c r="D3532" s="765"/>
      <c r="E3532" s="22"/>
      <c r="F3532" s="19">
        <v>75122</v>
      </c>
      <c r="G3532" s="14">
        <f t="shared" si="69"/>
        <v>-75122</v>
      </c>
      <c r="H3532" s="1113"/>
    </row>
    <row r="3533" spans="1:8" x14ac:dyDescent="0.25">
      <c r="A3533" s="112">
        <v>45300</v>
      </c>
      <c r="B3533" s="21" t="s">
        <v>11433</v>
      </c>
      <c r="C3533" s="13" t="s">
        <v>8391</v>
      </c>
      <c r="D3533" s="765"/>
      <c r="E3533" s="22"/>
      <c r="F3533" s="19">
        <v>130168</v>
      </c>
      <c r="G3533" s="14">
        <f t="shared" si="69"/>
        <v>-130168</v>
      </c>
      <c r="H3533" s="1113"/>
    </row>
    <row r="3534" spans="1:8" x14ac:dyDescent="0.25">
      <c r="A3534" s="112">
        <v>45300</v>
      </c>
      <c r="B3534" s="21" t="s">
        <v>11259</v>
      </c>
      <c r="C3534" s="13" t="s">
        <v>8391</v>
      </c>
      <c r="D3534" s="765"/>
      <c r="E3534" s="22"/>
      <c r="F3534" s="19">
        <v>13416</v>
      </c>
      <c r="G3534" s="14">
        <f t="shared" si="69"/>
        <v>-13416</v>
      </c>
      <c r="H3534" s="1113"/>
    </row>
    <row r="3535" spans="1:8" x14ac:dyDescent="0.25">
      <c r="A3535" s="112">
        <v>45300</v>
      </c>
      <c r="B3535" s="21" t="s">
        <v>11695</v>
      </c>
      <c r="C3535" s="13" t="s">
        <v>8391</v>
      </c>
      <c r="D3535" s="765"/>
      <c r="E3535" s="22"/>
      <c r="F3535" s="19">
        <v>56173</v>
      </c>
      <c r="G3535" s="14">
        <f t="shared" si="69"/>
        <v>-56173</v>
      </c>
      <c r="H3535" s="1113"/>
    </row>
    <row r="3536" spans="1:8" x14ac:dyDescent="0.25">
      <c r="A3536" s="112">
        <v>45300</v>
      </c>
      <c r="B3536" s="21" t="s">
        <v>11498</v>
      </c>
      <c r="C3536" s="13" t="s">
        <v>8391</v>
      </c>
      <c r="D3536" s="765"/>
      <c r="E3536" s="22"/>
      <c r="F3536" s="19">
        <v>73043</v>
      </c>
      <c r="G3536" s="14">
        <f t="shared" si="69"/>
        <v>-73043</v>
      </c>
      <c r="H3536" s="1113"/>
    </row>
    <row r="3537" spans="1:8" x14ac:dyDescent="0.25">
      <c r="A3537" s="112">
        <v>45300</v>
      </c>
      <c r="B3537" s="21" t="s">
        <v>11596</v>
      </c>
      <c r="C3537" s="13" t="s">
        <v>8391</v>
      </c>
      <c r="D3537" s="765"/>
      <c r="E3537" s="22"/>
      <c r="F3537" s="19">
        <v>322676</v>
      </c>
      <c r="G3537" s="14">
        <f t="shared" si="69"/>
        <v>-322676</v>
      </c>
      <c r="H3537" s="1114"/>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15" t="s">
        <v>12258</v>
      </c>
    </row>
    <row r="3543" spans="1:8" x14ac:dyDescent="0.25">
      <c r="A3543" s="112">
        <v>45303</v>
      </c>
      <c r="B3543" s="21" t="s">
        <v>10293</v>
      </c>
      <c r="C3543" s="13" t="s">
        <v>168</v>
      </c>
      <c r="D3543" s="765"/>
      <c r="E3543" s="782"/>
      <c r="F3543" s="141">
        <v>8740</v>
      </c>
      <c r="G3543" s="783">
        <f t="shared" si="69"/>
        <v>-8740</v>
      </c>
      <c r="H3543" s="1120"/>
    </row>
    <row r="3544" spans="1:8" x14ac:dyDescent="0.25">
      <c r="A3544" s="112">
        <v>45303</v>
      </c>
      <c r="B3544" s="21" t="s">
        <v>10568</v>
      </c>
      <c r="C3544" s="13" t="s">
        <v>168</v>
      </c>
      <c r="D3544" s="765"/>
      <c r="E3544" s="782"/>
      <c r="F3544" s="141">
        <v>91300</v>
      </c>
      <c r="G3544" s="783">
        <f t="shared" si="69"/>
        <v>-91300</v>
      </c>
      <c r="H3544" s="1120"/>
    </row>
    <row r="3545" spans="1:8" x14ac:dyDescent="0.25">
      <c r="A3545" s="112">
        <v>45303</v>
      </c>
      <c r="B3545" s="21" t="s">
        <v>7805</v>
      </c>
      <c r="C3545" s="13" t="s">
        <v>168</v>
      </c>
      <c r="D3545" s="765"/>
      <c r="E3545" s="782"/>
      <c r="F3545" s="141">
        <v>10980</v>
      </c>
      <c r="G3545" s="783">
        <f t="shared" si="69"/>
        <v>-10980</v>
      </c>
      <c r="H3545" s="1120"/>
    </row>
    <row r="3546" spans="1:8" x14ac:dyDescent="0.25">
      <c r="A3546" s="112">
        <v>45303</v>
      </c>
      <c r="B3546" s="21" t="s">
        <v>10376</v>
      </c>
      <c r="C3546" s="13" t="s">
        <v>168</v>
      </c>
      <c r="D3546" s="765"/>
      <c r="E3546" s="782"/>
      <c r="F3546" s="141">
        <v>206520</v>
      </c>
      <c r="G3546" s="783">
        <f t="shared" si="69"/>
        <v>-206520</v>
      </c>
      <c r="H3546" s="1120"/>
    </row>
    <row r="3547" spans="1:8" x14ac:dyDescent="0.25">
      <c r="A3547" s="112">
        <v>45303</v>
      </c>
      <c r="B3547" s="21" t="s">
        <v>11259</v>
      </c>
      <c r="C3547" s="13" t="s">
        <v>168</v>
      </c>
      <c r="D3547" s="765"/>
      <c r="E3547" s="782"/>
      <c r="F3547" s="141">
        <v>19640</v>
      </c>
      <c r="G3547" s="783">
        <f t="shared" si="69"/>
        <v>-19640</v>
      </c>
      <c r="H3547" s="1120"/>
    </row>
    <row r="3548" spans="1:8" x14ac:dyDescent="0.25">
      <c r="A3548" s="112">
        <v>45303</v>
      </c>
      <c r="B3548" s="21" t="s">
        <v>10468</v>
      </c>
      <c r="C3548" s="13" t="s">
        <v>168</v>
      </c>
      <c r="D3548" s="765"/>
      <c r="E3548" s="782"/>
      <c r="F3548" s="141">
        <v>259118</v>
      </c>
      <c r="G3548" s="783">
        <f t="shared" si="69"/>
        <v>-259118</v>
      </c>
      <c r="H3548" s="1120"/>
    </row>
    <row r="3549" spans="1:8" ht="16.5" thickBot="1" x14ac:dyDescent="0.3">
      <c r="A3549" s="112">
        <v>45303</v>
      </c>
      <c r="B3549" s="21" t="s">
        <v>10573</v>
      </c>
      <c r="C3549" s="13" t="s">
        <v>168</v>
      </c>
      <c r="D3549" s="765"/>
      <c r="E3549" s="782"/>
      <c r="F3549" s="785">
        <v>5165</v>
      </c>
      <c r="G3549" s="783">
        <f t="shared" si="69"/>
        <v>-5165</v>
      </c>
      <c r="H3549" s="1116"/>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12" t="s">
        <v>13031</v>
      </c>
    </row>
    <row r="3564" spans="1:8" x14ac:dyDescent="0.25">
      <c r="A3564" s="112">
        <v>45310</v>
      </c>
      <c r="B3564" s="21" t="s">
        <v>8865</v>
      </c>
      <c r="C3564" s="13" t="s">
        <v>5186</v>
      </c>
      <c r="D3564" s="765"/>
      <c r="E3564" s="22"/>
      <c r="F3564" s="19">
        <v>200000</v>
      </c>
      <c r="G3564" s="14">
        <f t="shared" si="68"/>
        <v>-200000</v>
      </c>
      <c r="H3564" s="1114"/>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128" t="s">
        <v>13024</v>
      </c>
    </row>
    <row r="3610" spans="1:8" x14ac:dyDescent="0.25">
      <c r="A3610" s="112">
        <v>45322</v>
      </c>
      <c r="B3610" s="21" t="s">
        <v>10573</v>
      </c>
      <c r="C3610" s="13" t="s">
        <v>169</v>
      </c>
      <c r="D3610" s="765"/>
      <c r="E3610" s="22"/>
      <c r="F3610" s="19">
        <v>200000</v>
      </c>
      <c r="G3610" s="14">
        <f t="shared" si="70"/>
        <v>-200000</v>
      </c>
      <c r="H3610" s="1129"/>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15" t="s">
        <v>12557</v>
      </c>
    </row>
    <row r="3653" spans="1:8" x14ac:dyDescent="0.25">
      <c r="A3653" s="112">
        <v>45346</v>
      </c>
      <c r="B3653" s="21" t="s">
        <v>10899</v>
      </c>
      <c r="C3653" s="13" t="s">
        <v>180</v>
      </c>
      <c r="D3653" s="765"/>
      <c r="E3653" s="782"/>
      <c r="F3653" s="141">
        <v>164280</v>
      </c>
      <c r="G3653" s="783">
        <f t="shared" si="70"/>
        <v>-164280</v>
      </c>
      <c r="H3653" s="1120"/>
    </row>
    <row r="3654" spans="1:8" x14ac:dyDescent="0.25">
      <c r="A3654" s="112">
        <v>45346</v>
      </c>
      <c r="B3654" s="21" t="s">
        <v>11596</v>
      </c>
      <c r="C3654" s="13" t="s">
        <v>180</v>
      </c>
      <c r="D3654" s="765"/>
      <c r="E3654" s="782"/>
      <c r="F3654" s="141">
        <v>145230</v>
      </c>
      <c r="G3654" s="783">
        <f t="shared" si="70"/>
        <v>-145230</v>
      </c>
      <c r="H3654" s="1120"/>
    </row>
    <row r="3655" spans="1:8" ht="16.5" thickBot="1" x14ac:dyDescent="0.3">
      <c r="A3655" s="112">
        <v>45346</v>
      </c>
      <c r="B3655" s="21" t="s">
        <v>11874</v>
      </c>
      <c r="C3655" s="13" t="s">
        <v>180</v>
      </c>
      <c r="D3655" s="765"/>
      <c r="E3655" s="782"/>
      <c r="F3655" s="785">
        <v>176730</v>
      </c>
      <c r="G3655" s="783">
        <f t="shared" si="70"/>
        <v>-176730</v>
      </c>
      <c r="H3655" s="1116"/>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12" t="s">
        <v>13028</v>
      </c>
    </row>
    <row r="3691" spans="1:8" x14ac:dyDescent="0.25">
      <c r="A3691" s="112">
        <v>45369</v>
      </c>
      <c r="B3691" s="21" t="s">
        <v>12340</v>
      </c>
      <c r="C3691" s="13" t="s">
        <v>8391</v>
      </c>
      <c r="D3691" s="765"/>
      <c r="E3691" s="22"/>
      <c r="F3691" s="19">
        <v>900000</v>
      </c>
      <c r="G3691" s="14">
        <f t="shared" ref="G3691" si="72">E3691-F3691</f>
        <v>-900000</v>
      </c>
      <c r="H3691" s="1114"/>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15" t="s">
        <v>13030</v>
      </c>
    </row>
    <row r="3720" spans="1:8" x14ac:dyDescent="0.25">
      <c r="A3720" s="112">
        <v>45416</v>
      </c>
      <c r="B3720" s="21" t="s">
        <v>8556</v>
      </c>
      <c r="C3720" s="13" t="s">
        <v>8391</v>
      </c>
      <c r="D3720" s="765"/>
      <c r="E3720" s="782"/>
      <c r="F3720" s="141">
        <v>74242</v>
      </c>
      <c r="G3720" s="783">
        <f t="shared" ref="G3720:G3725" si="74">E3720-F3720</f>
        <v>-74242</v>
      </c>
      <c r="H3720" s="1120"/>
    </row>
    <row r="3721" spans="1:8" x14ac:dyDescent="0.25">
      <c r="A3721" s="112">
        <v>45416</v>
      </c>
      <c r="B3721" s="21" t="s">
        <v>10899</v>
      </c>
      <c r="C3721" s="13" t="s">
        <v>8391</v>
      </c>
      <c r="D3721" s="765"/>
      <c r="E3721" s="782"/>
      <c r="F3721" s="141">
        <v>20637</v>
      </c>
      <c r="G3721" s="783">
        <f t="shared" si="74"/>
        <v>-20637</v>
      </c>
      <c r="H3721" s="1120"/>
    </row>
    <row r="3722" spans="1:8" x14ac:dyDescent="0.25">
      <c r="A3722" s="112">
        <v>45416</v>
      </c>
      <c r="B3722" s="21" t="s">
        <v>11695</v>
      </c>
      <c r="C3722" s="13" t="s">
        <v>8391</v>
      </c>
      <c r="D3722" s="765"/>
      <c r="E3722" s="782"/>
      <c r="F3722" s="141">
        <v>6768</v>
      </c>
      <c r="G3722" s="783">
        <f t="shared" si="74"/>
        <v>-6768</v>
      </c>
      <c r="H3722" s="1120"/>
    </row>
    <row r="3723" spans="1:8" x14ac:dyDescent="0.25">
      <c r="A3723" s="112">
        <v>45416</v>
      </c>
      <c r="B3723" s="21" t="s">
        <v>11596</v>
      </c>
      <c r="C3723" s="13" t="s">
        <v>8391</v>
      </c>
      <c r="D3723" s="765"/>
      <c r="E3723" s="782"/>
      <c r="F3723" s="141">
        <v>25632</v>
      </c>
      <c r="G3723" s="783">
        <f t="shared" si="74"/>
        <v>-25632</v>
      </c>
      <c r="H3723" s="1120"/>
    </row>
    <row r="3724" spans="1:8" x14ac:dyDescent="0.25">
      <c r="A3724" s="112">
        <v>45416</v>
      </c>
      <c r="B3724" s="21" t="s">
        <v>12789</v>
      </c>
      <c r="C3724" s="13" t="s">
        <v>8391</v>
      </c>
      <c r="D3724" s="765"/>
      <c r="E3724" s="782"/>
      <c r="F3724" s="141">
        <v>153139</v>
      </c>
      <c r="G3724" s="783">
        <f t="shared" si="74"/>
        <v>-153139</v>
      </c>
      <c r="H3724" s="1120"/>
    </row>
    <row r="3725" spans="1:8" ht="16.5" thickBot="1" x14ac:dyDescent="0.3">
      <c r="A3725" s="112">
        <v>45416</v>
      </c>
      <c r="B3725" s="21" t="s">
        <v>11717</v>
      </c>
      <c r="C3725" s="13" t="s">
        <v>8391</v>
      </c>
      <c r="D3725" s="765"/>
      <c r="E3725" s="782"/>
      <c r="F3725" s="785">
        <v>56962</v>
      </c>
      <c r="G3725" s="783">
        <f t="shared" si="74"/>
        <v>-56962</v>
      </c>
      <c r="H3725" s="1116"/>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12" t="s">
        <v>13026</v>
      </c>
    </row>
    <row r="3729" spans="1:8" x14ac:dyDescent="0.25">
      <c r="A3729" s="112">
        <v>45418</v>
      </c>
      <c r="B3729" s="21" t="s">
        <v>10573</v>
      </c>
      <c r="C3729" s="13" t="s">
        <v>169</v>
      </c>
      <c r="D3729" s="765"/>
      <c r="E3729" s="782"/>
      <c r="F3729" s="141">
        <v>46500</v>
      </c>
      <c r="G3729" s="783">
        <f t="shared" si="73"/>
        <v>-46500</v>
      </c>
      <c r="H3729" s="1113"/>
    </row>
    <row r="3730" spans="1:8" x14ac:dyDescent="0.25">
      <c r="A3730" s="112">
        <v>45418</v>
      </c>
      <c r="B3730" s="21" t="s">
        <v>10899</v>
      </c>
      <c r="C3730" s="13" t="s">
        <v>169</v>
      </c>
      <c r="D3730" s="765"/>
      <c r="E3730" s="782"/>
      <c r="F3730" s="141">
        <v>80500</v>
      </c>
      <c r="G3730" s="783">
        <f t="shared" si="73"/>
        <v>-80500</v>
      </c>
      <c r="H3730" s="1113"/>
    </row>
    <row r="3731" spans="1:8" ht="16.5" thickBot="1" x14ac:dyDescent="0.3">
      <c r="A3731" s="112">
        <v>45418</v>
      </c>
      <c r="B3731" s="21" t="s">
        <v>11874</v>
      </c>
      <c r="C3731" s="13" t="s">
        <v>169</v>
      </c>
      <c r="D3731" s="765"/>
      <c r="E3731" s="782"/>
      <c r="F3731" s="785">
        <v>157650</v>
      </c>
      <c r="G3731" s="783">
        <f t="shared" si="73"/>
        <v>-157650</v>
      </c>
      <c r="H3731" s="1114"/>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15" t="s">
        <v>13296</v>
      </c>
    </row>
    <row r="3754" spans="1:8" x14ac:dyDescent="0.25">
      <c r="A3754" s="112">
        <v>45432</v>
      </c>
      <c r="B3754" s="21" t="s">
        <v>11874</v>
      </c>
      <c r="C3754" s="13" t="s">
        <v>180</v>
      </c>
      <c r="D3754" s="765"/>
      <c r="E3754" s="22"/>
      <c r="F3754" s="19">
        <v>48390</v>
      </c>
      <c r="G3754" s="14">
        <f t="shared" si="73"/>
        <v>-48390</v>
      </c>
      <c r="H3754" s="1120"/>
    </row>
    <row r="3755" spans="1:8" x14ac:dyDescent="0.25">
      <c r="A3755" s="112">
        <v>45432</v>
      </c>
      <c r="B3755" s="21" t="s">
        <v>12182</v>
      </c>
      <c r="C3755" s="13" t="s">
        <v>180</v>
      </c>
      <c r="D3755" s="765"/>
      <c r="E3755" s="22"/>
      <c r="F3755" s="19">
        <v>90710</v>
      </c>
      <c r="G3755" s="14">
        <f t="shared" si="73"/>
        <v>-90710</v>
      </c>
      <c r="H3755" s="1116"/>
    </row>
    <row r="3756" spans="1:8" x14ac:dyDescent="0.25">
      <c r="A3756" s="112">
        <v>45436</v>
      </c>
      <c r="B3756" s="21" t="s">
        <v>9829</v>
      </c>
      <c r="C3756" s="13" t="s">
        <v>166</v>
      </c>
      <c r="D3756" s="765"/>
      <c r="E3756" s="22"/>
      <c r="F3756" s="19">
        <v>90000</v>
      </c>
      <c r="G3756" s="14">
        <f t="shared" si="73"/>
        <v>-90000</v>
      </c>
      <c r="H3756" s="1115" t="s">
        <v>13156</v>
      </c>
    </row>
    <row r="3757" spans="1:8" x14ac:dyDescent="0.25">
      <c r="A3757" s="112">
        <v>45436</v>
      </c>
      <c r="B3757" s="21" t="s">
        <v>11498</v>
      </c>
      <c r="C3757" s="13" t="s">
        <v>166</v>
      </c>
      <c r="D3757" s="765"/>
      <c r="E3757" s="22"/>
      <c r="F3757" s="19">
        <v>10000</v>
      </c>
      <c r="G3757" s="14">
        <f t="shared" si="73"/>
        <v>-10000</v>
      </c>
      <c r="H3757" s="1120"/>
    </row>
    <row r="3758" spans="1:8" x14ac:dyDescent="0.25">
      <c r="A3758" s="112">
        <v>45436</v>
      </c>
      <c r="B3758" s="21" t="s">
        <v>12694</v>
      </c>
      <c r="C3758" s="13" t="s">
        <v>166</v>
      </c>
      <c r="D3758" s="765"/>
      <c r="E3758" s="22"/>
      <c r="F3758" s="19">
        <v>200000</v>
      </c>
      <c r="G3758" s="14">
        <f t="shared" si="73"/>
        <v>-200000</v>
      </c>
      <c r="H3758" s="1116"/>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12" t="s">
        <v>13205</v>
      </c>
    </row>
    <row r="3776" spans="1:8" x14ac:dyDescent="0.25">
      <c r="A3776" s="112">
        <v>45447</v>
      </c>
      <c r="B3776" s="21" t="s">
        <v>13115</v>
      </c>
      <c r="C3776" s="13" t="s">
        <v>5186</v>
      </c>
      <c r="D3776" s="765"/>
      <c r="E3776" s="22"/>
      <c r="F3776" s="19">
        <v>250000</v>
      </c>
      <c r="G3776" s="14">
        <f t="shared" si="73"/>
        <v>-250000</v>
      </c>
      <c r="H3776" s="1114"/>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15" t="s">
        <v>13030</v>
      </c>
    </row>
    <row r="3779" spans="1:8" x14ac:dyDescent="0.25">
      <c r="A3779" s="112">
        <v>45453</v>
      </c>
      <c r="B3779" s="21" t="s">
        <v>11498</v>
      </c>
      <c r="C3779" s="13" t="s">
        <v>8391</v>
      </c>
      <c r="D3779" s="765"/>
      <c r="E3779" s="22"/>
      <c r="F3779" s="19">
        <v>250000</v>
      </c>
      <c r="G3779" s="14">
        <f t="shared" si="73"/>
        <v>-250000</v>
      </c>
      <c r="H3779" s="1116"/>
    </row>
    <row r="3780" spans="1:8" x14ac:dyDescent="0.25">
      <c r="A3780" s="112">
        <v>45453</v>
      </c>
      <c r="B3780" s="21" t="s">
        <v>12182</v>
      </c>
      <c r="C3780" s="13" t="s">
        <v>166</v>
      </c>
      <c r="D3780" s="765" t="s">
        <v>13259</v>
      </c>
      <c r="E3780" s="782">
        <v>20211</v>
      </c>
      <c r="F3780" s="213"/>
      <c r="G3780" s="783">
        <f t="shared" ref="G3780:G3809"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17" t="s">
        <v>13283</v>
      </c>
    </row>
    <row r="3785" spans="1:8" x14ac:dyDescent="0.25">
      <c r="A3785" s="112">
        <v>45456</v>
      </c>
      <c r="B3785" s="21" t="s">
        <v>6503</v>
      </c>
      <c r="C3785" s="13" t="s">
        <v>164</v>
      </c>
      <c r="D3785" s="765"/>
      <c r="E3785" s="22"/>
      <c r="F3785" s="19">
        <v>9034</v>
      </c>
      <c r="G3785" s="783">
        <f t="shared" si="79"/>
        <v>-9034</v>
      </c>
      <c r="H3785" s="1118"/>
    </row>
    <row r="3786" spans="1:8" x14ac:dyDescent="0.25">
      <c r="A3786" s="112">
        <v>45456</v>
      </c>
      <c r="B3786" s="21" t="s">
        <v>8556</v>
      </c>
      <c r="C3786" s="13" t="s">
        <v>164</v>
      </c>
      <c r="D3786" s="765"/>
      <c r="E3786" s="22"/>
      <c r="F3786" s="19">
        <v>5194</v>
      </c>
      <c r="G3786" s="783">
        <f t="shared" si="79"/>
        <v>-5194</v>
      </c>
      <c r="H3786" s="1118"/>
    </row>
    <row r="3787" spans="1:8" x14ac:dyDescent="0.25">
      <c r="A3787" s="112">
        <v>45456</v>
      </c>
      <c r="B3787" s="21" t="s">
        <v>11077</v>
      </c>
      <c r="C3787" s="13" t="s">
        <v>164</v>
      </c>
      <c r="D3787" s="765"/>
      <c r="E3787" s="22"/>
      <c r="F3787" s="19">
        <v>81179</v>
      </c>
      <c r="G3787" s="783">
        <f t="shared" si="79"/>
        <v>-81179</v>
      </c>
      <c r="H3787" s="1118"/>
    </row>
    <row r="3788" spans="1:8" x14ac:dyDescent="0.25">
      <c r="A3788" s="112">
        <v>45456</v>
      </c>
      <c r="B3788" s="21" t="s">
        <v>10229</v>
      </c>
      <c r="C3788" s="13" t="s">
        <v>164</v>
      </c>
      <c r="D3788" s="765"/>
      <c r="E3788" s="22"/>
      <c r="F3788" s="19">
        <v>21030</v>
      </c>
      <c r="G3788" s="783">
        <f t="shared" si="79"/>
        <v>-21030</v>
      </c>
      <c r="H3788" s="1118"/>
    </row>
    <row r="3789" spans="1:8" x14ac:dyDescent="0.25">
      <c r="A3789" s="112">
        <v>45456</v>
      </c>
      <c r="B3789" s="21" t="s">
        <v>10899</v>
      </c>
      <c r="C3789" s="13" t="s">
        <v>164</v>
      </c>
      <c r="D3789" s="765"/>
      <c r="E3789" s="22"/>
      <c r="F3789" s="19">
        <v>5434</v>
      </c>
      <c r="G3789" s="783">
        <f t="shared" si="79"/>
        <v>-5434</v>
      </c>
      <c r="H3789" s="1118"/>
    </row>
    <row r="3790" spans="1:8" x14ac:dyDescent="0.25">
      <c r="A3790" s="112">
        <v>45456</v>
      </c>
      <c r="B3790" s="21" t="s">
        <v>11596</v>
      </c>
      <c r="C3790" s="13" t="s">
        <v>164</v>
      </c>
      <c r="D3790" s="765"/>
      <c r="E3790" s="22"/>
      <c r="F3790" s="19">
        <v>10407</v>
      </c>
      <c r="G3790" s="783">
        <f t="shared" si="79"/>
        <v>-10407</v>
      </c>
      <c r="H3790" s="1118"/>
    </row>
    <row r="3791" spans="1:8" x14ac:dyDescent="0.25">
      <c r="A3791" s="112">
        <v>45456</v>
      </c>
      <c r="B3791" s="21" t="s">
        <v>11498</v>
      </c>
      <c r="C3791" s="13" t="s">
        <v>164</v>
      </c>
      <c r="D3791" s="765"/>
      <c r="E3791" s="22"/>
      <c r="F3791" s="19">
        <v>43136</v>
      </c>
      <c r="G3791" s="783">
        <f t="shared" si="79"/>
        <v>-43136</v>
      </c>
      <c r="H3791" s="1118"/>
    </row>
    <row r="3792" spans="1:8" x14ac:dyDescent="0.25">
      <c r="A3792" s="112">
        <v>45456</v>
      </c>
      <c r="B3792" s="21" t="s">
        <v>12182</v>
      </c>
      <c r="C3792" s="13" t="s">
        <v>164</v>
      </c>
      <c r="D3792" s="765"/>
      <c r="E3792" s="22"/>
      <c r="F3792" s="19">
        <v>2016</v>
      </c>
      <c r="G3792" s="783">
        <f t="shared" si="79"/>
        <v>-2016</v>
      </c>
      <c r="H3792" s="1118"/>
    </row>
    <row r="3793" spans="1:8" x14ac:dyDescent="0.25">
      <c r="A3793" s="112">
        <v>45456</v>
      </c>
      <c r="B3793" s="21" t="s">
        <v>12400</v>
      </c>
      <c r="C3793" s="13" t="s">
        <v>164</v>
      </c>
      <c r="D3793" s="765"/>
      <c r="E3793" s="22"/>
      <c r="F3793" s="19">
        <v>387</v>
      </c>
      <c r="G3793" s="783">
        <f t="shared" si="79"/>
        <v>-387</v>
      </c>
      <c r="H3793" s="1119"/>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45465</v>
      </c>
      <c r="B3797" s="21" t="s">
        <v>12059</v>
      </c>
      <c r="C3797" s="13" t="s">
        <v>13253</v>
      </c>
      <c r="D3797" s="765" t="s">
        <v>13521</v>
      </c>
      <c r="E3797" s="22">
        <v>9200</v>
      </c>
      <c r="F3797" s="19"/>
      <c r="G3797" s="783">
        <f t="shared" si="79"/>
        <v>9200</v>
      </c>
      <c r="H3797" s="13"/>
    </row>
    <row r="3798" spans="1:8" x14ac:dyDescent="0.25">
      <c r="A3798" s="112">
        <v>45469</v>
      </c>
      <c r="B3798" s="21" t="s">
        <v>12400</v>
      </c>
      <c r="C3798" s="13" t="s">
        <v>7240</v>
      </c>
      <c r="D3798" s="765"/>
      <c r="E3798" s="22"/>
      <c r="F3798" s="19">
        <v>500000</v>
      </c>
      <c r="G3798" s="783">
        <f t="shared" si="79"/>
        <v>-500000</v>
      </c>
      <c r="H3798" s="13" t="s">
        <v>13352</v>
      </c>
    </row>
    <row r="3799" spans="1:8" x14ac:dyDescent="0.25">
      <c r="A3799" s="112">
        <v>45469</v>
      </c>
      <c r="B3799" s="21" t="s">
        <v>13115</v>
      </c>
      <c r="C3799" s="13" t="s">
        <v>8391</v>
      </c>
      <c r="D3799" s="765" t="s">
        <v>13414</v>
      </c>
      <c r="E3799" s="22">
        <v>69112</v>
      </c>
      <c r="F3799" s="19"/>
      <c r="G3799" s="14">
        <f>E3799-F3799</f>
        <v>69112</v>
      </c>
      <c r="H3799" s="53"/>
    </row>
    <row r="3800" spans="1:8" x14ac:dyDescent="0.25">
      <c r="A3800" s="112">
        <v>45469</v>
      </c>
      <c r="B3800" s="21" t="s">
        <v>12182</v>
      </c>
      <c r="C3800" s="13" t="s">
        <v>166</v>
      </c>
      <c r="D3800" s="765" t="s">
        <v>13418</v>
      </c>
      <c r="E3800" s="22">
        <v>130000</v>
      </c>
      <c r="F3800" s="19"/>
      <c r="G3800" s="783">
        <f>E3800-F3800</f>
        <v>130000</v>
      </c>
      <c r="H3800" s="53"/>
    </row>
    <row r="3801" spans="1:8" x14ac:dyDescent="0.25">
      <c r="A3801" s="112">
        <v>45469</v>
      </c>
      <c r="B3801" s="21" t="s">
        <v>12059</v>
      </c>
      <c r="C3801" s="13" t="s">
        <v>13253</v>
      </c>
      <c r="D3801" s="765" t="s">
        <v>13522</v>
      </c>
      <c r="E3801" s="22">
        <v>15550</v>
      </c>
      <c r="F3801" s="19"/>
      <c r="G3801" s="783">
        <f>E3801-F3801</f>
        <v>15550</v>
      </c>
      <c r="H3801" s="53"/>
    </row>
    <row r="3802" spans="1:8" x14ac:dyDescent="0.25">
      <c r="A3802" s="112">
        <v>45470</v>
      </c>
      <c r="B3802" s="21" t="s">
        <v>12400</v>
      </c>
      <c r="C3802" s="13" t="s">
        <v>12362</v>
      </c>
      <c r="D3802" s="765" t="s">
        <v>13354</v>
      </c>
      <c r="E3802" s="22">
        <v>40223</v>
      </c>
      <c r="F3802" s="19"/>
      <c r="G3802" s="783">
        <f t="shared" si="79"/>
        <v>40223</v>
      </c>
      <c r="H3802" s="13"/>
    </row>
    <row r="3803" spans="1:8" x14ac:dyDescent="0.25">
      <c r="A3803" s="112">
        <v>45470</v>
      </c>
      <c r="B3803" s="21" t="s">
        <v>13115</v>
      </c>
      <c r="C3803" s="13" t="s">
        <v>12362</v>
      </c>
      <c r="D3803" s="765" t="s">
        <v>13355</v>
      </c>
      <c r="E3803" s="22">
        <v>10403</v>
      </c>
      <c r="F3803" s="19"/>
      <c r="G3803" s="783">
        <f t="shared" si="79"/>
        <v>10403</v>
      </c>
      <c r="H3803" s="13"/>
    </row>
    <row r="3804" spans="1:8" x14ac:dyDescent="0.25">
      <c r="A3804" s="112">
        <v>45470</v>
      </c>
      <c r="B3804" s="21" t="s">
        <v>12059</v>
      </c>
      <c r="C3804" s="13" t="s">
        <v>164</v>
      </c>
      <c r="D3804" s="765" t="s">
        <v>13356</v>
      </c>
      <c r="E3804" s="22">
        <v>70329</v>
      </c>
      <c r="F3804" s="19"/>
      <c r="G3804" s="14">
        <f t="shared" si="79"/>
        <v>70329</v>
      </c>
      <c r="H3804" s="13"/>
    </row>
    <row r="3805" spans="1:8" x14ac:dyDescent="0.25">
      <c r="A3805" s="112">
        <v>45470</v>
      </c>
      <c r="B3805" s="21" t="s">
        <v>11498</v>
      </c>
      <c r="C3805" s="13" t="s">
        <v>8391</v>
      </c>
      <c r="D3805" s="765"/>
      <c r="E3805" s="22"/>
      <c r="F3805" s="19">
        <v>54293</v>
      </c>
      <c r="G3805" s="14">
        <f t="shared" si="79"/>
        <v>-54293</v>
      </c>
      <c r="H3805" s="1115" t="s">
        <v>13360</v>
      </c>
    </row>
    <row r="3806" spans="1:8" x14ac:dyDescent="0.25">
      <c r="A3806" s="112">
        <v>45470</v>
      </c>
      <c r="B3806" s="21" t="s">
        <v>11874</v>
      </c>
      <c r="C3806" s="13" t="s">
        <v>8391</v>
      </c>
      <c r="D3806" s="765"/>
      <c r="E3806" s="22"/>
      <c r="F3806" s="19">
        <v>214017</v>
      </c>
      <c r="G3806" s="14">
        <f t="shared" si="79"/>
        <v>-214017</v>
      </c>
      <c r="H3806" s="1120"/>
    </row>
    <row r="3807" spans="1:8" x14ac:dyDescent="0.25">
      <c r="A3807" s="112">
        <v>45470</v>
      </c>
      <c r="B3807" s="21" t="s">
        <v>12182</v>
      </c>
      <c r="C3807" s="13" t="s">
        <v>8391</v>
      </c>
      <c r="D3807" s="765"/>
      <c r="E3807" s="22"/>
      <c r="F3807" s="19">
        <v>231690</v>
      </c>
      <c r="G3807" s="14">
        <f t="shared" si="79"/>
        <v>-231690</v>
      </c>
      <c r="H3807" s="1116"/>
    </row>
    <row r="3808" spans="1:8" x14ac:dyDescent="0.25">
      <c r="A3808" s="112">
        <v>45472</v>
      </c>
      <c r="B3808" s="21" t="s">
        <v>9353</v>
      </c>
      <c r="C3808" s="13" t="s">
        <v>1062</v>
      </c>
      <c r="D3808" s="765"/>
      <c r="E3808" s="22"/>
      <c r="F3808" s="19">
        <v>100000</v>
      </c>
      <c r="G3808" s="14">
        <f t="shared" si="79"/>
        <v>-100000</v>
      </c>
      <c r="H3808" s="1115" t="s">
        <v>13024</v>
      </c>
    </row>
    <row r="3809" spans="1:8" x14ac:dyDescent="0.25">
      <c r="A3809" s="112">
        <v>45472</v>
      </c>
      <c r="B3809" s="21" t="s">
        <v>12400</v>
      </c>
      <c r="C3809" s="13" t="s">
        <v>1062</v>
      </c>
      <c r="D3809" s="765"/>
      <c r="E3809" s="22"/>
      <c r="F3809" s="19">
        <v>200000</v>
      </c>
      <c r="G3809" s="14">
        <f t="shared" si="79"/>
        <v>-200000</v>
      </c>
      <c r="H3809" s="1116"/>
    </row>
    <row r="3810" spans="1:8" x14ac:dyDescent="0.25">
      <c r="A3810" s="112">
        <v>45472</v>
      </c>
      <c r="B3810" s="21" t="s">
        <v>12182</v>
      </c>
      <c r="C3810" s="13" t="s">
        <v>8391</v>
      </c>
      <c r="D3810" s="765" t="s">
        <v>13415</v>
      </c>
      <c r="E3810" s="22">
        <v>261620</v>
      </c>
      <c r="F3810" s="19"/>
      <c r="G3810" s="14">
        <f t="shared" ref="G3810:G3818" si="81">E3810-F3810</f>
        <v>261620</v>
      </c>
      <c r="H3810" s="53"/>
    </row>
    <row r="3811" spans="1:8" x14ac:dyDescent="0.25">
      <c r="A3811" s="112">
        <v>45472</v>
      </c>
      <c r="B3811" s="21" t="s">
        <v>6503</v>
      </c>
      <c r="C3811" s="13" t="s">
        <v>8391</v>
      </c>
      <c r="D3811" s="765" t="s">
        <v>13416</v>
      </c>
      <c r="E3811" s="22">
        <v>255098</v>
      </c>
      <c r="F3811" s="19"/>
      <c r="G3811" s="14">
        <f t="shared" si="81"/>
        <v>255098</v>
      </c>
      <c r="H3811" s="53"/>
    </row>
    <row r="3812" spans="1:8" x14ac:dyDescent="0.25">
      <c r="A3812" s="112">
        <v>45472</v>
      </c>
      <c r="B3812" s="21" t="s">
        <v>13260</v>
      </c>
      <c r="C3812" s="13" t="s">
        <v>8391</v>
      </c>
      <c r="D3812" s="765" t="s">
        <v>13417</v>
      </c>
      <c r="E3812" s="22">
        <v>195823</v>
      </c>
      <c r="F3812" s="19"/>
      <c r="G3812" s="14">
        <f t="shared" si="81"/>
        <v>195823</v>
      </c>
      <c r="H3812" s="13"/>
    </row>
    <row r="3813" spans="1:8" x14ac:dyDescent="0.25">
      <c r="A3813" s="112">
        <v>45472</v>
      </c>
      <c r="B3813" s="21" t="s">
        <v>9829</v>
      </c>
      <c r="C3813" s="13" t="s">
        <v>12362</v>
      </c>
      <c r="D3813" s="765" t="s">
        <v>13502</v>
      </c>
      <c r="E3813" s="22">
        <v>746304</v>
      </c>
      <c r="F3813" s="19"/>
      <c r="G3813" s="14">
        <f t="shared" si="81"/>
        <v>746304</v>
      </c>
      <c r="H3813" s="13"/>
    </row>
    <row r="3814" spans="1:8" x14ac:dyDescent="0.25">
      <c r="A3814" s="112">
        <v>45475</v>
      </c>
      <c r="B3814" s="21" t="s">
        <v>13115</v>
      </c>
      <c r="C3814" s="13" t="s">
        <v>12015</v>
      </c>
      <c r="D3814" s="765"/>
      <c r="E3814" s="22"/>
      <c r="F3814" s="19">
        <v>500000</v>
      </c>
      <c r="G3814" s="14">
        <f t="shared" si="81"/>
        <v>-500000</v>
      </c>
      <c r="H3814" s="13" t="s">
        <v>13402</v>
      </c>
    </row>
    <row r="3815" spans="1:8" x14ac:dyDescent="0.25">
      <c r="A3815" s="112">
        <v>45477</v>
      </c>
      <c r="B3815" s="21" t="s">
        <v>13444</v>
      </c>
      <c r="C3815" s="13" t="s">
        <v>164</v>
      </c>
      <c r="D3815" s="765" t="s">
        <v>13516</v>
      </c>
      <c r="E3815" s="22">
        <v>28585</v>
      </c>
      <c r="F3815" s="19"/>
      <c r="G3815" s="14">
        <f t="shared" si="81"/>
        <v>28585</v>
      </c>
      <c r="H3815" s="13"/>
    </row>
    <row r="3816" spans="1:8" x14ac:dyDescent="0.25">
      <c r="A3816" s="112">
        <v>45477</v>
      </c>
      <c r="B3816" s="21" t="s">
        <v>9829</v>
      </c>
      <c r="C3816" s="13" t="s">
        <v>166</v>
      </c>
      <c r="D3816" s="765" t="s">
        <v>13520</v>
      </c>
      <c r="E3816" s="22">
        <v>27284</v>
      </c>
      <c r="F3816" s="19"/>
      <c r="G3816" s="14">
        <f t="shared" si="81"/>
        <v>27284</v>
      </c>
      <c r="H3816" s="13"/>
    </row>
    <row r="3817" spans="1:8" x14ac:dyDescent="0.25">
      <c r="A3817" s="112">
        <v>45478</v>
      </c>
      <c r="B3817" s="21" t="s">
        <v>13115</v>
      </c>
      <c r="C3817" s="13" t="s">
        <v>1197</v>
      </c>
      <c r="D3817" s="765"/>
      <c r="E3817" s="22"/>
      <c r="F3817" s="19">
        <v>1000000</v>
      </c>
      <c r="G3817" s="14">
        <f t="shared" si="81"/>
        <v>-1000000</v>
      </c>
      <c r="H3817" s="13" t="s">
        <v>13446</v>
      </c>
    </row>
    <row r="3818" spans="1:8" ht="16.5" thickBot="1" x14ac:dyDescent="0.3">
      <c r="A3818" s="112">
        <v>45478</v>
      </c>
      <c r="B3818" s="21" t="s">
        <v>13230</v>
      </c>
      <c r="C3818" s="13" t="s">
        <v>1197</v>
      </c>
      <c r="D3818" s="765"/>
      <c r="E3818" s="22"/>
      <c r="F3818" s="109">
        <v>500000</v>
      </c>
      <c r="G3818" s="14">
        <f t="shared" si="81"/>
        <v>-500000</v>
      </c>
      <c r="H3818" s="13" t="s">
        <v>13447</v>
      </c>
    </row>
    <row r="3819" spans="1:8" x14ac:dyDescent="0.25">
      <c r="A3819" s="112">
        <v>45478</v>
      </c>
      <c r="B3819" s="21" t="s">
        <v>6503</v>
      </c>
      <c r="C3819" s="13" t="s">
        <v>8391</v>
      </c>
      <c r="D3819" s="765"/>
      <c r="E3819" s="782"/>
      <c r="F3819" s="784">
        <v>255098</v>
      </c>
      <c r="G3819" s="783">
        <f t="shared" ref="G3819:G3830" si="82">E3819-F3819</f>
        <v>-255098</v>
      </c>
      <c r="H3819" s="1112" t="s">
        <v>13448</v>
      </c>
    </row>
    <row r="3820" spans="1:8" x14ac:dyDescent="0.25">
      <c r="A3820" s="112">
        <v>45478</v>
      </c>
      <c r="B3820" s="21" t="s">
        <v>11077</v>
      </c>
      <c r="C3820" s="13" t="s">
        <v>8391</v>
      </c>
      <c r="D3820" s="765"/>
      <c r="E3820" s="782"/>
      <c r="F3820" s="141">
        <v>24451</v>
      </c>
      <c r="G3820" s="783">
        <f t="shared" si="82"/>
        <v>-24451</v>
      </c>
      <c r="H3820" s="1113"/>
    </row>
    <row r="3821" spans="1:8" x14ac:dyDescent="0.25">
      <c r="A3821" s="112">
        <v>45478</v>
      </c>
      <c r="B3821" s="21" t="s">
        <v>11498</v>
      </c>
      <c r="C3821" s="13" t="s">
        <v>8391</v>
      </c>
      <c r="D3821" s="765"/>
      <c r="E3821" s="782"/>
      <c r="F3821" s="141">
        <v>37853</v>
      </c>
      <c r="G3821" s="783">
        <f t="shared" si="82"/>
        <v>-37853</v>
      </c>
      <c r="H3821" s="1113"/>
    </row>
    <row r="3822" spans="1:8" x14ac:dyDescent="0.25">
      <c r="A3822" s="112">
        <v>45478</v>
      </c>
      <c r="B3822" s="21" t="s">
        <v>12182</v>
      </c>
      <c r="C3822" s="13" t="s">
        <v>8391</v>
      </c>
      <c r="D3822" s="765"/>
      <c r="E3822" s="782"/>
      <c r="F3822" s="141">
        <v>261620</v>
      </c>
      <c r="G3822" s="783">
        <f t="shared" si="82"/>
        <v>-261620</v>
      </c>
      <c r="H3822" s="1113"/>
    </row>
    <row r="3823" spans="1:8" x14ac:dyDescent="0.25">
      <c r="A3823" s="112">
        <v>45478</v>
      </c>
      <c r="B3823" s="21" t="s">
        <v>13115</v>
      </c>
      <c r="C3823" s="13" t="s">
        <v>8391</v>
      </c>
      <c r="D3823" s="765"/>
      <c r="E3823" s="782"/>
      <c r="F3823" s="141">
        <v>69112</v>
      </c>
      <c r="G3823" s="783">
        <f t="shared" si="82"/>
        <v>-69112</v>
      </c>
      <c r="H3823" s="1113"/>
    </row>
    <row r="3824" spans="1:8" x14ac:dyDescent="0.25">
      <c r="A3824" s="112">
        <v>45478</v>
      </c>
      <c r="B3824" s="21" t="s">
        <v>13260</v>
      </c>
      <c r="C3824" s="13" t="s">
        <v>8391</v>
      </c>
      <c r="D3824" s="765"/>
      <c r="E3824" s="782"/>
      <c r="F3824" s="141">
        <v>195823</v>
      </c>
      <c r="G3824" s="783">
        <f t="shared" si="82"/>
        <v>-195823</v>
      </c>
      <c r="H3824" s="1113"/>
    </row>
    <row r="3825" spans="1:8" ht="16.5" thickBot="1" x14ac:dyDescent="0.3">
      <c r="A3825" s="112">
        <v>45478</v>
      </c>
      <c r="B3825" s="40" t="s">
        <v>13115</v>
      </c>
      <c r="C3825" s="13" t="s">
        <v>8391</v>
      </c>
      <c r="D3825" s="765"/>
      <c r="E3825" s="782"/>
      <c r="F3825" s="785">
        <v>331043</v>
      </c>
      <c r="G3825" s="783">
        <f t="shared" si="82"/>
        <v>-331043</v>
      </c>
      <c r="H3825" s="1114"/>
    </row>
    <row r="3826" spans="1:8" x14ac:dyDescent="0.25">
      <c r="A3826" s="112">
        <v>45479</v>
      </c>
      <c r="B3826" s="21" t="s">
        <v>12182</v>
      </c>
      <c r="C3826" s="13" t="s">
        <v>8391</v>
      </c>
      <c r="D3826" s="765"/>
      <c r="E3826" s="782"/>
      <c r="F3826" s="784">
        <v>235968</v>
      </c>
      <c r="G3826" s="783">
        <f t="shared" si="82"/>
        <v>-235968</v>
      </c>
      <c r="H3826" s="1112" t="s">
        <v>13449</v>
      </c>
    </row>
    <row r="3827" spans="1:8" x14ac:dyDescent="0.25">
      <c r="A3827" s="112">
        <v>45479</v>
      </c>
      <c r="B3827" s="21" t="s">
        <v>13115</v>
      </c>
      <c r="C3827" s="13" t="s">
        <v>8391</v>
      </c>
      <c r="D3827" s="765"/>
      <c r="E3827" s="782"/>
      <c r="F3827" s="141">
        <v>319738</v>
      </c>
      <c r="G3827" s="783">
        <f t="shared" si="82"/>
        <v>-319738</v>
      </c>
      <c r="H3827" s="1113"/>
    </row>
    <row r="3828" spans="1:8" x14ac:dyDescent="0.25">
      <c r="A3828" s="112">
        <v>45479</v>
      </c>
      <c r="B3828" s="21" t="s">
        <v>13182</v>
      </c>
      <c r="C3828" s="13" t="s">
        <v>8391</v>
      </c>
      <c r="D3828" s="765"/>
      <c r="E3828" s="782"/>
      <c r="F3828" s="141">
        <v>120070</v>
      </c>
      <c r="G3828" s="783">
        <f t="shared" si="82"/>
        <v>-120070</v>
      </c>
      <c r="H3828" s="1113"/>
    </row>
    <row r="3829" spans="1:8" x14ac:dyDescent="0.25">
      <c r="A3829" s="112">
        <v>45479</v>
      </c>
      <c r="B3829" s="21" t="s">
        <v>13481</v>
      </c>
      <c r="C3829" s="13" t="s">
        <v>8391</v>
      </c>
      <c r="D3829" s="765"/>
      <c r="E3829" s="782"/>
      <c r="F3829" s="141">
        <v>260520</v>
      </c>
      <c r="G3829" s="783">
        <f t="shared" si="82"/>
        <v>-260520</v>
      </c>
      <c r="H3829" s="1113"/>
    </row>
    <row r="3830" spans="1:8" ht="16.5" thickBot="1" x14ac:dyDescent="0.3">
      <c r="A3830" s="112">
        <v>45479</v>
      </c>
      <c r="B3830" s="30"/>
      <c r="C3830" s="13" t="s">
        <v>8391</v>
      </c>
      <c r="D3830" s="765"/>
      <c r="E3830" s="782"/>
      <c r="F3830" s="785">
        <v>13344</v>
      </c>
      <c r="G3830" s="783">
        <f t="shared" si="82"/>
        <v>-13344</v>
      </c>
      <c r="H3830" s="1114"/>
    </row>
    <row r="3831" spans="1:8" x14ac:dyDescent="0.25">
      <c r="A3831" s="112">
        <v>45481</v>
      </c>
      <c r="B3831" s="21" t="s">
        <v>12182</v>
      </c>
      <c r="C3831" s="13" t="s">
        <v>8391</v>
      </c>
      <c r="D3831" s="765" t="s">
        <v>13478</v>
      </c>
      <c r="E3831" s="22">
        <v>235968</v>
      </c>
      <c r="F3831" s="111"/>
      <c r="G3831" s="14">
        <f>E3831-F3831</f>
        <v>235968</v>
      </c>
      <c r="H3831" s="13"/>
    </row>
    <row r="3832" spans="1:8" x14ac:dyDescent="0.25">
      <c r="A3832" s="112">
        <v>45481</v>
      </c>
      <c r="B3832" s="21" t="s">
        <v>13503</v>
      </c>
      <c r="C3832" s="13" t="s">
        <v>12362</v>
      </c>
      <c r="D3832" s="765" t="s">
        <v>13504</v>
      </c>
      <c r="E3832" s="22">
        <v>48550</v>
      </c>
      <c r="F3832" s="111"/>
      <c r="G3832" s="14">
        <f>E3832-F3832</f>
        <v>48550</v>
      </c>
      <c r="H3832" s="13"/>
    </row>
    <row r="3833" spans="1:8" x14ac:dyDescent="0.25">
      <c r="A3833" s="112">
        <v>45481</v>
      </c>
      <c r="B3833" s="21" t="s">
        <v>12400</v>
      </c>
      <c r="C3833" s="13" t="s">
        <v>164</v>
      </c>
      <c r="D3833" s="765" t="s">
        <v>11249</v>
      </c>
      <c r="E3833" s="22">
        <v>14272</v>
      </c>
      <c r="F3833" s="111"/>
      <c r="G3833" s="14">
        <f>E3833-F3833</f>
        <v>14272</v>
      </c>
      <c r="H3833" s="13"/>
    </row>
    <row r="3834" spans="1:8" x14ac:dyDescent="0.25">
      <c r="A3834" s="112">
        <v>45482</v>
      </c>
      <c r="B3834" s="21" t="s">
        <v>13182</v>
      </c>
      <c r="C3834" s="13" t="s">
        <v>8391</v>
      </c>
      <c r="D3834" s="765" t="s">
        <v>13479</v>
      </c>
      <c r="E3834" s="22">
        <v>120070</v>
      </c>
      <c r="F3834" s="19"/>
      <c r="G3834" s="14">
        <f>E3834-F3834</f>
        <v>120070</v>
      </c>
      <c r="H3834" s="13"/>
    </row>
    <row r="3835" spans="1:8" x14ac:dyDescent="0.25">
      <c r="A3835" s="112">
        <v>45482</v>
      </c>
      <c r="B3835" s="21" t="s">
        <v>13481</v>
      </c>
      <c r="C3835" s="13" t="s">
        <v>8391</v>
      </c>
      <c r="D3835" s="765" t="s">
        <v>13480</v>
      </c>
      <c r="E3835" s="22">
        <v>260520</v>
      </c>
      <c r="F3835" s="19"/>
      <c r="G3835" s="14">
        <f>E3835-F3835</f>
        <v>260520</v>
      </c>
      <c r="H3835" s="13"/>
    </row>
    <row r="3836" spans="1:8" x14ac:dyDescent="0.25">
      <c r="A3836" s="112">
        <v>45482</v>
      </c>
      <c r="B3836" s="21" t="s">
        <v>12059</v>
      </c>
      <c r="C3836" s="13" t="s">
        <v>164</v>
      </c>
      <c r="D3836" s="765" t="s">
        <v>13517</v>
      </c>
      <c r="E3836" s="22">
        <v>25073</v>
      </c>
      <c r="F3836" s="19"/>
      <c r="G3836" s="14">
        <f t="shared" ref="G3836" si="83">E3836-F3836</f>
        <v>25073</v>
      </c>
      <c r="H3836" s="13"/>
    </row>
    <row r="3837" spans="1:8" x14ac:dyDescent="0.25">
      <c r="A3837" s="112">
        <v>45483</v>
      </c>
      <c r="B3837" s="21" t="s">
        <v>13115</v>
      </c>
      <c r="C3837" s="13" t="s">
        <v>8391</v>
      </c>
      <c r="D3837" s="765" t="s">
        <v>13482</v>
      </c>
      <c r="E3837" s="22">
        <v>650781</v>
      </c>
      <c r="F3837" s="19"/>
      <c r="G3837" s="14">
        <f>E3837-F3837</f>
        <v>650781</v>
      </c>
      <c r="H3837" s="13"/>
    </row>
    <row r="3838" spans="1:8" x14ac:dyDescent="0.25">
      <c r="A3838" s="112">
        <v>45483</v>
      </c>
      <c r="B3838" s="21" t="s">
        <v>13444</v>
      </c>
      <c r="C3838" s="13" t="s">
        <v>164</v>
      </c>
      <c r="D3838" s="765" t="s">
        <v>13518</v>
      </c>
      <c r="E3838" s="22">
        <v>18909</v>
      </c>
      <c r="F3838" s="19"/>
      <c r="G3838" s="14">
        <f>E3838-F3838</f>
        <v>18909</v>
      </c>
      <c r="H3838" s="13"/>
    </row>
    <row r="3839" spans="1:8" x14ac:dyDescent="0.25">
      <c r="A3839" s="112">
        <v>45483</v>
      </c>
      <c r="B3839" s="21" t="s">
        <v>13260</v>
      </c>
      <c r="C3839" s="13" t="s">
        <v>13297</v>
      </c>
      <c r="D3839" s="765" t="s">
        <v>13519</v>
      </c>
      <c r="E3839" s="22">
        <v>261774</v>
      </c>
      <c r="F3839" s="19"/>
      <c r="G3839" s="14">
        <f>E3839-F3839</f>
        <v>261774</v>
      </c>
      <c r="H3839" s="13"/>
    </row>
    <row r="3840" spans="1:8" x14ac:dyDescent="0.25">
      <c r="A3840" s="112">
        <v>45485</v>
      </c>
      <c r="B3840" s="21" t="s">
        <v>13230</v>
      </c>
      <c r="C3840" s="13" t="s">
        <v>12362</v>
      </c>
      <c r="D3840" s="765" t="s">
        <v>13554</v>
      </c>
      <c r="E3840" s="22">
        <v>93974</v>
      </c>
      <c r="F3840" s="19"/>
      <c r="G3840" s="14">
        <f>E3840-F3840</f>
        <v>93974</v>
      </c>
      <c r="H3840" s="974"/>
    </row>
    <row r="3841" spans="1:8" x14ac:dyDescent="0.25">
      <c r="A3841" s="112">
        <v>45485</v>
      </c>
      <c r="B3841" s="21" t="s">
        <v>10899</v>
      </c>
      <c r="C3841" s="13" t="s">
        <v>12470</v>
      </c>
      <c r="D3841" s="765"/>
      <c r="E3841" s="22"/>
      <c r="F3841" s="19">
        <v>1000000</v>
      </c>
      <c r="G3841" s="14">
        <f>E3841-F3841</f>
        <v>-1000000</v>
      </c>
      <c r="H3841" s="13" t="s">
        <v>13560</v>
      </c>
    </row>
    <row r="3842" spans="1:8" x14ac:dyDescent="0.25">
      <c r="A3842" s="112">
        <v>45486</v>
      </c>
      <c r="B3842" s="21" t="s">
        <v>13230</v>
      </c>
      <c r="C3842" s="13" t="s">
        <v>12362</v>
      </c>
      <c r="D3842" s="765" t="s">
        <v>13555</v>
      </c>
      <c r="E3842" s="22">
        <v>844000</v>
      </c>
      <c r="F3842" s="19"/>
      <c r="G3842" s="14">
        <f>E3842-F3842</f>
        <v>844000</v>
      </c>
      <c r="H3842" s="13"/>
    </row>
    <row r="3843" spans="1:8" x14ac:dyDescent="0.25">
      <c r="A3843" s="112">
        <v>45486</v>
      </c>
      <c r="B3843" s="21" t="s">
        <v>13115</v>
      </c>
      <c r="C3843" s="13" t="s">
        <v>12362</v>
      </c>
      <c r="D3843" s="765" t="s">
        <v>13556</v>
      </c>
      <c r="E3843" s="22">
        <v>698035</v>
      </c>
      <c r="F3843" s="19"/>
      <c r="G3843" s="14">
        <f>E3843-F3843</f>
        <v>698035</v>
      </c>
      <c r="H3843" s="13"/>
    </row>
    <row r="3844" spans="1:8" x14ac:dyDescent="0.25">
      <c r="A3844" s="112">
        <v>45486</v>
      </c>
      <c r="B3844" s="21" t="s">
        <v>12400</v>
      </c>
      <c r="C3844" s="13" t="s">
        <v>12362</v>
      </c>
      <c r="D3844" s="765" t="s">
        <v>13557</v>
      </c>
      <c r="E3844" s="22">
        <v>2480</v>
      </c>
      <c r="F3844" s="19"/>
      <c r="G3844" s="14">
        <f>E3844-F3844</f>
        <v>2480</v>
      </c>
      <c r="H3844" s="13"/>
    </row>
    <row r="3845" spans="1:8" x14ac:dyDescent="0.25">
      <c r="A3845" s="112">
        <v>45488</v>
      </c>
      <c r="B3845" s="21" t="s">
        <v>13230</v>
      </c>
      <c r="C3845" s="13" t="s">
        <v>12362</v>
      </c>
      <c r="D3845" s="765" t="s">
        <v>13558</v>
      </c>
      <c r="E3845" s="22">
        <v>36271</v>
      </c>
      <c r="F3845" s="19"/>
      <c r="G3845" s="14">
        <f>E3845-F3845</f>
        <v>36271</v>
      </c>
      <c r="H3845" s="13"/>
    </row>
    <row r="3846" spans="1:8" x14ac:dyDescent="0.25">
      <c r="A3846" s="112">
        <v>45492</v>
      </c>
      <c r="B3846" s="21" t="s">
        <v>12798</v>
      </c>
      <c r="C3846" s="13" t="s">
        <v>164</v>
      </c>
      <c r="D3846" s="765" t="s">
        <v>13559</v>
      </c>
      <c r="E3846" s="22">
        <v>3196</v>
      </c>
      <c r="F3846" s="19"/>
      <c r="G3846" s="14">
        <f>E3846-F3846</f>
        <v>3196</v>
      </c>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sheetData>
  <autoFilter ref="A1:XFC3839" xr:uid="{00000000-0009-0000-0000-000003000000}"/>
  <sortState xmlns:xlrd2="http://schemas.microsoft.com/office/spreadsheetml/2017/richdata2" ref="A2332:H2417">
    <sortCondition ref="A2332:A2417"/>
  </sortState>
  <mergeCells count="134">
    <mergeCell ref="H2700:H2704"/>
    <mergeCell ref="H3805:H3807"/>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826:H3830"/>
    <mergeCell ref="H3819:H3825"/>
    <mergeCell ref="H3808:H3809"/>
    <mergeCell ref="H3784:H3793"/>
    <mergeCell ref="H3753:H3755"/>
    <mergeCell ref="H3652:H3655"/>
    <mergeCell ref="H3542:H3549"/>
    <mergeCell ref="H3392:H3393"/>
    <mergeCell ref="H3479:H349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58" t="s">
        <v>0</v>
      </c>
      <c r="B3" s="1359" t="s">
        <v>47</v>
      </c>
      <c r="C3" s="923" t="s">
        <v>158</v>
      </c>
      <c r="D3" s="923" t="s">
        <v>5</v>
      </c>
    </row>
    <row r="4" spans="1:5" ht="15.75" thickBot="1" x14ac:dyDescent="0.3">
      <c r="B4"/>
      <c r="C4"/>
      <c r="D4"/>
    </row>
    <row r="5" spans="1:5" ht="21.75" thickBot="1" x14ac:dyDescent="0.4">
      <c r="A5" s="1360" t="s">
        <v>10190</v>
      </c>
      <c r="B5" s="1361" t="s">
        <v>1694</v>
      </c>
      <c r="C5" s="1362" t="s">
        <v>1801</v>
      </c>
      <c r="D5" s="1363" t="s">
        <v>46</v>
      </c>
      <c r="E5" s="1013" t="s">
        <v>10857</v>
      </c>
    </row>
    <row r="6" spans="1:5" ht="23.25" x14ac:dyDescent="0.35">
      <c r="A6" s="1364" t="s">
        <v>7465</v>
      </c>
      <c r="B6" s="1365">
        <v>29992228</v>
      </c>
      <c r="C6" s="1365">
        <v>28649862</v>
      </c>
      <c r="D6" s="1366">
        <v>1342366</v>
      </c>
    </row>
    <row r="7" spans="1:5" ht="23.25" x14ac:dyDescent="0.35">
      <c r="A7" s="1364" t="s">
        <v>168</v>
      </c>
      <c r="B7" s="1367">
        <v>20318739</v>
      </c>
      <c r="C7" s="1367">
        <v>19003188</v>
      </c>
      <c r="D7" s="1366">
        <v>1315551</v>
      </c>
    </row>
    <row r="8" spans="1:5" ht="23.25" x14ac:dyDescent="0.35">
      <c r="A8" s="1364" t="s">
        <v>13133</v>
      </c>
      <c r="B8" s="1365">
        <v>526000</v>
      </c>
      <c r="C8" s="1365"/>
      <c r="D8" s="1366">
        <v>526000</v>
      </c>
    </row>
    <row r="9" spans="1:5" ht="23.25" x14ac:dyDescent="0.35">
      <c r="A9" s="1364" t="s">
        <v>5680</v>
      </c>
      <c r="B9" s="1367">
        <v>5563260</v>
      </c>
      <c r="C9" s="1367">
        <v>5161680</v>
      </c>
      <c r="D9" s="1368">
        <v>401580</v>
      </c>
    </row>
    <row r="10" spans="1:5" ht="23.25" x14ac:dyDescent="0.35">
      <c r="A10" s="1364" t="s">
        <v>166</v>
      </c>
      <c r="B10" s="1367">
        <v>21685461</v>
      </c>
      <c r="C10" s="1367">
        <v>21308626</v>
      </c>
      <c r="D10" s="1366">
        <v>376835</v>
      </c>
    </row>
    <row r="11" spans="1:5" ht="23.25" x14ac:dyDescent="0.35">
      <c r="A11" s="1364" t="s">
        <v>13297</v>
      </c>
      <c r="B11" s="1365">
        <v>347252</v>
      </c>
      <c r="C11" s="1365"/>
      <c r="D11" s="1368">
        <v>347252</v>
      </c>
    </row>
    <row r="12" spans="1:5" ht="23.25" x14ac:dyDescent="0.35">
      <c r="A12" s="1364" t="s">
        <v>7952</v>
      </c>
      <c r="B12" s="1365">
        <v>4770000</v>
      </c>
      <c r="C12" s="1365">
        <v>4470000</v>
      </c>
      <c r="D12" s="1368">
        <v>300000</v>
      </c>
    </row>
    <row r="13" spans="1:5" ht="23.25" x14ac:dyDescent="0.35">
      <c r="A13" s="1364" t="s">
        <v>164</v>
      </c>
      <c r="B13" s="1367">
        <v>6179032</v>
      </c>
      <c r="C13" s="1367">
        <v>6018047</v>
      </c>
      <c r="D13" s="1368">
        <v>160985</v>
      </c>
    </row>
    <row r="14" spans="1:5" s="4" customFormat="1" ht="23.25" x14ac:dyDescent="0.35">
      <c r="A14" s="1364" t="s">
        <v>2195</v>
      </c>
      <c r="B14" s="1367">
        <v>1162913</v>
      </c>
      <c r="C14" s="1367">
        <v>1069328</v>
      </c>
      <c r="D14" s="1368">
        <v>93585</v>
      </c>
    </row>
    <row r="15" spans="1:5" ht="23.25" x14ac:dyDescent="0.35">
      <c r="A15" s="1364" t="s">
        <v>13253</v>
      </c>
      <c r="B15" s="1365">
        <v>68250</v>
      </c>
      <c r="C15" s="1365"/>
      <c r="D15" s="1368">
        <v>68250</v>
      </c>
    </row>
    <row r="16" spans="1:5" s="4" customFormat="1" ht="23.25" x14ac:dyDescent="0.35">
      <c r="A16" s="1364" t="s">
        <v>1802</v>
      </c>
      <c r="B16" s="1367">
        <v>15297184</v>
      </c>
      <c r="C16" s="1367">
        <v>15268691</v>
      </c>
      <c r="D16" s="1366">
        <v>28493</v>
      </c>
    </row>
    <row r="17" spans="1:5" ht="23.25" x14ac:dyDescent="0.35">
      <c r="A17" s="1364" t="s">
        <v>2385</v>
      </c>
      <c r="B17" s="1367">
        <v>18551</v>
      </c>
      <c r="C17" s="1367"/>
      <c r="D17" s="1368">
        <v>18551</v>
      </c>
    </row>
    <row r="18" spans="1:5" ht="23.25" x14ac:dyDescent="0.35">
      <c r="A18" s="1364" t="s">
        <v>169</v>
      </c>
      <c r="B18" s="1367">
        <v>7686626</v>
      </c>
      <c r="C18" s="1367">
        <v>7668204</v>
      </c>
      <c r="D18" s="1368">
        <v>18422</v>
      </c>
      <c r="E18" s="4"/>
    </row>
    <row r="19" spans="1:5" ht="23.25" x14ac:dyDescent="0.35">
      <c r="A19" s="1364" t="s">
        <v>180</v>
      </c>
      <c r="B19" s="1367">
        <v>27714467</v>
      </c>
      <c r="C19" s="1367">
        <v>27707612</v>
      </c>
      <c r="D19" s="1368">
        <v>6855</v>
      </c>
    </row>
    <row r="20" spans="1:5" ht="23.25" x14ac:dyDescent="0.35">
      <c r="A20" s="1364" t="s">
        <v>11312</v>
      </c>
      <c r="B20" s="1365">
        <v>4226000</v>
      </c>
      <c r="C20" s="1365">
        <v>4226000</v>
      </c>
      <c r="D20" s="1366">
        <v>0</v>
      </c>
    </row>
    <row r="21" spans="1:5" ht="23.25" x14ac:dyDescent="0.35">
      <c r="A21" s="1364" t="s">
        <v>8453</v>
      </c>
      <c r="B21" s="1365">
        <v>1063000</v>
      </c>
      <c r="C21" s="1365">
        <v>1063000</v>
      </c>
      <c r="D21" s="1366">
        <v>0</v>
      </c>
    </row>
    <row r="22" spans="1:5" s="4" customFormat="1" ht="23.25" x14ac:dyDescent="0.35">
      <c r="A22" s="1364" t="s">
        <v>11317</v>
      </c>
      <c r="B22" s="1365">
        <v>1061510</v>
      </c>
      <c r="C22" s="1365">
        <v>1061510</v>
      </c>
      <c r="D22" s="1366">
        <v>0</v>
      </c>
    </row>
    <row r="23" spans="1:5" ht="23.25" x14ac:dyDescent="0.35">
      <c r="A23" s="1364" t="s">
        <v>162</v>
      </c>
      <c r="B23" s="1367">
        <v>1123152</v>
      </c>
      <c r="C23" s="1367">
        <v>1123152</v>
      </c>
      <c r="D23" s="1368">
        <v>0</v>
      </c>
    </row>
    <row r="24" spans="1:5" s="4" customFormat="1" ht="23.25" x14ac:dyDescent="0.35">
      <c r="A24" s="1364" t="s">
        <v>8705</v>
      </c>
      <c r="B24" s="1365">
        <v>300000</v>
      </c>
      <c r="C24" s="1365">
        <v>300000</v>
      </c>
      <c r="D24" s="1366">
        <v>0</v>
      </c>
    </row>
    <row r="25" spans="1:5" ht="23.25" x14ac:dyDescent="0.35">
      <c r="A25" s="1364" t="s">
        <v>75</v>
      </c>
      <c r="B25" s="1367"/>
      <c r="C25" s="1367"/>
      <c r="D25" s="1368">
        <v>0</v>
      </c>
    </row>
    <row r="26" spans="1:5" s="4" customFormat="1" ht="23.25" x14ac:dyDescent="0.35">
      <c r="A26" s="1364" t="s">
        <v>8897</v>
      </c>
      <c r="B26" s="1365">
        <v>612552</v>
      </c>
      <c r="C26" s="1365">
        <v>612552</v>
      </c>
      <c r="D26" s="1368">
        <v>0</v>
      </c>
    </row>
    <row r="27" spans="1:5" ht="23.25" x14ac:dyDescent="0.35">
      <c r="A27" s="1364" t="s">
        <v>1814</v>
      </c>
      <c r="B27" s="1367">
        <v>11639548</v>
      </c>
      <c r="C27" s="1367">
        <v>11639548</v>
      </c>
      <c r="D27" s="1368">
        <v>0</v>
      </c>
    </row>
    <row r="28" spans="1:5" ht="23.25" x14ac:dyDescent="0.35">
      <c r="A28" s="1364" t="s">
        <v>9077</v>
      </c>
      <c r="B28" s="1365">
        <v>885000</v>
      </c>
      <c r="C28" s="1365">
        <v>885000</v>
      </c>
      <c r="D28" s="1366">
        <v>0</v>
      </c>
    </row>
    <row r="29" spans="1:5" s="4" customFormat="1" ht="23.25" x14ac:dyDescent="0.35">
      <c r="A29" s="1364" t="s">
        <v>6765</v>
      </c>
      <c r="B29" s="1367">
        <v>137550</v>
      </c>
      <c r="C29" s="1367">
        <v>137550</v>
      </c>
      <c r="D29" s="1368">
        <v>0</v>
      </c>
    </row>
    <row r="30" spans="1:5" ht="23.25" x14ac:dyDescent="0.35">
      <c r="A30" s="1364" t="s">
        <v>12257</v>
      </c>
      <c r="B30" s="1365">
        <v>1600298</v>
      </c>
      <c r="C30" s="1365">
        <v>1600298</v>
      </c>
      <c r="D30" s="1368">
        <v>0</v>
      </c>
    </row>
    <row r="31" spans="1:5" s="4" customFormat="1" ht="23.25" x14ac:dyDescent="0.35">
      <c r="A31" s="1364" t="s">
        <v>4724</v>
      </c>
      <c r="B31" s="1365">
        <v>1680000</v>
      </c>
      <c r="C31" s="1365">
        <v>1680000</v>
      </c>
      <c r="D31" s="1368">
        <v>0</v>
      </c>
    </row>
    <row r="32" spans="1:5" ht="23.25" x14ac:dyDescent="0.35">
      <c r="A32" s="1364" t="s">
        <v>6845</v>
      </c>
      <c r="B32" s="1365">
        <v>903164</v>
      </c>
      <c r="C32" s="1365">
        <v>903164</v>
      </c>
      <c r="D32" s="1368">
        <v>0</v>
      </c>
    </row>
    <row r="33" spans="1:4" s="4" customFormat="1" ht="23.25" x14ac:dyDescent="0.35">
      <c r="A33" s="1364" t="s">
        <v>3010</v>
      </c>
      <c r="B33" s="1367">
        <v>3121578</v>
      </c>
      <c r="C33" s="1367">
        <v>3121578</v>
      </c>
      <c r="D33" s="1368">
        <v>0</v>
      </c>
    </row>
    <row r="34" spans="1:4" ht="23.25" x14ac:dyDescent="0.35">
      <c r="A34" s="1364" t="s">
        <v>161</v>
      </c>
      <c r="B34" s="1367">
        <v>5122182</v>
      </c>
      <c r="C34" s="1367">
        <v>5122182</v>
      </c>
      <c r="D34" s="1368">
        <v>0</v>
      </c>
    </row>
    <row r="35" spans="1:4" ht="23.25" x14ac:dyDescent="0.35">
      <c r="A35" s="1364" t="s">
        <v>437</v>
      </c>
      <c r="B35" s="1367">
        <v>2798262</v>
      </c>
      <c r="C35" s="1367">
        <v>2798262</v>
      </c>
      <c r="D35" s="1368">
        <v>0</v>
      </c>
    </row>
    <row r="36" spans="1:4" s="4" customFormat="1" ht="23.25" x14ac:dyDescent="0.35">
      <c r="A36" s="1364" t="s">
        <v>8089</v>
      </c>
      <c r="B36" s="1365">
        <v>11250000</v>
      </c>
      <c r="C36" s="1365">
        <v>11250000</v>
      </c>
      <c r="D36" s="1368">
        <v>0</v>
      </c>
    </row>
    <row r="37" spans="1:4" ht="23.25" x14ac:dyDescent="0.35">
      <c r="A37" s="1364" t="s">
        <v>8391</v>
      </c>
      <c r="B37" s="1365">
        <v>33137093</v>
      </c>
      <c r="C37" s="1365">
        <v>33150437</v>
      </c>
      <c r="D37" s="1366">
        <v>-13344</v>
      </c>
    </row>
    <row r="38" spans="1:4" ht="23.25" x14ac:dyDescent="0.35">
      <c r="A38" s="1364" t="s">
        <v>5186</v>
      </c>
      <c r="B38" s="1365">
        <v>6181440.5</v>
      </c>
      <c r="C38" s="1365">
        <v>6431440.5</v>
      </c>
      <c r="D38" s="1368">
        <v>-250000</v>
      </c>
    </row>
    <row r="39" spans="1:4" ht="23.25" x14ac:dyDescent="0.35">
      <c r="A39" s="1364" t="s">
        <v>7240</v>
      </c>
      <c r="B39" s="1365">
        <v>11677287</v>
      </c>
      <c r="C39" s="1365">
        <v>12177287</v>
      </c>
      <c r="D39" s="1368">
        <v>-500000</v>
      </c>
    </row>
    <row r="40" spans="1:4" s="4" customFormat="1" ht="23.25" x14ac:dyDescent="0.35">
      <c r="A40" s="1364" t="s">
        <v>12015</v>
      </c>
      <c r="B40" s="1365">
        <v>1894000</v>
      </c>
      <c r="C40" s="1365">
        <v>2394000</v>
      </c>
      <c r="D40" s="1368">
        <v>-500000</v>
      </c>
    </row>
    <row r="41" spans="1:4" ht="24" thickBot="1" x14ac:dyDescent="0.4">
      <c r="A41" s="1364" t="s">
        <v>12470</v>
      </c>
      <c r="B41" s="1365">
        <v>3421062</v>
      </c>
      <c r="C41" s="1365">
        <v>4320000</v>
      </c>
      <c r="D41" s="1368">
        <v>-898938</v>
      </c>
    </row>
    <row r="42" spans="1:4" ht="19.5" thickBot="1" x14ac:dyDescent="0.35">
      <c r="A42" s="1369" t="s">
        <v>45</v>
      </c>
      <c r="B42" s="1370">
        <v>245164641.5</v>
      </c>
      <c r="C42" s="1371">
        <v>242322198.5</v>
      </c>
      <c r="D42" s="1372">
        <v>2842443</v>
      </c>
    </row>
    <row r="43" spans="1:4" x14ac:dyDescent="0.25">
      <c r="B43"/>
      <c r="C43"/>
      <c r="D43"/>
    </row>
    <row r="44" spans="1:4" s="4" customFormat="1" ht="23.25" x14ac:dyDescent="0.35">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4" thickBot="1" x14ac:dyDescent="0.4">
      <c r="B65"/>
      <c r="C65"/>
      <c r="D65"/>
    </row>
    <row r="66" spans="1:11" ht="19.5" thickBot="1" x14ac:dyDescent="0.3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1315551</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1315551</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1977551</v>
      </c>
      <c r="K78" s="3"/>
    </row>
    <row r="79" spans="1:11" ht="15.75" thickBot="1" x14ac:dyDescent="0.3">
      <c r="B79"/>
      <c r="C79"/>
      <c r="D79"/>
    </row>
    <row r="80" spans="1:11" ht="15.75" thickBot="1" x14ac:dyDescent="0.3">
      <c r="B80"/>
      <c r="C80"/>
      <c r="D80"/>
      <c r="I80" s="3">
        <f ca="1">I78-155000</f>
        <v>1822551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11"/>
      <c r="I4" s="1111"/>
      <c r="J4" s="1111"/>
    </row>
    <row r="5" spans="1:10" ht="24" thickBot="1" x14ac:dyDescent="0.35">
      <c r="A5" s="286" t="s">
        <v>4136</v>
      </c>
      <c r="B5" s="287" t="s">
        <v>4133</v>
      </c>
      <c r="C5" s="287" t="s">
        <v>4134</v>
      </c>
      <c r="D5" s="287" t="s">
        <v>4135</v>
      </c>
      <c r="E5" s="1013" t="s">
        <v>10857</v>
      </c>
      <c r="H5" s="1111"/>
      <c r="I5" s="1111"/>
      <c r="J5" s="1111"/>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2119000</v>
      </c>
      <c r="C14" s="289"/>
      <c r="D14" s="289">
        <v>-2119000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3034400</v>
      </c>
      <c r="C20" s="289"/>
      <c r="D20" s="289">
        <v>-3034400</v>
      </c>
    </row>
    <row r="21" spans="1:4" x14ac:dyDescent="0.3">
      <c r="A21" s="329" t="s">
        <v>9457</v>
      </c>
      <c r="B21" s="289">
        <v>2242200</v>
      </c>
      <c r="C21" s="289"/>
      <c r="D21" s="289">
        <v>-2242200</v>
      </c>
    </row>
    <row r="22" spans="1:4" x14ac:dyDescent="0.3">
      <c r="A22" s="329" t="s">
        <v>11523</v>
      </c>
      <c r="B22" s="289">
        <v>2000000</v>
      </c>
      <c r="C22" s="289"/>
      <c r="D22" s="289">
        <v>-2000000</v>
      </c>
    </row>
    <row r="23" spans="1:4" x14ac:dyDescent="0.3">
      <c r="A23" s="329" t="s">
        <v>10574</v>
      </c>
      <c r="B23" s="289">
        <v>2255000</v>
      </c>
      <c r="C23" s="289"/>
      <c r="D23" s="289">
        <v>-2255000</v>
      </c>
    </row>
    <row r="24" spans="1:4" x14ac:dyDescent="0.3">
      <c r="A24" s="329" t="s">
        <v>11374</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740000</v>
      </c>
      <c r="C28" s="289"/>
      <c r="D28" s="289">
        <v>-740000</v>
      </c>
    </row>
    <row r="29" spans="1:4" x14ac:dyDescent="0.3">
      <c r="A29" s="329" t="s">
        <v>3427</v>
      </c>
      <c r="B29" s="289">
        <v>6324800</v>
      </c>
      <c r="C29" s="289"/>
      <c r="D29" s="289">
        <v>-6324800</v>
      </c>
    </row>
    <row r="30" spans="1:4" x14ac:dyDescent="0.3">
      <c r="A30" s="288" t="s">
        <v>45</v>
      </c>
      <c r="B30" s="289">
        <v>41558020</v>
      </c>
      <c r="C30" s="289"/>
      <c r="D30" s="289">
        <v>-41558020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373" t="s">
        <v>1694</v>
      </c>
      <c r="C5" s="1004" t="s">
        <v>1801</v>
      </c>
      <c r="D5" s="1005" t="s">
        <v>46</v>
      </c>
      <c r="E5" s="1013" t="s">
        <v>10857</v>
      </c>
    </row>
    <row r="6" spans="1:6" x14ac:dyDescent="0.35">
      <c r="A6" s="996" t="s">
        <v>11077</v>
      </c>
      <c r="B6" s="1374">
        <v>11498525</v>
      </c>
      <c r="C6" s="1374">
        <v>10460878</v>
      </c>
      <c r="D6" s="1006">
        <v>1037647</v>
      </c>
    </row>
    <row r="7" spans="1:6" x14ac:dyDescent="0.35">
      <c r="A7" s="996" t="s">
        <v>11874</v>
      </c>
      <c r="B7" s="1374">
        <v>21138845</v>
      </c>
      <c r="C7" s="1374">
        <v>20297479</v>
      </c>
      <c r="D7" s="1006">
        <v>841366</v>
      </c>
    </row>
    <row r="8" spans="1:6" x14ac:dyDescent="0.35">
      <c r="A8" s="996" t="s">
        <v>13230</v>
      </c>
      <c r="B8" s="1374">
        <v>974245</v>
      </c>
      <c r="C8" s="1374">
        <v>500000</v>
      </c>
      <c r="D8" s="1006">
        <v>474245</v>
      </c>
      <c r="F8" s="97"/>
    </row>
    <row r="9" spans="1:6" x14ac:dyDescent="0.35">
      <c r="A9" s="996" t="s">
        <v>10229</v>
      </c>
      <c r="B9" s="1374">
        <v>12621108</v>
      </c>
      <c r="C9" s="1374">
        <v>12300151</v>
      </c>
      <c r="D9" s="1006">
        <v>320957</v>
      </c>
    </row>
    <row r="10" spans="1:6" x14ac:dyDescent="0.35">
      <c r="A10" s="996" t="s">
        <v>12182</v>
      </c>
      <c r="B10" s="1374">
        <v>4266623</v>
      </c>
      <c r="C10" s="1374">
        <v>3946799</v>
      </c>
      <c r="D10" s="1006">
        <v>319824</v>
      </c>
    </row>
    <row r="11" spans="1:6" x14ac:dyDescent="0.35">
      <c r="A11" s="996" t="s">
        <v>13260</v>
      </c>
      <c r="B11" s="1374">
        <v>457597</v>
      </c>
      <c r="C11" s="1374">
        <v>195823</v>
      </c>
      <c r="D11" s="1006">
        <v>261774</v>
      </c>
    </row>
    <row r="12" spans="1:6" x14ac:dyDescent="0.35">
      <c r="A12" s="996" t="s">
        <v>8556</v>
      </c>
      <c r="B12" s="1374">
        <v>2892546</v>
      </c>
      <c r="C12" s="1374">
        <v>2662735</v>
      </c>
      <c r="D12" s="1006">
        <v>229811</v>
      </c>
    </row>
    <row r="13" spans="1:6" x14ac:dyDescent="0.35">
      <c r="A13" s="996" t="s">
        <v>11433</v>
      </c>
      <c r="B13" s="1374">
        <v>1121427</v>
      </c>
      <c r="C13" s="1374">
        <v>933127</v>
      </c>
      <c r="D13" s="1006">
        <v>188300</v>
      </c>
    </row>
    <row r="14" spans="1:6" x14ac:dyDescent="0.35">
      <c r="A14" s="996" t="s">
        <v>12789</v>
      </c>
      <c r="B14" s="1374">
        <v>288639</v>
      </c>
      <c r="C14" s="1374">
        <v>153139</v>
      </c>
      <c r="D14" s="1006">
        <v>135500</v>
      </c>
    </row>
    <row r="15" spans="1:6" x14ac:dyDescent="0.35">
      <c r="A15" s="996" t="s">
        <v>10568</v>
      </c>
      <c r="B15" s="1374">
        <v>1848282</v>
      </c>
      <c r="C15" s="1374">
        <v>1719382</v>
      </c>
      <c r="D15" s="1006">
        <v>128900</v>
      </c>
    </row>
    <row r="16" spans="1:6" x14ac:dyDescent="0.35">
      <c r="A16" s="996" t="s">
        <v>12059</v>
      </c>
      <c r="B16" s="1374">
        <v>120152</v>
      </c>
      <c r="C16" s="1374"/>
      <c r="D16" s="1006">
        <v>120152</v>
      </c>
    </row>
    <row r="17" spans="1:4" x14ac:dyDescent="0.35">
      <c r="A17" s="996" t="s">
        <v>10573</v>
      </c>
      <c r="B17" s="1374">
        <v>21004486</v>
      </c>
      <c r="C17" s="1374">
        <v>20910731</v>
      </c>
      <c r="D17" s="1006">
        <v>93755</v>
      </c>
    </row>
    <row r="18" spans="1:4" x14ac:dyDescent="0.35">
      <c r="A18" s="996" t="s">
        <v>12798</v>
      </c>
      <c r="B18" s="1374">
        <v>90703</v>
      </c>
      <c r="C18" s="1374"/>
      <c r="D18" s="1006">
        <v>90703</v>
      </c>
    </row>
    <row r="19" spans="1:4" x14ac:dyDescent="0.35">
      <c r="A19" s="996" t="s">
        <v>10293</v>
      </c>
      <c r="B19" s="1374">
        <v>1585166</v>
      </c>
      <c r="C19" s="1374">
        <v>1512773</v>
      </c>
      <c r="D19" s="1006">
        <v>72393</v>
      </c>
    </row>
    <row r="20" spans="1:4" x14ac:dyDescent="0.35">
      <c r="A20" s="996" t="s">
        <v>9353</v>
      </c>
      <c r="B20" s="1374">
        <v>4428561</v>
      </c>
      <c r="C20" s="1374">
        <v>4361002</v>
      </c>
      <c r="D20" s="1006">
        <v>67559</v>
      </c>
    </row>
    <row r="21" spans="1:4" x14ac:dyDescent="0.35">
      <c r="A21" s="996" t="s">
        <v>11498</v>
      </c>
      <c r="B21" s="1374">
        <v>576715</v>
      </c>
      <c r="C21" s="1374">
        <v>525287</v>
      </c>
      <c r="D21" s="1006">
        <v>51428</v>
      </c>
    </row>
    <row r="22" spans="1:4" x14ac:dyDescent="0.35">
      <c r="A22" s="996" t="s">
        <v>13503</v>
      </c>
      <c r="B22" s="1374">
        <v>48550</v>
      </c>
      <c r="C22" s="1374"/>
      <c r="D22" s="1006">
        <v>48550</v>
      </c>
    </row>
    <row r="23" spans="1:4" x14ac:dyDescent="0.35">
      <c r="A23" s="996" t="s">
        <v>13444</v>
      </c>
      <c r="B23" s="1374">
        <v>47494</v>
      </c>
      <c r="C23" s="1374"/>
      <c r="D23" s="1006">
        <v>47494</v>
      </c>
    </row>
    <row r="24" spans="1:4" x14ac:dyDescent="0.35">
      <c r="A24" s="996" t="s">
        <v>12694</v>
      </c>
      <c r="B24" s="1374">
        <v>247152</v>
      </c>
      <c r="C24" s="1374">
        <v>200000</v>
      </c>
      <c r="D24" s="1006">
        <v>47152</v>
      </c>
    </row>
    <row r="25" spans="1:4" x14ac:dyDescent="0.35">
      <c r="A25" s="996" t="s">
        <v>12607</v>
      </c>
      <c r="B25" s="1374">
        <v>45459</v>
      </c>
      <c r="C25" s="1374"/>
      <c r="D25" s="1006">
        <v>45459</v>
      </c>
    </row>
    <row r="26" spans="1:4" x14ac:dyDescent="0.35">
      <c r="A26" s="996" t="s">
        <v>12684</v>
      </c>
      <c r="B26" s="1374">
        <v>36817</v>
      </c>
      <c r="C26" s="1374"/>
      <c r="D26" s="1006">
        <v>36817</v>
      </c>
    </row>
    <row r="27" spans="1:4" x14ac:dyDescent="0.35">
      <c r="A27" s="996" t="s">
        <v>12222</v>
      </c>
      <c r="B27" s="1374">
        <v>110000</v>
      </c>
      <c r="C27" s="1374">
        <v>82500</v>
      </c>
      <c r="D27" s="1006">
        <v>27500</v>
      </c>
    </row>
    <row r="28" spans="1:4" x14ac:dyDescent="0.35">
      <c r="A28" s="996" t="s">
        <v>8865</v>
      </c>
      <c r="B28" s="1374">
        <v>1899307</v>
      </c>
      <c r="C28" s="1374">
        <v>1876347</v>
      </c>
      <c r="D28" s="1006">
        <v>22960</v>
      </c>
    </row>
    <row r="29" spans="1:4" x14ac:dyDescent="0.35">
      <c r="A29" s="996" t="s">
        <v>11</v>
      </c>
      <c r="B29" s="1374">
        <v>190221</v>
      </c>
      <c r="C29" s="1374">
        <v>171670</v>
      </c>
      <c r="D29" s="1006">
        <v>18551</v>
      </c>
    </row>
    <row r="30" spans="1:4" x14ac:dyDescent="0.35">
      <c r="A30" s="996" t="s">
        <v>8336</v>
      </c>
      <c r="B30" s="1374">
        <v>6661900</v>
      </c>
      <c r="C30" s="1374">
        <v>6645860</v>
      </c>
      <c r="D30" s="1006">
        <v>16040</v>
      </c>
    </row>
    <row r="31" spans="1:4" x14ac:dyDescent="0.35">
      <c r="A31" s="996" t="s">
        <v>8873</v>
      </c>
      <c r="B31" s="1374">
        <v>2891040</v>
      </c>
      <c r="C31" s="1374">
        <v>2878040</v>
      </c>
      <c r="D31" s="1006">
        <v>13000</v>
      </c>
    </row>
    <row r="32" spans="1:4" x14ac:dyDescent="0.35">
      <c r="A32" s="996" t="s">
        <v>12262</v>
      </c>
      <c r="B32" s="1374">
        <v>1278570</v>
      </c>
      <c r="C32" s="1374">
        <v>1272797</v>
      </c>
      <c r="D32" s="1006">
        <v>5773</v>
      </c>
    </row>
    <row r="33" spans="1:4" x14ac:dyDescent="0.35">
      <c r="A33" s="996" t="s">
        <v>10468</v>
      </c>
      <c r="B33" s="1374">
        <v>1683705</v>
      </c>
      <c r="C33" s="1374">
        <v>1679205</v>
      </c>
      <c r="D33" s="1006">
        <v>4500</v>
      </c>
    </row>
    <row r="34" spans="1:4" hidden="1" x14ac:dyDescent="0.35">
      <c r="A34" s="996" t="s">
        <v>8529</v>
      </c>
      <c r="B34" s="1374">
        <v>235522</v>
      </c>
      <c r="C34" s="1374">
        <v>235522</v>
      </c>
      <c r="D34" s="1006">
        <v>0</v>
      </c>
    </row>
    <row r="35" spans="1:4" hidden="1" x14ac:dyDescent="0.35">
      <c r="A35" s="996" t="s">
        <v>37</v>
      </c>
      <c r="B35" s="1374">
        <v>74360</v>
      </c>
      <c r="C35" s="1374">
        <v>74360</v>
      </c>
      <c r="D35" s="1006">
        <v>0</v>
      </c>
    </row>
    <row r="36" spans="1:4" hidden="1" x14ac:dyDescent="0.35">
      <c r="A36" s="996" t="s">
        <v>11259</v>
      </c>
      <c r="B36" s="1374">
        <v>34476</v>
      </c>
      <c r="C36" s="1374">
        <v>34476</v>
      </c>
      <c r="D36" s="1006">
        <v>0</v>
      </c>
    </row>
    <row r="37" spans="1:4" hidden="1" x14ac:dyDescent="0.35">
      <c r="A37" s="996" t="s">
        <v>672</v>
      </c>
      <c r="B37" s="1374">
        <v>629934</v>
      </c>
      <c r="C37" s="1374">
        <v>629934</v>
      </c>
      <c r="D37" s="1006">
        <v>0</v>
      </c>
    </row>
    <row r="38" spans="1:4" hidden="1" x14ac:dyDescent="0.35">
      <c r="A38" s="996" t="s">
        <v>7815</v>
      </c>
      <c r="B38" s="1374">
        <v>136445</v>
      </c>
      <c r="C38" s="1374">
        <v>136445</v>
      </c>
      <c r="D38" s="1006">
        <v>0</v>
      </c>
    </row>
    <row r="39" spans="1:4" hidden="1" x14ac:dyDescent="0.35">
      <c r="A39" s="996" t="s">
        <v>464</v>
      </c>
      <c r="B39" s="1374">
        <v>3188510</v>
      </c>
      <c r="C39" s="1374">
        <v>3188510</v>
      </c>
      <c r="D39" s="1006">
        <v>0</v>
      </c>
    </row>
    <row r="40" spans="1:4" hidden="1" x14ac:dyDescent="0.35">
      <c r="A40" s="996" t="s">
        <v>9964</v>
      </c>
      <c r="B40" s="1374">
        <v>385571</v>
      </c>
      <c r="C40" s="1374">
        <v>385571</v>
      </c>
      <c r="D40" s="1006">
        <v>0</v>
      </c>
    </row>
    <row r="41" spans="1:4" hidden="1" x14ac:dyDescent="0.35">
      <c r="A41" s="996" t="s">
        <v>768</v>
      </c>
      <c r="B41" s="1374">
        <v>190145</v>
      </c>
      <c r="C41" s="1374">
        <v>190145</v>
      </c>
      <c r="D41" s="1006">
        <v>0</v>
      </c>
    </row>
    <row r="42" spans="1:4" hidden="1" x14ac:dyDescent="0.35">
      <c r="A42" s="996" t="s">
        <v>1398</v>
      </c>
      <c r="B42" s="1374">
        <v>54635</v>
      </c>
      <c r="C42" s="1374">
        <v>54635</v>
      </c>
      <c r="D42" s="1006">
        <v>0</v>
      </c>
    </row>
    <row r="43" spans="1:4" hidden="1" x14ac:dyDescent="0.35">
      <c r="A43" s="996" t="s">
        <v>1086</v>
      </c>
      <c r="B43" s="1374">
        <v>88730</v>
      </c>
      <c r="C43" s="1374">
        <v>88730</v>
      </c>
      <c r="D43" s="1006">
        <v>0</v>
      </c>
    </row>
    <row r="44" spans="1:4" hidden="1" x14ac:dyDescent="0.35">
      <c r="A44" s="996" t="s">
        <v>7124</v>
      </c>
      <c r="B44" s="1374"/>
      <c r="C44" s="1374"/>
      <c r="D44" s="1006">
        <v>0</v>
      </c>
    </row>
    <row r="45" spans="1:4" hidden="1" x14ac:dyDescent="0.35">
      <c r="A45" s="996" t="s">
        <v>1205</v>
      </c>
      <c r="B45" s="1374">
        <v>263340</v>
      </c>
      <c r="C45" s="1374">
        <v>263340</v>
      </c>
      <c r="D45" s="1006">
        <v>0</v>
      </c>
    </row>
    <row r="46" spans="1:4" hidden="1" x14ac:dyDescent="0.35">
      <c r="A46" s="996" t="s">
        <v>8041</v>
      </c>
      <c r="B46" s="1374">
        <v>11932427</v>
      </c>
      <c r="C46" s="1374">
        <v>11932427</v>
      </c>
      <c r="D46" s="1006">
        <v>0</v>
      </c>
    </row>
    <row r="47" spans="1:4" hidden="1" x14ac:dyDescent="0.35">
      <c r="A47" s="996" t="s">
        <v>1492</v>
      </c>
      <c r="B47" s="1374">
        <v>188750</v>
      </c>
      <c r="C47" s="1374">
        <v>188750</v>
      </c>
      <c r="D47" s="1006">
        <v>0</v>
      </c>
    </row>
    <row r="48" spans="1:4" hidden="1" x14ac:dyDescent="0.35">
      <c r="A48" s="996" t="s">
        <v>9406</v>
      </c>
      <c r="B48" s="1374">
        <v>1080276</v>
      </c>
      <c r="C48" s="1374">
        <v>1080276</v>
      </c>
      <c r="D48" s="1006">
        <v>0</v>
      </c>
    </row>
    <row r="49" spans="1:4" hidden="1" x14ac:dyDescent="0.35">
      <c r="A49" s="996" t="s">
        <v>33</v>
      </c>
      <c r="B49" s="1374">
        <v>569111</v>
      </c>
      <c r="C49" s="1374">
        <v>569111</v>
      </c>
      <c r="D49" s="1006">
        <v>0</v>
      </c>
    </row>
    <row r="50" spans="1:4" hidden="1" x14ac:dyDescent="0.35">
      <c r="A50" s="996" t="s">
        <v>82</v>
      </c>
      <c r="B50" s="1374">
        <v>732794</v>
      </c>
      <c r="C50" s="1374">
        <v>732794</v>
      </c>
      <c r="D50" s="1006">
        <v>0</v>
      </c>
    </row>
    <row r="51" spans="1:4" hidden="1" x14ac:dyDescent="0.35">
      <c r="A51" s="996" t="s">
        <v>1806</v>
      </c>
      <c r="B51" s="1374">
        <v>4800</v>
      </c>
      <c r="C51" s="1374">
        <v>4800</v>
      </c>
      <c r="D51" s="1006">
        <v>0</v>
      </c>
    </row>
    <row r="52" spans="1:4" hidden="1" x14ac:dyDescent="0.35">
      <c r="A52" s="996" t="s">
        <v>962</v>
      </c>
      <c r="B52" s="1374">
        <v>144342</v>
      </c>
      <c r="C52" s="1374">
        <v>144342</v>
      </c>
      <c r="D52" s="1006">
        <v>0</v>
      </c>
    </row>
    <row r="53" spans="1:4" hidden="1" x14ac:dyDescent="0.35">
      <c r="A53" s="996" t="s">
        <v>1690</v>
      </c>
      <c r="B53" s="1374">
        <v>13508</v>
      </c>
      <c r="C53" s="1374">
        <v>13508</v>
      </c>
      <c r="D53" s="1006">
        <v>0</v>
      </c>
    </row>
    <row r="54" spans="1:4" hidden="1" x14ac:dyDescent="0.35">
      <c r="A54" s="996" t="s">
        <v>44</v>
      </c>
      <c r="B54" s="1374">
        <v>10000</v>
      </c>
      <c r="C54" s="1374">
        <v>10000</v>
      </c>
      <c r="D54" s="1006">
        <v>0</v>
      </c>
    </row>
    <row r="55" spans="1:4" hidden="1" x14ac:dyDescent="0.35">
      <c r="A55" s="996" t="s">
        <v>2022</v>
      </c>
      <c r="B55" s="1374">
        <v>290962</v>
      </c>
      <c r="C55" s="1374">
        <v>290962</v>
      </c>
      <c r="D55" s="1006">
        <v>0</v>
      </c>
    </row>
    <row r="56" spans="1:4" hidden="1" x14ac:dyDescent="0.35">
      <c r="A56" s="996" t="s">
        <v>7553</v>
      </c>
      <c r="B56" s="1374">
        <v>1012779</v>
      </c>
      <c r="C56" s="1374">
        <v>1012779</v>
      </c>
      <c r="D56" s="1006">
        <v>0</v>
      </c>
    </row>
    <row r="57" spans="1:4" hidden="1" x14ac:dyDescent="0.35">
      <c r="A57" s="996" t="s">
        <v>32</v>
      </c>
      <c r="B57" s="1374">
        <v>327433</v>
      </c>
      <c r="C57" s="1374">
        <v>327433</v>
      </c>
      <c r="D57" s="1006">
        <v>0</v>
      </c>
    </row>
    <row r="58" spans="1:4" hidden="1" x14ac:dyDescent="0.35">
      <c r="A58" s="996" t="s">
        <v>7730</v>
      </c>
      <c r="B58" s="1374">
        <v>221361</v>
      </c>
      <c r="C58" s="1374">
        <v>221361</v>
      </c>
      <c r="D58" s="1006">
        <v>0</v>
      </c>
    </row>
    <row r="59" spans="1:4" hidden="1" x14ac:dyDescent="0.35">
      <c r="A59" s="996" t="s">
        <v>2042</v>
      </c>
      <c r="B59" s="1374">
        <v>91259</v>
      </c>
      <c r="C59" s="1374">
        <v>91259</v>
      </c>
      <c r="D59" s="1006">
        <v>0</v>
      </c>
    </row>
    <row r="60" spans="1:4" hidden="1" x14ac:dyDescent="0.35">
      <c r="A60" s="996" t="s">
        <v>3944</v>
      </c>
      <c r="B60" s="1374">
        <v>5200</v>
      </c>
      <c r="C60" s="1374">
        <v>5200</v>
      </c>
      <c r="D60" s="1006">
        <v>0</v>
      </c>
    </row>
    <row r="61" spans="1:4" hidden="1" x14ac:dyDescent="0.35">
      <c r="A61" s="996" t="s">
        <v>2262</v>
      </c>
      <c r="B61" s="1374">
        <v>81323</v>
      </c>
      <c r="C61" s="1374">
        <v>81323</v>
      </c>
      <c r="D61" s="1006">
        <v>0</v>
      </c>
    </row>
    <row r="62" spans="1:4" hidden="1" x14ac:dyDescent="0.35">
      <c r="A62" s="996" t="s">
        <v>129</v>
      </c>
      <c r="B62" s="1374">
        <v>276956</v>
      </c>
      <c r="C62" s="1374">
        <v>276956</v>
      </c>
      <c r="D62" s="1006">
        <v>0</v>
      </c>
    </row>
    <row r="63" spans="1:4" hidden="1" x14ac:dyDescent="0.35">
      <c r="A63" s="996" t="s">
        <v>2403</v>
      </c>
      <c r="B63" s="1374">
        <v>907</v>
      </c>
      <c r="C63" s="1374">
        <v>907</v>
      </c>
      <c r="D63" s="1006">
        <v>0</v>
      </c>
    </row>
    <row r="64" spans="1:4" hidden="1" x14ac:dyDescent="0.35">
      <c r="A64" s="996" t="s">
        <v>14</v>
      </c>
      <c r="B64" s="1374">
        <v>53258</v>
      </c>
      <c r="C64" s="1374">
        <v>53258</v>
      </c>
      <c r="D64" s="1006">
        <v>0</v>
      </c>
    </row>
    <row r="65" spans="1:4" hidden="1" x14ac:dyDescent="0.35">
      <c r="A65" s="996" t="s">
        <v>2547</v>
      </c>
      <c r="B65" s="1374">
        <v>42578</v>
      </c>
      <c r="C65" s="1374">
        <v>42578</v>
      </c>
      <c r="D65" s="1006">
        <v>0</v>
      </c>
    </row>
    <row r="66" spans="1:4" hidden="1" x14ac:dyDescent="0.35">
      <c r="A66" s="996" t="s">
        <v>9658</v>
      </c>
      <c r="B66" s="1374">
        <v>2984053</v>
      </c>
      <c r="C66" s="1374">
        <v>2984053</v>
      </c>
      <c r="D66" s="1006">
        <v>0</v>
      </c>
    </row>
    <row r="67" spans="1:4" hidden="1" x14ac:dyDescent="0.35">
      <c r="A67" s="996" t="s">
        <v>2651</v>
      </c>
      <c r="B67" s="1374">
        <v>9647104</v>
      </c>
      <c r="C67" s="1374">
        <v>9647104</v>
      </c>
      <c r="D67" s="1006">
        <v>0</v>
      </c>
    </row>
    <row r="68" spans="1:4" hidden="1" x14ac:dyDescent="0.35">
      <c r="A68" s="996" t="s">
        <v>10148</v>
      </c>
      <c r="B68" s="1374">
        <v>2384019</v>
      </c>
      <c r="C68" s="1374">
        <v>2384019</v>
      </c>
      <c r="D68" s="1006">
        <v>0</v>
      </c>
    </row>
    <row r="69" spans="1:4" hidden="1" x14ac:dyDescent="0.35">
      <c r="A69" s="996" t="s">
        <v>2318</v>
      </c>
      <c r="B69" s="1374">
        <v>39773</v>
      </c>
      <c r="C69" s="1374">
        <v>39773</v>
      </c>
      <c r="D69" s="1006">
        <v>0</v>
      </c>
    </row>
    <row r="70" spans="1:4" hidden="1" x14ac:dyDescent="0.35">
      <c r="A70" s="996" t="s">
        <v>11063</v>
      </c>
      <c r="B70" s="1374">
        <v>900642</v>
      </c>
      <c r="C70" s="1374">
        <v>900642</v>
      </c>
      <c r="D70" s="1006">
        <v>0</v>
      </c>
    </row>
    <row r="71" spans="1:4" hidden="1" x14ac:dyDescent="0.35">
      <c r="A71" s="996" t="s">
        <v>3383</v>
      </c>
      <c r="B71" s="1374">
        <v>4145</v>
      </c>
      <c r="C71" s="1374">
        <v>4145</v>
      </c>
      <c r="D71" s="1006">
        <v>0</v>
      </c>
    </row>
    <row r="72" spans="1:4" hidden="1" x14ac:dyDescent="0.35">
      <c r="A72" s="996" t="s">
        <v>11596</v>
      </c>
      <c r="B72" s="1374">
        <v>1892082</v>
      </c>
      <c r="C72" s="1374">
        <v>1892082</v>
      </c>
      <c r="D72" s="1006">
        <v>0</v>
      </c>
    </row>
    <row r="73" spans="1:4" hidden="1" x14ac:dyDescent="0.35">
      <c r="A73" s="996" t="s">
        <v>3400</v>
      </c>
      <c r="B73" s="1374">
        <v>25920</v>
      </c>
      <c r="C73" s="1374">
        <v>25920</v>
      </c>
      <c r="D73" s="1006">
        <v>0</v>
      </c>
    </row>
    <row r="74" spans="1:4" s="1007" customFormat="1" hidden="1" x14ac:dyDescent="0.35">
      <c r="A74" s="996" t="s">
        <v>36</v>
      </c>
      <c r="B74" s="1374">
        <v>11281</v>
      </c>
      <c r="C74" s="1374">
        <v>11281</v>
      </c>
      <c r="D74" s="1006">
        <v>0</v>
      </c>
    </row>
    <row r="75" spans="1:4" hidden="1" x14ac:dyDescent="0.35">
      <c r="A75" s="996" t="s">
        <v>3621</v>
      </c>
      <c r="B75" s="1374">
        <v>1205380</v>
      </c>
      <c r="C75" s="1374">
        <v>1205380</v>
      </c>
      <c r="D75" s="1006">
        <v>0</v>
      </c>
    </row>
    <row r="76" spans="1:4" hidden="1" x14ac:dyDescent="0.35">
      <c r="A76" s="996" t="s">
        <v>171</v>
      </c>
      <c r="B76" s="1374">
        <v>46541</v>
      </c>
      <c r="C76" s="1374">
        <v>46541</v>
      </c>
      <c r="D76" s="1006">
        <v>0</v>
      </c>
    </row>
    <row r="77" spans="1:4" hidden="1" x14ac:dyDescent="0.35">
      <c r="A77" s="996" t="s">
        <v>1675</v>
      </c>
      <c r="B77" s="1374">
        <v>155133</v>
      </c>
      <c r="C77" s="1374">
        <v>155133</v>
      </c>
      <c r="D77" s="1006">
        <v>0</v>
      </c>
    </row>
    <row r="78" spans="1:4" hidden="1" x14ac:dyDescent="0.35">
      <c r="A78" s="996" t="s">
        <v>39</v>
      </c>
      <c r="B78" s="1374">
        <v>65000</v>
      </c>
      <c r="C78" s="1374">
        <v>65000</v>
      </c>
      <c r="D78" s="1006">
        <v>0</v>
      </c>
    </row>
    <row r="79" spans="1:4" hidden="1" x14ac:dyDescent="0.35">
      <c r="A79" s="996" t="s">
        <v>18</v>
      </c>
      <c r="B79" s="1374">
        <v>150590</v>
      </c>
      <c r="C79" s="1374">
        <v>150590</v>
      </c>
      <c r="D79" s="1006">
        <v>0</v>
      </c>
    </row>
    <row r="80" spans="1:4" hidden="1" x14ac:dyDescent="0.35">
      <c r="A80" s="996" t="s">
        <v>7110</v>
      </c>
      <c r="B80" s="1374">
        <v>565282</v>
      </c>
      <c r="C80" s="1374">
        <v>565282</v>
      </c>
      <c r="D80" s="1006">
        <v>0</v>
      </c>
    </row>
    <row r="81" spans="1:4" hidden="1" x14ac:dyDescent="0.35">
      <c r="A81" s="996" t="s">
        <v>4720</v>
      </c>
      <c r="B81" s="1374">
        <v>644100</v>
      </c>
      <c r="C81" s="1374">
        <v>644100</v>
      </c>
      <c r="D81" s="1006">
        <v>0</v>
      </c>
    </row>
    <row r="82" spans="1:4" hidden="1" x14ac:dyDescent="0.35">
      <c r="A82" s="996" t="s">
        <v>6516</v>
      </c>
      <c r="B82" s="1374">
        <v>1058091</v>
      </c>
      <c r="C82" s="1374">
        <v>1058091</v>
      </c>
      <c r="D82" s="1006">
        <v>0</v>
      </c>
    </row>
    <row r="83" spans="1:4" hidden="1" x14ac:dyDescent="0.35">
      <c r="A83" s="996" t="s">
        <v>4883</v>
      </c>
      <c r="B83" s="1374">
        <v>262657</v>
      </c>
      <c r="C83" s="1374">
        <v>262657</v>
      </c>
      <c r="D83" s="1006">
        <v>0</v>
      </c>
    </row>
    <row r="84" spans="1:4" hidden="1" x14ac:dyDescent="0.35">
      <c r="A84" s="996" t="s">
        <v>6645</v>
      </c>
      <c r="B84" s="1374"/>
      <c r="C84" s="1374"/>
      <c r="D84" s="1006">
        <v>0</v>
      </c>
    </row>
    <row r="85" spans="1:4" hidden="1" x14ac:dyDescent="0.35">
      <c r="A85" s="996" t="s">
        <v>5051</v>
      </c>
      <c r="B85" s="1374">
        <v>206944</v>
      </c>
      <c r="C85" s="1374">
        <v>206944</v>
      </c>
      <c r="D85" s="1006">
        <v>0</v>
      </c>
    </row>
    <row r="86" spans="1:4" hidden="1" x14ac:dyDescent="0.35">
      <c r="A86" s="996" t="s">
        <v>7744</v>
      </c>
      <c r="B86" s="1374">
        <v>319499</v>
      </c>
      <c r="C86" s="1374">
        <v>319499</v>
      </c>
      <c r="D86" s="1006">
        <v>0</v>
      </c>
    </row>
    <row r="87" spans="1:4" hidden="1" x14ac:dyDescent="0.35">
      <c r="A87" s="996" t="s">
        <v>4813</v>
      </c>
      <c r="B87" s="1374">
        <v>15712</v>
      </c>
      <c r="C87" s="1374">
        <v>15712</v>
      </c>
      <c r="D87" s="1006">
        <v>0</v>
      </c>
    </row>
    <row r="88" spans="1:4" hidden="1" x14ac:dyDescent="0.35">
      <c r="A88" s="996" t="s">
        <v>7919</v>
      </c>
      <c r="B88" s="1374">
        <v>3715694</v>
      </c>
      <c r="C88" s="1374">
        <v>3715694</v>
      </c>
      <c r="D88" s="1006">
        <v>0</v>
      </c>
    </row>
    <row r="89" spans="1:4" hidden="1" x14ac:dyDescent="0.35">
      <c r="A89" s="996" t="s">
        <v>5226</v>
      </c>
      <c r="B89" s="1374">
        <v>862774</v>
      </c>
      <c r="C89" s="1374">
        <v>862774</v>
      </c>
      <c r="D89" s="1006">
        <v>0</v>
      </c>
    </row>
    <row r="90" spans="1:4" hidden="1" x14ac:dyDescent="0.35">
      <c r="A90" s="996" t="s">
        <v>7951</v>
      </c>
      <c r="B90" s="1374">
        <v>3636139</v>
      </c>
      <c r="C90" s="1374">
        <v>3636139</v>
      </c>
      <c r="D90" s="1006">
        <v>0</v>
      </c>
    </row>
    <row r="91" spans="1:4" hidden="1" x14ac:dyDescent="0.35">
      <c r="A91" s="996" t="s">
        <v>5319</v>
      </c>
      <c r="B91" s="1374">
        <v>52679</v>
      </c>
      <c r="C91" s="1374">
        <v>52679</v>
      </c>
      <c r="D91" s="1006">
        <v>0</v>
      </c>
    </row>
    <row r="92" spans="1:4" hidden="1" x14ac:dyDescent="0.35">
      <c r="A92" s="996" t="s">
        <v>8075</v>
      </c>
      <c r="B92" s="1374">
        <v>142848</v>
      </c>
      <c r="C92" s="1374">
        <v>142848</v>
      </c>
      <c r="D92" s="1006">
        <v>0</v>
      </c>
    </row>
    <row r="93" spans="1:4" hidden="1" x14ac:dyDescent="0.35">
      <c r="A93" s="996" t="s">
        <v>5547</v>
      </c>
      <c r="B93" s="1374">
        <v>202398</v>
      </c>
      <c r="C93" s="1374">
        <v>202398</v>
      </c>
      <c r="D93" s="1006">
        <v>0</v>
      </c>
    </row>
    <row r="94" spans="1:4" hidden="1" x14ac:dyDescent="0.35">
      <c r="A94" s="996" t="s">
        <v>2270</v>
      </c>
      <c r="B94" s="1374">
        <v>166908</v>
      </c>
      <c r="C94" s="1374">
        <v>166908</v>
      </c>
      <c r="D94" s="1006">
        <v>0</v>
      </c>
    </row>
    <row r="95" spans="1:4" hidden="1" x14ac:dyDescent="0.35">
      <c r="A95" s="996" t="s">
        <v>5708</v>
      </c>
      <c r="B95" s="1374">
        <v>189460</v>
      </c>
      <c r="C95" s="1374">
        <v>189460</v>
      </c>
      <c r="D95" s="1006">
        <v>0</v>
      </c>
    </row>
    <row r="96" spans="1:4" hidden="1" x14ac:dyDescent="0.35">
      <c r="A96" s="996" t="s">
        <v>8654</v>
      </c>
      <c r="B96" s="1374">
        <v>11292323</v>
      </c>
      <c r="C96" s="1374">
        <v>11292323</v>
      </c>
      <c r="D96" s="1006">
        <v>0</v>
      </c>
    </row>
    <row r="97" spans="1:4" hidden="1" x14ac:dyDescent="0.35">
      <c r="A97" s="996" t="s">
        <v>5719</v>
      </c>
      <c r="B97" s="1374">
        <v>271758</v>
      </c>
      <c r="C97" s="1374">
        <v>271758</v>
      </c>
      <c r="D97" s="1006">
        <v>0</v>
      </c>
    </row>
    <row r="98" spans="1:4" hidden="1" x14ac:dyDescent="0.35">
      <c r="A98" s="996" t="s">
        <v>154</v>
      </c>
      <c r="B98" s="1374">
        <v>252400</v>
      </c>
      <c r="C98" s="1374">
        <v>252400</v>
      </c>
      <c r="D98" s="1006">
        <v>0</v>
      </c>
    </row>
    <row r="99" spans="1:4" hidden="1" x14ac:dyDescent="0.35">
      <c r="A99" s="996" t="s">
        <v>5728</v>
      </c>
      <c r="B99" s="1374">
        <v>20800</v>
      </c>
      <c r="C99" s="1374">
        <v>20800</v>
      </c>
      <c r="D99" s="1006">
        <v>0</v>
      </c>
    </row>
    <row r="100" spans="1:4" hidden="1" x14ac:dyDescent="0.35">
      <c r="A100" s="996" t="s">
        <v>9504</v>
      </c>
      <c r="B100" s="1374">
        <v>69638</v>
      </c>
      <c r="C100" s="1374">
        <v>69638</v>
      </c>
      <c r="D100" s="1006">
        <v>0</v>
      </c>
    </row>
    <row r="101" spans="1:4" hidden="1" x14ac:dyDescent="0.35">
      <c r="A101" s="996" t="s">
        <v>40</v>
      </c>
      <c r="B101" s="1374">
        <v>4949540</v>
      </c>
      <c r="C101" s="1374">
        <v>4949540</v>
      </c>
      <c r="D101" s="1006">
        <v>0</v>
      </c>
    </row>
    <row r="102" spans="1:4" hidden="1" x14ac:dyDescent="0.35">
      <c r="A102" s="996" t="s">
        <v>9766</v>
      </c>
      <c r="B102" s="1374">
        <v>6398047</v>
      </c>
      <c r="C102" s="1374">
        <v>6398047</v>
      </c>
      <c r="D102" s="1006">
        <v>0</v>
      </c>
    </row>
    <row r="103" spans="1:4" hidden="1" x14ac:dyDescent="0.35">
      <c r="A103" s="996" t="s">
        <v>1399</v>
      </c>
      <c r="B103" s="1374">
        <v>26199453</v>
      </c>
      <c r="C103" s="1374">
        <v>26199453</v>
      </c>
      <c r="D103" s="1006">
        <v>0</v>
      </c>
    </row>
    <row r="104" spans="1:4" hidden="1" x14ac:dyDescent="0.35">
      <c r="A104" s="996" t="s">
        <v>394</v>
      </c>
      <c r="B104" s="1374">
        <v>51141</v>
      </c>
      <c r="C104" s="1374">
        <v>51141</v>
      </c>
      <c r="D104" s="1006">
        <v>0</v>
      </c>
    </row>
    <row r="105" spans="1:4" hidden="1" x14ac:dyDescent="0.35">
      <c r="A105" s="996" t="s">
        <v>7805</v>
      </c>
      <c r="B105" s="1374">
        <v>1072490</v>
      </c>
      <c r="C105" s="1374">
        <v>1072490</v>
      </c>
      <c r="D105" s="1006">
        <v>0</v>
      </c>
    </row>
    <row r="106" spans="1:4" hidden="1" x14ac:dyDescent="0.35">
      <c r="A106" s="996" t="s">
        <v>2786</v>
      </c>
      <c r="B106" s="1374">
        <v>4910436</v>
      </c>
      <c r="C106" s="1374">
        <v>4910436</v>
      </c>
      <c r="D106" s="1006">
        <v>0</v>
      </c>
    </row>
    <row r="107" spans="1:4" hidden="1" x14ac:dyDescent="0.35">
      <c r="A107" s="996" t="s">
        <v>10901</v>
      </c>
      <c r="B107" s="1374">
        <v>79935</v>
      </c>
      <c r="C107" s="1374">
        <v>79935</v>
      </c>
      <c r="D107" s="1006">
        <v>0</v>
      </c>
    </row>
    <row r="108" spans="1:4" hidden="1" x14ac:dyDescent="0.35">
      <c r="A108" s="996" t="s">
        <v>10376</v>
      </c>
      <c r="B108" s="1374">
        <v>1329980</v>
      </c>
      <c r="C108" s="1374">
        <v>1329980</v>
      </c>
      <c r="D108" s="1006">
        <v>0</v>
      </c>
    </row>
    <row r="109" spans="1:4" hidden="1" x14ac:dyDescent="0.35">
      <c r="A109" s="996" t="s">
        <v>5810</v>
      </c>
      <c r="B109" s="1374">
        <v>317719</v>
      </c>
      <c r="C109" s="1374">
        <v>317719</v>
      </c>
      <c r="D109" s="1006">
        <v>0</v>
      </c>
    </row>
    <row r="110" spans="1:4" hidden="1" x14ac:dyDescent="0.35">
      <c r="A110" s="996" t="s">
        <v>2226</v>
      </c>
      <c r="B110" s="1374">
        <v>381380</v>
      </c>
      <c r="C110" s="1374">
        <v>381380</v>
      </c>
      <c r="D110" s="1006">
        <v>0</v>
      </c>
    </row>
    <row r="111" spans="1:4" hidden="1" x14ac:dyDescent="0.35">
      <c r="A111" s="996" t="s">
        <v>6102</v>
      </c>
      <c r="B111" s="1374">
        <v>126398</v>
      </c>
      <c r="C111" s="1374">
        <v>126398</v>
      </c>
      <c r="D111" s="1006">
        <v>0</v>
      </c>
    </row>
    <row r="112" spans="1:4" hidden="1" x14ac:dyDescent="0.35">
      <c r="A112" s="996" t="s">
        <v>2093</v>
      </c>
      <c r="B112" s="1374">
        <v>148869</v>
      </c>
      <c r="C112" s="1374">
        <v>148869</v>
      </c>
      <c r="D112" s="1006">
        <v>0</v>
      </c>
    </row>
    <row r="113" spans="1:4" hidden="1" x14ac:dyDescent="0.35">
      <c r="A113" s="996" t="s">
        <v>6247</v>
      </c>
      <c r="B113" s="1374">
        <v>64600</v>
      </c>
      <c r="C113" s="1374">
        <v>64600</v>
      </c>
      <c r="D113" s="1006">
        <v>0</v>
      </c>
    </row>
    <row r="114" spans="1:4" hidden="1" x14ac:dyDescent="0.35">
      <c r="A114" s="996" t="s">
        <v>1396</v>
      </c>
      <c r="B114" s="1374">
        <v>3227014</v>
      </c>
      <c r="C114" s="1374">
        <v>3227014</v>
      </c>
      <c r="D114" s="1006">
        <v>0</v>
      </c>
    </row>
    <row r="115" spans="1:4" hidden="1" x14ac:dyDescent="0.35">
      <c r="A115" s="996" t="s">
        <v>6407</v>
      </c>
      <c r="B115" s="1374">
        <v>959942</v>
      </c>
      <c r="C115" s="1374">
        <v>959942</v>
      </c>
      <c r="D115" s="1006">
        <v>0</v>
      </c>
    </row>
    <row r="116" spans="1:4" hidden="1" x14ac:dyDescent="0.35">
      <c r="A116" s="996" t="s">
        <v>10995</v>
      </c>
      <c r="B116" s="1374">
        <v>69890</v>
      </c>
      <c r="C116" s="1374">
        <v>69890</v>
      </c>
      <c r="D116" s="1006">
        <v>0</v>
      </c>
    </row>
    <row r="117" spans="1:4" hidden="1" x14ac:dyDescent="0.35">
      <c r="A117" s="996" t="s">
        <v>13481</v>
      </c>
      <c r="B117" s="1374">
        <v>260520</v>
      </c>
      <c r="C117" s="1374">
        <v>260520</v>
      </c>
      <c r="D117" s="1006">
        <v>0</v>
      </c>
    </row>
    <row r="118" spans="1:4" hidden="1" x14ac:dyDescent="0.35">
      <c r="A118" s="1097" t="s">
        <v>8391</v>
      </c>
      <c r="B118" s="1374">
        <v>260520</v>
      </c>
      <c r="C118" s="1374">
        <v>260520</v>
      </c>
      <c r="D118" s="1006">
        <v>0</v>
      </c>
    </row>
    <row r="119" spans="1:4" hidden="1" x14ac:dyDescent="0.35">
      <c r="A119" s="996" t="s">
        <v>1804</v>
      </c>
      <c r="B119" s="1374">
        <v>236720</v>
      </c>
      <c r="C119" s="1374">
        <v>236720</v>
      </c>
      <c r="D119" s="1006">
        <v>0</v>
      </c>
    </row>
    <row r="120" spans="1:4" x14ac:dyDescent="0.35">
      <c r="A120" s="996" t="s">
        <v>2932</v>
      </c>
      <c r="B120" s="1374">
        <v>6628809</v>
      </c>
      <c r="C120" s="1374">
        <v>6628809</v>
      </c>
      <c r="D120" s="1006">
        <v>0</v>
      </c>
    </row>
    <row r="121" spans="1:4" x14ac:dyDescent="0.35">
      <c r="A121" s="996" t="s">
        <v>11695</v>
      </c>
      <c r="B121" s="1374">
        <v>62941</v>
      </c>
      <c r="C121" s="1374">
        <v>62941</v>
      </c>
      <c r="D121" s="1006">
        <v>0</v>
      </c>
    </row>
    <row r="122" spans="1:4" x14ac:dyDescent="0.35">
      <c r="A122" s="996" t="s">
        <v>3732</v>
      </c>
      <c r="B122" s="1374">
        <v>633124</v>
      </c>
      <c r="C122" s="1374">
        <v>633124</v>
      </c>
      <c r="D122" s="1006">
        <v>0</v>
      </c>
    </row>
    <row r="123" spans="1:4" x14ac:dyDescent="0.35">
      <c r="A123" s="996" t="s">
        <v>2088</v>
      </c>
      <c r="B123" s="1374">
        <v>64441</v>
      </c>
      <c r="C123" s="1374">
        <v>64441</v>
      </c>
      <c r="D123" s="1006">
        <v>0</v>
      </c>
    </row>
    <row r="124" spans="1:4" x14ac:dyDescent="0.35">
      <c r="A124" s="996" t="s">
        <v>6718</v>
      </c>
      <c r="B124" s="1374">
        <v>270400</v>
      </c>
      <c r="C124" s="1374">
        <v>270400</v>
      </c>
      <c r="D124" s="1006">
        <v>0</v>
      </c>
    </row>
    <row r="125" spans="1:4" x14ac:dyDescent="0.35">
      <c r="A125" s="996" t="s">
        <v>10119</v>
      </c>
      <c r="B125" s="1374">
        <v>80000</v>
      </c>
      <c r="C125" s="1374">
        <v>80000</v>
      </c>
      <c r="D125" s="1006">
        <v>0</v>
      </c>
    </row>
    <row r="126" spans="1:4" x14ac:dyDescent="0.35">
      <c r="A126" s="996" t="s">
        <v>6953</v>
      </c>
      <c r="B126" s="1374">
        <v>975613</v>
      </c>
      <c r="C126" s="1374">
        <v>975613</v>
      </c>
      <c r="D126" s="1006">
        <v>0</v>
      </c>
    </row>
    <row r="127" spans="1:4" x14ac:dyDescent="0.35">
      <c r="A127" s="996" t="s">
        <v>160</v>
      </c>
      <c r="B127" s="1374">
        <v>7375</v>
      </c>
      <c r="C127" s="1374">
        <v>7375</v>
      </c>
      <c r="D127" s="1006">
        <v>0</v>
      </c>
    </row>
    <row r="128" spans="1:4" x14ac:dyDescent="0.35">
      <c r="A128" s="996" t="s">
        <v>1202</v>
      </c>
      <c r="B128" s="1374">
        <v>59350</v>
      </c>
      <c r="C128" s="1374">
        <v>59350</v>
      </c>
      <c r="D128" s="1006">
        <v>0</v>
      </c>
    </row>
    <row r="129" spans="1:4" x14ac:dyDescent="0.35">
      <c r="A129" s="996" t="s">
        <v>3945</v>
      </c>
      <c r="B129" s="1374">
        <v>514945</v>
      </c>
      <c r="C129" s="1374">
        <v>514945</v>
      </c>
      <c r="D129" s="1006">
        <v>0</v>
      </c>
    </row>
    <row r="130" spans="1:4" x14ac:dyDescent="0.35">
      <c r="A130" s="996" t="s">
        <v>38</v>
      </c>
      <c r="B130" s="1374">
        <v>110704</v>
      </c>
      <c r="C130" s="1374">
        <v>110704</v>
      </c>
      <c r="D130" s="1006">
        <v>0</v>
      </c>
    </row>
    <row r="131" spans="1:4" x14ac:dyDescent="0.35">
      <c r="A131" s="996" t="s">
        <v>1214</v>
      </c>
      <c r="B131" s="1374">
        <v>258956</v>
      </c>
      <c r="C131" s="1374">
        <v>258956</v>
      </c>
      <c r="D131" s="1006">
        <v>0</v>
      </c>
    </row>
    <row r="132" spans="1:4" x14ac:dyDescent="0.35">
      <c r="A132" s="996" t="s">
        <v>7065</v>
      </c>
      <c r="B132" s="1374">
        <v>1567993</v>
      </c>
      <c r="C132" s="1374">
        <v>1567993</v>
      </c>
      <c r="D132" s="1006">
        <v>0</v>
      </c>
    </row>
    <row r="133" spans="1:4" x14ac:dyDescent="0.35">
      <c r="A133" s="996" t="s">
        <v>130</v>
      </c>
      <c r="B133" s="1374">
        <v>624947</v>
      </c>
      <c r="C133" s="1374">
        <v>624947</v>
      </c>
      <c r="D133" s="1006">
        <v>0</v>
      </c>
    </row>
    <row r="134" spans="1:4" x14ac:dyDescent="0.35">
      <c r="A134" s="996" t="s">
        <v>2648</v>
      </c>
      <c r="B134" s="1374">
        <v>202856</v>
      </c>
      <c r="C134" s="1374">
        <v>202856</v>
      </c>
      <c r="D134" s="1006">
        <v>0</v>
      </c>
    </row>
    <row r="135" spans="1:4" x14ac:dyDescent="0.35">
      <c r="A135" s="996" t="s">
        <v>13182</v>
      </c>
      <c r="B135" s="1374">
        <v>120070</v>
      </c>
      <c r="C135" s="1374">
        <v>120070</v>
      </c>
      <c r="D135" s="1006">
        <v>0</v>
      </c>
    </row>
    <row r="136" spans="1:4" x14ac:dyDescent="0.35">
      <c r="A136" s="996" t="s">
        <v>6503</v>
      </c>
      <c r="B136" s="1374">
        <v>420205</v>
      </c>
      <c r="C136" s="1374">
        <v>420205</v>
      </c>
      <c r="D136" s="1006">
        <v>0</v>
      </c>
    </row>
    <row r="137" spans="1:4" x14ac:dyDescent="0.35">
      <c r="A137" s="996" t="s">
        <v>7655</v>
      </c>
      <c r="B137" s="1374">
        <v>1303060</v>
      </c>
      <c r="C137" s="1374">
        <v>1303060</v>
      </c>
      <c r="D137" s="1006">
        <v>0</v>
      </c>
    </row>
    <row r="138" spans="1:4" x14ac:dyDescent="0.35">
      <c r="A138" s="996" t="s">
        <v>6505</v>
      </c>
      <c r="B138" s="1374">
        <v>74613</v>
      </c>
      <c r="C138" s="1374">
        <v>74613</v>
      </c>
      <c r="D138" s="1006">
        <v>0</v>
      </c>
    </row>
    <row r="139" spans="1:4" x14ac:dyDescent="0.35">
      <c r="A139" s="996" t="s">
        <v>6506</v>
      </c>
      <c r="B139" s="1374">
        <v>798186</v>
      </c>
      <c r="C139" s="1374">
        <v>798186</v>
      </c>
      <c r="D139" s="1006">
        <v>0</v>
      </c>
    </row>
    <row r="140" spans="1:4" x14ac:dyDescent="0.35">
      <c r="A140" s="996" t="s">
        <v>6509</v>
      </c>
      <c r="B140" s="1374">
        <v>1741940</v>
      </c>
      <c r="C140" s="1374">
        <v>1741940</v>
      </c>
      <c r="D140" s="1006">
        <v>0</v>
      </c>
    </row>
    <row r="141" spans="1:4" x14ac:dyDescent="0.35">
      <c r="A141" s="996" t="s">
        <v>75</v>
      </c>
      <c r="B141" s="1374">
        <v>13918</v>
      </c>
      <c r="C141" s="1374">
        <v>27262</v>
      </c>
      <c r="D141" s="1006">
        <v>-13344</v>
      </c>
    </row>
    <row r="142" spans="1:4" x14ac:dyDescent="0.35">
      <c r="A142" s="996" t="s">
        <v>12400</v>
      </c>
      <c r="B142" s="1374">
        <v>281939</v>
      </c>
      <c r="C142" s="1374">
        <v>700387</v>
      </c>
      <c r="D142" s="1006">
        <v>-418448</v>
      </c>
    </row>
    <row r="143" spans="1:4" x14ac:dyDescent="0.35">
      <c r="A143" s="996" t="s">
        <v>10899</v>
      </c>
      <c r="B143" s="1374">
        <v>10156440.5</v>
      </c>
      <c r="C143" s="1374">
        <v>10712870.5</v>
      </c>
      <c r="D143" s="1006">
        <v>-556429.99999999988</v>
      </c>
    </row>
    <row r="144" spans="1:4" ht="24" thickBot="1" x14ac:dyDescent="0.4">
      <c r="A144" s="996" t="s">
        <v>13115</v>
      </c>
      <c r="B144" s="1374">
        <v>1532448</v>
      </c>
      <c r="C144" s="1374">
        <v>2469893</v>
      </c>
      <c r="D144" s="1006">
        <v>-937445</v>
      </c>
    </row>
    <row r="145" spans="1:4" ht="24" thickBot="1" x14ac:dyDescent="0.4">
      <c r="A145" s="1008" t="s">
        <v>45</v>
      </c>
      <c r="B145" s="1009">
        <v>245164641.5</v>
      </c>
      <c r="C145" s="1010">
        <v>242322198.5</v>
      </c>
      <c r="D145" s="1011">
        <v>2842443</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14" t="s">
        <v>13392</v>
      </c>
      <c r="B4" s="1215"/>
      <c r="C4" s="1216"/>
      <c r="E4" s="1214" t="s">
        <v>10311</v>
      </c>
      <c r="F4" s="1215"/>
      <c r="G4" s="1216"/>
      <c r="I4" s="1214" t="s">
        <v>8020</v>
      </c>
      <c r="J4" s="1215"/>
      <c r="K4" s="1216"/>
      <c r="M4" s="1214" t="s">
        <v>7086</v>
      </c>
      <c r="N4" s="1215"/>
      <c r="O4" s="1216"/>
      <c r="Q4" s="1214" t="s">
        <v>6016</v>
      </c>
      <c r="R4" s="1215"/>
      <c r="S4" s="1216"/>
      <c r="U4" s="1214" t="s">
        <v>5068</v>
      </c>
      <c r="V4" s="1215"/>
      <c r="W4" s="1216"/>
      <c r="Y4" s="1214" t="s">
        <v>3662</v>
      </c>
      <c r="Z4" s="1215"/>
      <c r="AA4" s="1216"/>
      <c r="AC4" s="1214" t="s">
        <v>2639</v>
      </c>
      <c r="AD4" s="1215"/>
      <c r="AE4" s="1216"/>
      <c r="AG4" s="1228" t="s">
        <v>6018</v>
      </c>
      <c r="AH4" s="1229"/>
      <c r="AI4" s="1230"/>
      <c r="AK4" s="1245" t="s">
        <v>1084</v>
      </c>
      <c r="AL4" s="1246"/>
      <c r="AM4" s="1247"/>
    </row>
    <row r="5" spans="1:46" ht="21" customHeight="1" x14ac:dyDescent="0.25">
      <c r="A5" s="1217"/>
      <c r="B5" s="1218"/>
      <c r="C5" s="1219"/>
      <c r="E5" s="1217"/>
      <c r="F5" s="1218"/>
      <c r="G5" s="1219"/>
      <c r="I5" s="1217"/>
      <c r="J5" s="1218"/>
      <c r="K5" s="1219"/>
      <c r="M5" s="1217"/>
      <c r="N5" s="1218"/>
      <c r="O5" s="1219"/>
      <c r="Q5" s="1217"/>
      <c r="R5" s="1218"/>
      <c r="S5" s="1219"/>
      <c r="U5" s="1217"/>
      <c r="V5" s="1218"/>
      <c r="W5" s="1219"/>
      <c r="Y5" s="1217"/>
      <c r="Z5" s="1218"/>
      <c r="AA5" s="1219"/>
      <c r="AC5" s="1217"/>
      <c r="AD5" s="1218"/>
      <c r="AE5" s="1219"/>
      <c r="AF5" s="3"/>
      <c r="AG5" s="1231"/>
      <c r="AH5" s="1232"/>
      <c r="AI5" s="1233"/>
      <c r="AK5" s="1245"/>
      <c r="AL5" s="1246"/>
      <c r="AM5" s="124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SUM(Posting!E19927:E30160)</f>
        <v>21006547.583333332</v>
      </c>
      <c r="C7" s="275">
        <f>SUM(Posting!F19927:F30160)</f>
        <v>2997248</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SUM(Posting!B19634:B19926)</f>
        <v>0</v>
      </c>
      <c r="E18" s="274" t="s">
        <v>186</v>
      </c>
      <c r="F18" s="275">
        <f>SUM(Posting!E19634:E19926)</f>
        <v>30719428</v>
      </c>
      <c r="G18" s="275">
        <f>SUM(Posting!F19634:F19926)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21006547.583333332</v>
      </c>
      <c r="C19" s="278">
        <f>SUM(C7:C18)</f>
        <v>2997248</v>
      </c>
      <c r="E19" s="276" t="s">
        <v>765</v>
      </c>
      <c r="F19" s="277">
        <f>SUM(F7:F18)</f>
        <v>303032121.18604004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-18009299.583333332</v>
      </c>
      <c r="G21" s="698">
        <f>G19-F19</f>
        <v>79401207.635159969</v>
      </c>
      <c r="K21" s="698">
        <f>K19-J19</f>
        <v>46800541.815737337</v>
      </c>
      <c r="O21" s="698">
        <f>O19-N19</f>
        <v>15703108.030833334</v>
      </c>
      <c r="S21" s="3">
        <f>S19-R19</f>
        <v>12408423.384024575</v>
      </c>
      <c r="AD21" s="3"/>
    </row>
    <row r="22" spans="1:41" ht="15.75" x14ac:dyDescent="0.25">
      <c r="A22" s="1220"/>
      <c r="B22" s="1220"/>
      <c r="C22" s="1"/>
      <c r="E22" s="1220"/>
      <c r="F22" s="1220"/>
      <c r="G22" s="1"/>
      <c r="K22" s="698"/>
      <c r="M22" s="1220" t="s">
        <v>7705</v>
      </c>
      <c r="N22" s="1220"/>
      <c r="O22" s="1">
        <v>2831635</v>
      </c>
      <c r="U22" s="3">
        <f>S19-R19</f>
        <v>12408423.384024575</v>
      </c>
      <c r="Y22" s="3"/>
      <c r="Z22" s="3"/>
      <c r="AC22" s="3"/>
      <c r="AG22" s="3"/>
      <c r="AK22" s="3"/>
    </row>
    <row r="23" spans="1:41" ht="15.75" customHeight="1" x14ac:dyDescent="0.3">
      <c r="A23" s="1221" t="s">
        <v>11394</v>
      </c>
      <c r="B23" s="1221"/>
      <c r="C23" s="1221"/>
      <c r="E23" s="1221" t="s">
        <v>11394</v>
      </c>
      <c r="F23" s="1221"/>
      <c r="G23" s="1221"/>
      <c r="I23" s="1221" t="s">
        <v>11394</v>
      </c>
      <c r="J23" s="1221"/>
      <c r="K23" s="1221"/>
      <c r="M23" s="1220" t="s">
        <v>7706</v>
      </c>
      <c r="N23" s="1220"/>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20" t="s">
        <v>8178</v>
      </c>
      <c r="N24" s="1220"/>
      <c r="O24" s="1">
        <v>2434251</v>
      </c>
    </row>
    <row r="25" spans="1:41" ht="18.75" x14ac:dyDescent="0.25">
      <c r="A25" s="2" t="s">
        <v>11396</v>
      </c>
      <c r="B25" s="1019">
        <f ca="1">Profit!P5</f>
        <v>381206</v>
      </c>
      <c r="C25" s="1019">
        <f ca="1">Profit!P6</f>
        <v>0</v>
      </c>
      <c r="E25" s="2" t="s">
        <v>11396</v>
      </c>
      <c r="F25" s="1019">
        <f ca="1">Profit!U5</f>
        <v>19542569</v>
      </c>
      <c r="G25" s="1019">
        <f ca="1">Profit!U6</f>
        <v>8636000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20625341.583333332</v>
      </c>
      <c r="C28" s="278">
        <f ca="1">C19-C25-C26</f>
        <v>2997248</v>
      </c>
      <c r="E28" s="276" t="s">
        <v>11397</v>
      </c>
      <c r="F28" s="277">
        <f ca="1">F19-F25-F26</f>
        <v>281302222.18604004</v>
      </c>
      <c r="G28" s="278">
        <f ca="1">G19-G25-G26</f>
        <v>370073328.82120001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-17628093.583333332</v>
      </c>
      <c r="G30" s="973">
        <f ca="1">G28-F28</f>
        <v>88771106.635159969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36" t="s">
        <v>2640</v>
      </c>
      <c r="AK38" s="1237"/>
      <c r="AL38" s="1237"/>
      <c r="AM38" s="1237"/>
      <c r="AN38" s="1237"/>
      <c r="AO38" s="1237"/>
      <c r="AP38" s="1237"/>
      <c r="AQ38" s="1237"/>
      <c r="AR38" s="1237"/>
      <c r="AS38" s="1237"/>
      <c r="AT38" s="1238"/>
    </row>
    <row r="39" spans="2:46" ht="15" customHeight="1" x14ac:dyDescent="0.25">
      <c r="AJ39" s="1239"/>
      <c r="AK39" s="1240"/>
      <c r="AL39" s="1240"/>
      <c r="AM39" s="1240"/>
      <c r="AN39" s="1240"/>
      <c r="AO39" s="1240"/>
      <c r="AP39" s="1240"/>
      <c r="AQ39" s="1240"/>
      <c r="AR39" s="1240"/>
      <c r="AS39" s="1240"/>
      <c r="AT39" s="1241"/>
    </row>
    <row r="40" spans="2:46" ht="15.75" thickBot="1" x14ac:dyDescent="0.3">
      <c r="AJ40" s="1242"/>
      <c r="AK40" s="1243"/>
      <c r="AL40" s="1243"/>
      <c r="AM40" s="1243"/>
      <c r="AN40" s="1243"/>
      <c r="AO40" s="1243"/>
      <c r="AP40" s="1243"/>
      <c r="AQ40" s="1243"/>
      <c r="AR40" s="1243"/>
      <c r="AS40" s="1243"/>
      <c r="AT40" s="1244"/>
    </row>
    <row r="41" spans="2:46" ht="14.45" customHeight="1" x14ac:dyDescent="0.25">
      <c r="AR41" s="1234" t="s">
        <v>2639</v>
      </c>
      <c r="AS41" s="1234"/>
      <c r="AT41" s="1234"/>
    </row>
    <row r="42" spans="2:46" ht="26.25" customHeight="1" x14ac:dyDescent="0.25">
      <c r="AR42" s="1235"/>
      <c r="AS42" s="1235"/>
      <c r="AT42" s="123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22" t="s">
        <v>1200</v>
      </c>
      <c r="AK58" s="1223"/>
      <c r="AL58" s="1224"/>
    </row>
    <row r="59" spans="36:46" ht="15" hidden="1" customHeight="1" x14ac:dyDescent="0.25">
      <c r="AJ59" s="1225"/>
      <c r="AK59" s="1226"/>
      <c r="AL59" s="122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0" t="s">
        <v>1766</v>
      </c>
      <c r="B1" s="1270"/>
      <c r="C1" s="1270"/>
      <c r="D1" s="1270"/>
      <c r="E1" s="1270"/>
      <c r="F1" s="1270"/>
      <c r="G1" s="1270"/>
      <c r="H1" s="1270"/>
      <c r="I1" s="1270"/>
      <c r="J1" s="1270"/>
      <c r="K1" s="1270"/>
      <c r="L1" s="1270"/>
      <c r="M1" s="1270"/>
      <c r="N1" s="1270"/>
    </row>
    <row r="2" spans="1:14" ht="14.45" customHeight="1" x14ac:dyDescent="0.25">
      <c r="A2" s="1270"/>
      <c r="B2" s="1270"/>
      <c r="C2" s="1270"/>
      <c r="D2" s="1270"/>
      <c r="E2" s="1270"/>
      <c r="F2" s="1270"/>
      <c r="G2" s="1270"/>
      <c r="H2" s="1270"/>
      <c r="I2" s="1270"/>
      <c r="J2" s="1270"/>
      <c r="K2" s="1270"/>
      <c r="L2" s="1270"/>
      <c r="M2" s="1270"/>
      <c r="N2" s="1270"/>
    </row>
    <row r="3" spans="1:14" ht="14.45" customHeight="1" x14ac:dyDescent="0.25">
      <c r="A3" s="1271" t="s">
        <v>4712</v>
      </c>
      <c r="B3" s="1271"/>
      <c r="C3" s="1271"/>
      <c r="D3" s="1271"/>
      <c r="E3" s="1271"/>
      <c r="F3" s="1271"/>
      <c r="G3" s="1271"/>
      <c r="H3" s="1271"/>
      <c r="I3" s="1271"/>
      <c r="J3" s="1271"/>
      <c r="K3" s="1271"/>
      <c r="L3" s="1271"/>
      <c r="M3" s="1271"/>
      <c r="N3" s="1271"/>
    </row>
    <row r="4" spans="1:14" ht="14.45" customHeight="1" x14ac:dyDescent="0.25">
      <c r="A4" s="1271"/>
      <c r="B4" s="1271"/>
      <c r="C4" s="1271"/>
      <c r="D4" s="1271"/>
      <c r="E4" s="1271"/>
      <c r="F4" s="1271"/>
      <c r="G4" s="1271"/>
      <c r="H4" s="1271"/>
      <c r="I4" s="1271"/>
      <c r="J4" s="1271"/>
      <c r="K4" s="1271"/>
      <c r="L4" s="1271"/>
      <c r="M4" s="1271"/>
      <c r="N4" s="1271"/>
    </row>
    <row r="6" spans="1:14" x14ac:dyDescent="0.25">
      <c r="A6" s="1257" t="s">
        <v>5989</v>
      </c>
      <c r="B6" s="1257"/>
      <c r="C6" s="1257"/>
      <c r="D6" s="1257"/>
      <c r="E6" s="1257"/>
      <c r="F6" s="1257"/>
      <c r="G6" s="1257"/>
      <c r="H6" s="1257"/>
      <c r="I6" s="1257"/>
      <c r="J6" s="1257"/>
      <c r="K6" s="1257"/>
      <c r="L6" s="1257"/>
      <c r="M6" s="1257"/>
      <c r="N6" s="1257"/>
    </row>
    <row r="7" spans="1:14" x14ac:dyDescent="0.25">
      <c r="A7" s="1257"/>
      <c r="B7" s="1257"/>
      <c r="C7" s="1257"/>
      <c r="D7" s="1257"/>
      <c r="E7" s="1257"/>
      <c r="F7" s="1257"/>
      <c r="G7" s="1257"/>
      <c r="H7" s="1257"/>
      <c r="I7" s="1257"/>
      <c r="J7" s="1257"/>
      <c r="K7" s="1257"/>
      <c r="L7" s="1257"/>
      <c r="M7" s="1257"/>
      <c r="N7" s="1257"/>
    </row>
    <row r="8" spans="1:14" x14ac:dyDescent="0.25">
      <c r="A8" s="1258" t="s">
        <v>6020</v>
      </c>
      <c r="B8" s="1258"/>
      <c r="C8" s="1258"/>
      <c r="D8" s="1258"/>
      <c r="E8" s="1258"/>
      <c r="F8" s="1258"/>
      <c r="G8" s="1258"/>
      <c r="H8" s="1258"/>
      <c r="I8" s="1258"/>
      <c r="J8" s="1258"/>
      <c r="K8" s="1258"/>
      <c r="L8" s="1258"/>
      <c r="M8" s="1258"/>
      <c r="N8" s="1258"/>
    </row>
    <row r="9" spans="1:14" x14ac:dyDescent="0.25">
      <c r="A9" s="1258"/>
      <c r="B9" s="1258"/>
      <c r="C9" s="1258"/>
      <c r="D9" s="1258"/>
      <c r="E9" s="1258"/>
      <c r="F9" s="1258"/>
      <c r="G9" s="1258"/>
      <c r="H9" s="1258"/>
      <c r="I9" s="1258"/>
      <c r="J9" s="1258"/>
      <c r="K9" s="1258"/>
      <c r="L9" s="1258"/>
      <c r="M9" s="1258"/>
      <c r="N9" s="1258"/>
    </row>
    <row r="10" spans="1:14" ht="14.45" customHeight="1" x14ac:dyDescent="0.25">
      <c r="A10" s="1259" t="s">
        <v>1893</v>
      </c>
      <c r="B10" s="1260"/>
      <c r="C10" s="1260"/>
      <c r="D10" s="1261"/>
      <c r="E10" s="462"/>
      <c r="F10" s="1268" t="s">
        <v>4750</v>
      </c>
      <c r="G10" s="1268"/>
      <c r="H10" s="1268"/>
      <c r="I10" s="1268"/>
      <c r="K10" s="1269" t="s">
        <v>1201</v>
      </c>
      <c r="L10" s="1269"/>
      <c r="M10" s="1269"/>
      <c r="N10" s="1269"/>
    </row>
    <row r="11" spans="1:14" ht="14.45" customHeight="1" x14ac:dyDescent="0.25">
      <c r="A11" s="1262"/>
      <c r="B11" s="1263"/>
      <c r="C11" s="1263"/>
      <c r="D11" s="1264"/>
      <c r="E11" s="463"/>
      <c r="F11" s="1268"/>
      <c r="G11" s="1268"/>
      <c r="H11" s="1268"/>
      <c r="I11" s="1268"/>
      <c r="K11" s="1269"/>
      <c r="L11" s="1269"/>
      <c r="M11" s="1269"/>
      <c r="N11" s="1269"/>
    </row>
    <row r="12" spans="1:14" ht="14.45" customHeight="1" x14ac:dyDescent="0.25">
      <c r="A12" s="1265"/>
      <c r="B12" s="1266"/>
      <c r="C12" s="1266"/>
      <c r="D12" s="1267"/>
      <c r="E12" s="464"/>
      <c r="F12" s="1268"/>
      <c r="G12" s="1268"/>
      <c r="H12" s="1268"/>
      <c r="I12" s="1268"/>
      <c r="K12" s="1269"/>
      <c r="L12" s="1269"/>
      <c r="M12" s="1269"/>
      <c r="N12" s="1269"/>
    </row>
    <row r="13" spans="1:14" ht="27" thickBot="1" x14ac:dyDescent="0.3">
      <c r="A13" s="1248" t="s">
        <v>4589</v>
      </c>
      <c r="B13" s="1249"/>
      <c r="C13" s="1249"/>
      <c r="D13" s="1250"/>
      <c r="E13" s="465"/>
      <c r="F13" s="1251" t="s">
        <v>4589</v>
      </c>
      <c r="G13" s="1252"/>
      <c r="H13" s="1252"/>
      <c r="I13" s="1253"/>
      <c r="K13" s="1251" t="s">
        <v>4589</v>
      </c>
      <c r="L13" s="1252"/>
      <c r="M13" s="1252"/>
      <c r="N13" s="125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4" t="s">
        <v>4595</v>
      </c>
      <c r="B39" s="1254"/>
      <c r="C39" s="1254"/>
      <c r="D39" s="204">
        <f>SUM(D15:D38)</f>
        <v>6567291</v>
      </c>
      <c r="E39" s="471"/>
      <c r="F39" s="1255" t="s">
        <v>4595</v>
      </c>
      <c r="G39" s="1255"/>
      <c r="H39" s="1256"/>
      <c r="I39" s="428">
        <f>SUM(I15:I38)</f>
        <v>6374135</v>
      </c>
      <c r="K39" s="1255" t="s">
        <v>4595</v>
      </c>
      <c r="L39" s="1255"/>
      <c r="M39" s="1256"/>
      <c r="N39" s="428">
        <f>SUM(N15:N38)</f>
        <v>6374135</v>
      </c>
    </row>
    <row r="40" spans="1:14" x14ac:dyDescent="0.25">
      <c r="D40" s="49"/>
      <c r="E40" s="471"/>
      <c r="I40" s="49"/>
    </row>
    <row r="41" spans="1:14" x14ac:dyDescent="0.25">
      <c r="D41" s="49"/>
      <c r="E41" s="471"/>
      <c r="I41" s="49"/>
    </row>
    <row r="42" spans="1:14" x14ac:dyDescent="0.25">
      <c r="A42" s="1257" t="s">
        <v>6136</v>
      </c>
      <c r="B42" s="1257"/>
      <c r="C42" s="1257"/>
      <c r="D42" s="1257"/>
      <c r="E42" s="1257"/>
      <c r="F42" s="1257"/>
      <c r="G42" s="1257"/>
      <c r="H42" s="1257"/>
      <c r="I42" s="1257"/>
      <c r="J42" s="1257"/>
      <c r="K42" s="1257"/>
      <c r="L42" s="1257"/>
      <c r="M42" s="1257"/>
      <c r="N42" s="1257"/>
    </row>
    <row r="43" spans="1:14" x14ac:dyDescent="0.25">
      <c r="A43" s="1257"/>
      <c r="B43" s="1257"/>
      <c r="C43" s="1257"/>
      <c r="D43" s="1257"/>
      <c r="E43" s="1257"/>
      <c r="F43" s="1257"/>
      <c r="G43" s="1257"/>
      <c r="H43" s="1257"/>
      <c r="I43" s="1257"/>
      <c r="J43" s="1257"/>
      <c r="K43" s="1257"/>
      <c r="L43" s="1257"/>
      <c r="M43" s="1257"/>
      <c r="N43" s="1257"/>
    </row>
    <row r="44" spans="1:14" x14ac:dyDescent="0.25">
      <c r="A44" s="1258" t="s">
        <v>6137</v>
      </c>
      <c r="B44" s="1258"/>
      <c r="C44" s="1258"/>
      <c r="D44" s="1258"/>
      <c r="E44" s="1258"/>
      <c r="F44" s="1258"/>
      <c r="G44" s="1258"/>
      <c r="H44" s="1258"/>
      <c r="I44" s="1258"/>
      <c r="J44" s="1258"/>
      <c r="K44" s="1258"/>
      <c r="L44" s="1258"/>
      <c r="M44" s="1258"/>
      <c r="N44" s="1258"/>
    </row>
    <row r="45" spans="1:14" x14ac:dyDescent="0.25">
      <c r="A45" s="1258"/>
      <c r="B45" s="1258"/>
      <c r="C45" s="1258"/>
      <c r="D45" s="1258"/>
      <c r="E45" s="1258"/>
      <c r="F45" s="1258"/>
      <c r="G45" s="1258"/>
      <c r="H45" s="1258"/>
      <c r="I45" s="1258"/>
      <c r="J45" s="1258"/>
      <c r="K45" s="1258"/>
      <c r="L45" s="1258"/>
      <c r="M45" s="1258"/>
      <c r="N45" s="1258"/>
    </row>
    <row r="46" spans="1:14" ht="14.45" customHeight="1" x14ac:dyDescent="0.25">
      <c r="A46" s="1259" t="s">
        <v>1893</v>
      </c>
      <c r="B46" s="1260"/>
      <c r="C46" s="1260"/>
      <c r="D46" s="1261"/>
      <c r="E46" s="462"/>
      <c r="F46" s="1268" t="s">
        <v>4750</v>
      </c>
      <c r="G46" s="1268"/>
      <c r="H46" s="1268"/>
      <c r="I46" s="1268"/>
      <c r="K46" s="1269" t="s">
        <v>1201</v>
      </c>
      <c r="L46" s="1269"/>
      <c r="M46" s="1269"/>
      <c r="N46" s="1269"/>
    </row>
    <row r="47" spans="1:14" ht="14.45" customHeight="1" x14ac:dyDescent="0.25">
      <c r="A47" s="1262"/>
      <c r="B47" s="1263"/>
      <c r="C47" s="1263"/>
      <c r="D47" s="1264"/>
      <c r="E47" s="463"/>
      <c r="F47" s="1268"/>
      <c r="G47" s="1268"/>
      <c r="H47" s="1268"/>
      <c r="I47" s="1268"/>
      <c r="K47" s="1269"/>
      <c r="L47" s="1269"/>
      <c r="M47" s="1269"/>
      <c r="N47" s="1269"/>
    </row>
    <row r="48" spans="1:14" ht="14.45" customHeight="1" x14ac:dyDescent="0.25">
      <c r="A48" s="1265"/>
      <c r="B48" s="1266"/>
      <c r="C48" s="1266"/>
      <c r="D48" s="1267"/>
      <c r="E48" s="464"/>
      <c r="F48" s="1268"/>
      <c r="G48" s="1268"/>
      <c r="H48" s="1268"/>
      <c r="I48" s="1268"/>
      <c r="K48" s="1269"/>
      <c r="L48" s="1269"/>
      <c r="M48" s="1269"/>
      <c r="N48" s="1269"/>
    </row>
    <row r="49" spans="1:14" ht="27" thickBot="1" x14ac:dyDescent="0.3">
      <c r="A49" s="1248" t="s">
        <v>4589</v>
      </c>
      <c r="B49" s="1249"/>
      <c r="C49" s="1249"/>
      <c r="D49" s="1250"/>
      <c r="E49" s="465"/>
      <c r="F49" s="1251" t="s">
        <v>4589</v>
      </c>
      <c r="G49" s="1252"/>
      <c r="H49" s="1252"/>
      <c r="I49" s="1253"/>
      <c r="K49" s="1251" t="s">
        <v>4589</v>
      </c>
      <c r="L49" s="1252"/>
      <c r="M49" s="1252"/>
      <c r="N49" s="125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4" t="s">
        <v>4595</v>
      </c>
      <c r="B79" s="1254"/>
      <c r="C79" s="1254"/>
      <c r="D79" s="204">
        <f>SUM(D51:D78)</f>
        <v>4135000</v>
      </c>
      <c r="E79" s="471"/>
      <c r="F79" s="1255" t="s">
        <v>4595</v>
      </c>
      <c r="G79" s="1255"/>
      <c r="H79" s="1256"/>
      <c r="I79" s="204">
        <f>SUM(I51:I78)</f>
        <v>4012280</v>
      </c>
      <c r="K79" s="1255" t="s">
        <v>4595</v>
      </c>
      <c r="L79" s="1255"/>
      <c r="M79" s="1256"/>
      <c r="N79" s="204">
        <f>SUM(N51:N78)</f>
        <v>4012280</v>
      </c>
    </row>
    <row r="82" spans="1:14" ht="27.75" customHeight="1" x14ac:dyDescent="0.25">
      <c r="A82" s="1257" t="s">
        <v>7089</v>
      </c>
      <c r="B82" s="1257"/>
      <c r="C82" s="1257"/>
      <c r="D82" s="1257"/>
      <c r="E82" s="1257"/>
      <c r="F82" s="1257"/>
      <c r="G82" s="1257"/>
      <c r="H82" s="1257"/>
      <c r="I82" s="1257"/>
      <c r="J82" s="1257"/>
      <c r="K82" s="1257"/>
      <c r="L82" s="1257"/>
      <c r="M82" s="1257"/>
      <c r="N82" s="1257"/>
    </row>
    <row r="83" spans="1:14" ht="15" customHeight="1" x14ac:dyDescent="0.25">
      <c r="A83" s="1258" t="s">
        <v>7090</v>
      </c>
      <c r="B83" s="1258"/>
      <c r="C83" s="1258"/>
      <c r="D83" s="1258"/>
      <c r="E83" s="1258"/>
      <c r="F83" s="1258"/>
      <c r="G83" s="1258"/>
      <c r="H83" s="1258"/>
      <c r="I83" s="1258"/>
      <c r="J83" s="1258"/>
      <c r="K83" s="1258"/>
      <c r="L83" s="1258"/>
      <c r="M83" s="1258"/>
      <c r="N83" s="1258"/>
    </row>
    <row r="84" spans="1:14" ht="15" customHeight="1" x14ac:dyDescent="0.25">
      <c r="A84" s="1258"/>
      <c r="B84" s="1258"/>
      <c r="C84" s="1258"/>
      <c r="D84" s="1258"/>
      <c r="E84" s="1258"/>
      <c r="F84" s="1258"/>
      <c r="G84" s="1258"/>
      <c r="H84" s="1258"/>
      <c r="I84" s="1258"/>
      <c r="J84" s="1258"/>
      <c r="K84" s="1258"/>
      <c r="L84" s="1258"/>
      <c r="M84" s="1258"/>
      <c r="N84" s="1258"/>
    </row>
    <row r="85" spans="1:14" ht="14.45" customHeight="1" x14ac:dyDescent="0.25">
      <c r="A85" s="1259" t="s">
        <v>1893</v>
      </c>
      <c r="B85" s="1260"/>
      <c r="C85" s="1260"/>
      <c r="D85" s="1261"/>
      <c r="E85" s="462"/>
      <c r="F85" s="1268" t="s">
        <v>4750</v>
      </c>
      <c r="G85" s="1268"/>
      <c r="H85" s="1268"/>
      <c r="I85" s="1268"/>
      <c r="K85" s="1269" t="s">
        <v>1201</v>
      </c>
      <c r="L85" s="1269"/>
      <c r="M85" s="1269"/>
      <c r="N85" s="1269"/>
    </row>
    <row r="86" spans="1:14" ht="14.45" customHeight="1" x14ac:dyDescent="0.25">
      <c r="A86" s="1262"/>
      <c r="B86" s="1263"/>
      <c r="C86" s="1263"/>
      <c r="D86" s="1264"/>
      <c r="E86" s="463"/>
      <c r="F86" s="1268"/>
      <c r="G86" s="1268"/>
      <c r="H86" s="1268"/>
      <c r="I86" s="1268"/>
      <c r="K86" s="1269"/>
      <c r="L86" s="1269"/>
      <c r="M86" s="1269"/>
      <c r="N86" s="1269"/>
    </row>
    <row r="87" spans="1:14" ht="14.45" customHeight="1" x14ac:dyDescent="0.25">
      <c r="A87" s="1265"/>
      <c r="B87" s="1266"/>
      <c r="C87" s="1266"/>
      <c r="D87" s="1267"/>
      <c r="E87" s="464"/>
      <c r="F87" s="1268"/>
      <c r="G87" s="1268"/>
      <c r="H87" s="1268"/>
      <c r="I87" s="1268"/>
      <c r="K87" s="1269"/>
      <c r="L87" s="1269"/>
      <c r="M87" s="1269"/>
      <c r="N87" s="1269"/>
    </row>
    <row r="88" spans="1:14" ht="27" thickBot="1" x14ac:dyDescent="0.3">
      <c r="A88" s="1248" t="s">
        <v>4589</v>
      </c>
      <c r="B88" s="1249"/>
      <c r="C88" s="1249"/>
      <c r="D88" s="1250"/>
      <c r="E88" s="465"/>
      <c r="F88" s="1251" t="s">
        <v>4589</v>
      </c>
      <c r="G88" s="1252"/>
      <c r="H88" s="1252"/>
      <c r="I88" s="1253"/>
      <c r="K88" s="1251" t="s">
        <v>4589</v>
      </c>
      <c r="L88" s="1252"/>
      <c r="M88" s="1252"/>
      <c r="N88" s="125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4" t="s">
        <v>4595</v>
      </c>
      <c r="B109" s="1254"/>
      <c r="C109" s="1254"/>
      <c r="D109" s="204">
        <f>SUM(D90:D108)</f>
        <v>4677000</v>
      </c>
      <c r="E109" s="471"/>
      <c r="F109" s="1255" t="s">
        <v>4595</v>
      </c>
      <c r="G109" s="1255"/>
      <c r="H109" s="1256"/>
      <c r="I109" s="428">
        <f>SUM(I90:I107)</f>
        <v>4531000</v>
      </c>
      <c r="K109" s="1255" t="s">
        <v>4595</v>
      </c>
      <c r="L109" s="1255"/>
      <c r="M109" s="1256"/>
      <c r="N109" s="428">
        <f>SUM(N90:N107)</f>
        <v>4531779</v>
      </c>
    </row>
    <row r="112" spans="1:14" ht="27.75" customHeight="1" x14ac:dyDescent="0.25">
      <c r="A112" s="1257" t="s">
        <v>10434</v>
      </c>
      <c r="B112" s="1257"/>
      <c r="C112" s="1257"/>
      <c r="D112" s="1257"/>
      <c r="E112" s="1257"/>
      <c r="F112" s="1257"/>
      <c r="G112" s="1257"/>
      <c r="H112" s="1257"/>
      <c r="I112" s="1257"/>
      <c r="J112" s="1257"/>
      <c r="K112" s="1257"/>
      <c r="L112" s="1257"/>
      <c r="M112" s="1257"/>
      <c r="N112" s="1257"/>
    </row>
    <row r="113" spans="1:14" ht="15" customHeight="1" x14ac:dyDescent="0.25">
      <c r="A113" s="1258" t="s">
        <v>10435</v>
      </c>
      <c r="B113" s="1258"/>
      <c r="C113" s="1258"/>
      <c r="D113" s="1258"/>
      <c r="E113" s="1258"/>
      <c r="F113" s="1258"/>
      <c r="G113" s="1258"/>
      <c r="H113" s="1258"/>
      <c r="I113" s="1258"/>
      <c r="J113" s="1258"/>
      <c r="K113" s="1258"/>
      <c r="L113" s="1258"/>
      <c r="M113" s="1258"/>
      <c r="N113" s="1258"/>
    </row>
    <row r="114" spans="1:14" ht="15" customHeight="1" x14ac:dyDescent="0.25">
      <c r="A114" s="1258"/>
      <c r="B114" s="1258"/>
      <c r="C114" s="1258"/>
      <c r="D114" s="1258"/>
      <c r="E114" s="1258"/>
      <c r="F114" s="1258"/>
      <c r="G114" s="1258"/>
      <c r="H114" s="1258"/>
      <c r="I114" s="1258"/>
      <c r="J114" s="1258"/>
      <c r="K114" s="1258"/>
      <c r="L114" s="1258"/>
      <c r="M114" s="1258"/>
      <c r="N114" s="1258"/>
    </row>
    <row r="115" spans="1:14" ht="14.45" customHeight="1" x14ac:dyDescent="0.25">
      <c r="A115" s="1259" t="s">
        <v>1893</v>
      </c>
      <c r="B115" s="1260"/>
      <c r="C115" s="1260"/>
      <c r="D115" s="1261"/>
      <c r="E115" s="462"/>
      <c r="F115" s="1268" t="s">
        <v>4750</v>
      </c>
      <c r="G115" s="1268"/>
      <c r="H115" s="1268"/>
      <c r="I115" s="1268"/>
      <c r="K115" s="1269" t="s">
        <v>1201</v>
      </c>
      <c r="L115" s="1269"/>
      <c r="M115" s="1269"/>
      <c r="N115" s="1269"/>
    </row>
    <row r="116" spans="1:14" ht="14.45" customHeight="1" x14ac:dyDescent="0.25">
      <c r="A116" s="1262"/>
      <c r="B116" s="1263"/>
      <c r="C116" s="1263"/>
      <c r="D116" s="1264"/>
      <c r="E116" s="463"/>
      <c r="F116" s="1268"/>
      <c r="G116" s="1268"/>
      <c r="H116" s="1268"/>
      <c r="I116" s="1268"/>
      <c r="K116" s="1269"/>
      <c r="L116" s="1269"/>
      <c r="M116" s="1269"/>
      <c r="N116" s="1269"/>
    </row>
    <row r="117" spans="1:14" ht="14.45" customHeight="1" x14ac:dyDescent="0.25">
      <c r="A117" s="1265"/>
      <c r="B117" s="1266"/>
      <c r="C117" s="1266"/>
      <c r="D117" s="1267"/>
      <c r="E117" s="464"/>
      <c r="F117" s="1268"/>
      <c r="G117" s="1268"/>
      <c r="H117" s="1268"/>
      <c r="I117" s="1268"/>
      <c r="K117" s="1269"/>
      <c r="L117" s="1269"/>
      <c r="M117" s="1269"/>
      <c r="N117" s="1269"/>
    </row>
    <row r="118" spans="1:14" ht="27" thickBot="1" x14ac:dyDescent="0.3">
      <c r="A118" s="1248" t="s">
        <v>4589</v>
      </c>
      <c r="B118" s="1249"/>
      <c r="C118" s="1249"/>
      <c r="D118" s="1250"/>
      <c r="E118" s="465"/>
      <c r="F118" s="1251" t="s">
        <v>4589</v>
      </c>
      <c r="G118" s="1252"/>
      <c r="H118" s="1252"/>
      <c r="I118" s="1253"/>
      <c r="K118" s="1251" t="s">
        <v>4589</v>
      </c>
      <c r="L118" s="1252"/>
      <c r="M118" s="1252"/>
      <c r="N118" s="125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4" t="s">
        <v>4595</v>
      </c>
      <c r="B139" s="1254"/>
      <c r="C139" s="1254"/>
      <c r="D139" s="204">
        <f>SUM(D120:D138)</f>
        <v>11965000</v>
      </c>
      <c r="E139" s="471"/>
      <c r="F139" s="1255" t="s">
        <v>4595</v>
      </c>
      <c r="G139" s="1255"/>
      <c r="H139" s="1256"/>
      <c r="I139" s="428">
        <f>SUM(I120:I137)</f>
        <v>11609683</v>
      </c>
      <c r="K139" s="1255" t="s">
        <v>4595</v>
      </c>
      <c r="L139" s="1255"/>
      <c r="M139" s="1256"/>
      <c r="N139" s="428">
        <f>SUM(N120:N137)</f>
        <v>11500000</v>
      </c>
    </row>
    <row r="142" spans="1:14" ht="27.75" customHeight="1" x14ac:dyDescent="0.25">
      <c r="A142" s="1257" t="s">
        <v>13547</v>
      </c>
      <c r="B142" s="1257"/>
      <c r="C142" s="1257"/>
      <c r="D142" s="1257"/>
      <c r="E142" s="1257"/>
      <c r="F142" s="1257"/>
      <c r="G142" s="1257"/>
      <c r="H142" s="1257"/>
      <c r="I142" s="1257"/>
      <c r="J142" s="1257"/>
      <c r="K142" s="1257"/>
      <c r="L142" s="1257"/>
      <c r="M142" s="1257"/>
      <c r="N142" s="1257"/>
    </row>
    <row r="143" spans="1:14" ht="15" customHeight="1" x14ac:dyDescent="0.25">
      <c r="A143" s="1258" t="s">
        <v>13548</v>
      </c>
      <c r="B143" s="1258"/>
      <c r="C143" s="1258"/>
      <c r="D143" s="1258"/>
      <c r="E143" s="1258"/>
      <c r="F143" s="1258"/>
      <c r="G143" s="1258"/>
      <c r="H143" s="1258"/>
      <c r="I143" s="1258"/>
      <c r="J143" s="1258"/>
      <c r="K143" s="1258"/>
      <c r="L143" s="1258"/>
      <c r="M143" s="1258"/>
      <c r="N143" s="1258"/>
    </row>
    <row r="144" spans="1:14" ht="15" customHeight="1" x14ac:dyDescent="0.25">
      <c r="A144" s="1258"/>
      <c r="B144" s="1258"/>
      <c r="C144" s="1258"/>
      <c r="D144" s="1258"/>
      <c r="E144" s="1258"/>
      <c r="F144" s="1258"/>
      <c r="G144" s="1258"/>
      <c r="H144" s="1258"/>
      <c r="I144" s="1258"/>
      <c r="J144" s="1258"/>
      <c r="K144" s="1258"/>
      <c r="L144" s="1258"/>
      <c r="M144" s="1258"/>
      <c r="N144" s="1258"/>
    </row>
    <row r="145" spans="1:14" ht="14.45" customHeight="1" x14ac:dyDescent="0.25">
      <c r="A145" s="1259" t="s">
        <v>1893</v>
      </c>
      <c r="B145" s="1260"/>
      <c r="C145" s="1260"/>
      <c r="D145" s="1261"/>
      <c r="E145" s="462"/>
      <c r="F145" s="1268" t="s">
        <v>4750</v>
      </c>
      <c r="G145" s="1268"/>
      <c r="H145" s="1268"/>
      <c r="I145" s="1268"/>
      <c r="K145" s="1269" t="s">
        <v>1201</v>
      </c>
      <c r="L145" s="1269"/>
      <c r="M145" s="1269"/>
      <c r="N145" s="1269"/>
    </row>
    <row r="146" spans="1:14" ht="14.45" customHeight="1" x14ac:dyDescent="0.25">
      <c r="A146" s="1262"/>
      <c r="B146" s="1263"/>
      <c r="C146" s="1263"/>
      <c r="D146" s="1264"/>
      <c r="E146" s="463"/>
      <c r="F146" s="1268"/>
      <c r="G146" s="1268"/>
      <c r="H146" s="1268"/>
      <c r="I146" s="1268"/>
      <c r="K146" s="1269"/>
      <c r="L146" s="1269"/>
      <c r="M146" s="1269"/>
      <c r="N146" s="1269"/>
    </row>
    <row r="147" spans="1:14" ht="14.45" customHeight="1" x14ac:dyDescent="0.25">
      <c r="A147" s="1265"/>
      <c r="B147" s="1266"/>
      <c r="C147" s="1266"/>
      <c r="D147" s="1267"/>
      <c r="E147" s="464"/>
      <c r="F147" s="1268"/>
      <c r="G147" s="1268"/>
      <c r="H147" s="1268"/>
      <c r="I147" s="1268"/>
      <c r="K147" s="1269"/>
      <c r="L147" s="1269"/>
      <c r="M147" s="1269"/>
      <c r="N147" s="1269"/>
    </row>
    <row r="148" spans="1:14" ht="27" thickBot="1" x14ac:dyDescent="0.3">
      <c r="A148" s="1248" t="s">
        <v>4589</v>
      </c>
      <c r="B148" s="1249"/>
      <c r="C148" s="1249"/>
      <c r="D148" s="1250"/>
      <c r="E148" s="465"/>
      <c r="F148" s="1251" t="s">
        <v>4589</v>
      </c>
      <c r="G148" s="1252"/>
      <c r="H148" s="1252"/>
      <c r="I148" s="1253"/>
      <c r="K148" s="1251" t="s">
        <v>4589</v>
      </c>
      <c r="L148" s="1252"/>
      <c r="M148" s="1252"/>
      <c r="N148" s="125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4" t="s">
        <v>4595</v>
      </c>
      <c r="B169" s="1254"/>
      <c r="C169" s="1254"/>
      <c r="D169" s="204">
        <f>SUM(D150:D168)</f>
        <v>0</v>
      </c>
      <c r="E169" s="471"/>
      <c r="F169" s="1255" t="s">
        <v>4595</v>
      </c>
      <c r="G169" s="1255"/>
      <c r="H169" s="1256"/>
      <c r="I169" s="428">
        <f>SUM(I150:I167)</f>
        <v>0</v>
      </c>
      <c r="K169" s="1255" t="s">
        <v>4595</v>
      </c>
      <c r="L169" s="1255"/>
      <c r="M169" s="1256"/>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9" workbookViewId="0">
      <selection activeCell="J37" sqref="J34:J3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88" t="s">
        <v>9499</v>
      </c>
      <c r="C1" s="1289"/>
      <c r="D1" s="1289"/>
      <c r="E1" s="1290"/>
      <c r="G1" s="1288" t="s">
        <v>9499</v>
      </c>
      <c r="H1" s="1289"/>
      <c r="I1" s="1289"/>
      <c r="J1" s="1290"/>
      <c r="M1" s="1299" t="s">
        <v>11390</v>
      </c>
      <c r="N1" s="1300"/>
      <c r="O1" s="1300"/>
      <c r="P1" s="1301"/>
      <c r="R1" s="1299" t="s">
        <v>11390</v>
      </c>
      <c r="S1" s="1300"/>
      <c r="T1" s="1300"/>
      <c r="U1" s="1301"/>
      <c r="X1" s="1299" t="s">
        <v>11390</v>
      </c>
      <c r="Y1" s="1300"/>
      <c r="Z1" s="1300"/>
      <c r="AA1" s="1301"/>
      <c r="AC1" s="1296" t="s">
        <v>9499</v>
      </c>
      <c r="AD1" s="1297"/>
      <c r="AE1" s="1297"/>
      <c r="AF1" s="1298"/>
      <c r="AJ1" s="1288" t="s">
        <v>9499</v>
      </c>
      <c r="AK1" s="1289"/>
      <c r="AL1" s="1289"/>
      <c r="AM1" s="1290"/>
      <c r="AO1" s="997" t="s">
        <v>1766</v>
      </c>
    </row>
    <row r="2" spans="2:41" ht="21" x14ac:dyDescent="0.35">
      <c r="B2" s="1291" t="s">
        <v>13549</v>
      </c>
      <c r="C2" s="1292"/>
      <c r="D2" s="1292"/>
      <c r="E2" s="1293"/>
      <c r="G2" s="1291" t="s">
        <v>10398</v>
      </c>
      <c r="H2" s="1292"/>
      <c r="I2" s="1292"/>
      <c r="J2" s="1293"/>
      <c r="M2" s="1299" t="s">
        <v>13542</v>
      </c>
      <c r="N2" s="1300"/>
      <c r="O2" s="1300"/>
      <c r="P2" s="1301"/>
      <c r="R2" s="1299" t="s">
        <v>13541</v>
      </c>
      <c r="S2" s="1300"/>
      <c r="T2" s="1300"/>
      <c r="U2" s="1301"/>
      <c r="X2" s="1299" t="s">
        <v>13540</v>
      </c>
      <c r="Y2" s="1300"/>
      <c r="Z2" s="1300"/>
      <c r="AA2" s="1301"/>
      <c r="AC2" s="1291" t="s">
        <v>8162</v>
      </c>
      <c r="AD2" s="1292"/>
      <c r="AE2" s="1292"/>
      <c r="AF2" s="1293"/>
      <c r="AJ2" s="1291" t="s">
        <v>7168</v>
      </c>
      <c r="AK2" s="1292"/>
      <c r="AL2" s="1292"/>
      <c r="AM2" s="1293"/>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277" t="s">
        <v>9492</v>
      </c>
      <c r="C4" s="1278"/>
      <c r="D4" s="1278"/>
      <c r="E4" s="932">
        <f>'Main Summary'!B19</f>
        <v>21006547.583333332</v>
      </c>
      <c r="G4" s="1277" t="s">
        <v>9492</v>
      </c>
      <c r="H4" s="1278"/>
      <c r="I4" s="1278"/>
      <c r="J4" s="932">
        <f ca="1">'Main Summary'!F19-U5-U10</f>
        <v>281302222.18604004</v>
      </c>
      <c r="M4" s="1299" t="s">
        <v>11391</v>
      </c>
      <c r="N4" s="1300"/>
      <c r="O4" s="1300"/>
      <c r="P4" s="1301"/>
      <c r="R4" s="1299" t="s">
        <v>11391</v>
      </c>
      <c r="S4" s="1300"/>
      <c r="T4" s="1300"/>
      <c r="U4" s="1301"/>
      <c r="X4" s="1299" t="s">
        <v>11391</v>
      </c>
      <c r="Y4" s="1300"/>
      <c r="Z4" s="1300"/>
      <c r="AA4" s="1301"/>
      <c r="AC4" s="1277" t="s">
        <v>9492</v>
      </c>
      <c r="AD4" s="1278"/>
      <c r="AE4" s="1278"/>
      <c r="AF4" s="932">
        <f ca="1">'Main Summary'!J19-AA5-AA10</f>
        <v>137668700.60426268</v>
      </c>
      <c r="AJ4" s="1277" t="s">
        <v>9492</v>
      </c>
      <c r="AK4" s="1278"/>
      <c r="AL4" s="1278"/>
      <c r="AM4" s="932">
        <f>'Main Summary'!N19</f>
        <v>66512286.479166672</v>
      </c>
    </row>
    <row r="5" spans="2:41" ht="19.5" thickBot="1" x14ac:dyDescent="0.35">
      <c r="B5" s="1277" t="s">
        <v>9493</v>
      </c>
      <c r="C5" s="1278"/>
      <c r="D5" s="1278"/>
      <c r="E5" s="932">
        <f>'Main Summary'!C19</f>
        <v>2997248</v>
      </c>
      <c r="G5" s="1277" t="s">
        <v>9493</v>
      </c>
      <c r="H5" s="1278"/>
      <c r="I5" s="1278"/>
      <c r="J5" s="932">
        <f ca="1">'Main Summary'!G19-U6-U11</f>
        <v>370073328.82120001</v>
      </c>
      <c r="M5" s="1277" t="s">
        <v>9492</v>
      </c>
      <c r="N5" s="1278"/>
      <c r="O5" s="1278"/>
      <c r="P5" s="1022">
        <f ca="1">SUMIF(Posting!$B19927:$E50014,"Meezan Bank Head Office",Posting!$E19927:$E50014)</f>
        <v>381206</v>
      </c>
      <c r="R5" s="1277" t="s">
        <v>9492</v>
      </c>
      <c r="S5" s="1278"/>
      <c r="T5" s="1278"/>
      <c r="U5" s="1022">
        <f ca="1">SUMIF(Posting!$B17317:$E19926,"Meezan Bank Head Office",Posting!$E17317:$E19926)</f>
        <v>19542569</v>
      </c>
      <c r="X5" s="1277" t="s">
        <v>9492</v>
      </c>
      <c r="Y5" s="1278"/>
      <c r="Z5" s="1278"/>
      <c r="AA5" s="1022">
        <f ca="1">SUMIF(Posting!$B1:$E17316,"Meezan Bank Head Office",Posting!$E1:$E17316)</f>
        <v>13034925</v>
      </c>
      <c r="AC5" s="1277" t="s">
        <v>9493</v>
      </c>
      <c r="AD5" s="1278"/>
      <c r="AE5" s="1278"/>
      <c r="AF5" s="932">
        <f ca="1">'Main Summary'!K19-AA6-AA11</f>
        <v>176831246.42000002</v>
      </c>
      <c r="AJ5" s="1277" t="s">
        <v>9493</v>
      </c>
      <c r="AK5" s="1278"/>
      <c r="AL5" s="1278"/>
      <c r="AM5" s="932">
        <f>'Main Summary'!O19</f>
        <v>82215394.510000005</v>
      </c>
    </row>
    <row r="6" spans="2:41" ht="18.75" x14ac:dyDescent="0.3">
      <c r="B6" s="1277" t="s">
        <v>2612</v>
      </c>
      <c r="C6" s="1278"/>
      <c r="D6" s="1278"/>
      <c r="E6" s="932">
        <f>E5-E4</f>
        <v>-18009299.583333332</v>
      </c>
      <c r="G6" s="1277" t="s">
        <v>2612</v>
      </c>
      <c r="H6" s="1278"/>
      <c r="I6" s="1278"/>
      <c r="J6" s="932">
        <f ca="1">J5-J4</f>
        <v>88771106.635159969</v>
      </c>
      <c r="M6" s="1277" t="s">
        <v>9493</v>
      </c>
      <c r="N6" s="1278"/>
      <c r="O6" s="1278"/>
      <c r="P6" s="1017">
        <f ca="1">SUMIF(Posting!$B19927:$F50014,"Meezan Bank Head Office",Posting!$F19927:$F50014)</f>
        <v>0</v>
      </c>
      <c r="R6" s="1277" t="s">
        <v>9493</v>
      </c>
      <c r="S6" s="1278"/>
      <c r="T6" s="1278"/>
      <c r="U6" s="1017">
        <f ca="1">SUMIF(Posting!$B17317:$F19926,"Meezan Bank Head Office",Posting!$F17317:$F19926)</f>
        <v>8636000</v>
      </c>
      <c r="X6" s="1277" t="s">
        <v>9493</v>
      </c>
      <c r="Y6" s="1278"/>
      <c r="Z6" s="1278"/>
      <c r="AA6" s="1017">
        <f ca="1">SUMIF(Posting!$B1:$F17316,"Meezan Bank Head Office",Posting!$F1:$F17316)</f>
        <v>19830000</v>
      </c>
      <c r="AC6" s="1277" t="s">
        <v>2612</v>
      </c>
      <c r="AD6" s="1278"/>
      <c r="AE6" s="1278"/>
      <c r="AF6" s="932">
        <f ca="1">AF5-AF4</f>
        <v>39162545.815737337</v>
      </c>
      <c r="AJ6" s="1277" t="s">
        <v>2612</v>
      </c>
      <c r="AK6" s="1278"/>
      <c r="AL6" s="1278"/>
      <c r="AM6" s="932">
        <f>AM5-AM4</f>
        <v>15703108.030833334</v>
      </c>
    </row>
    <row r="7" spans="2:41" ht="18.75" x14ac:dyDescent="0.3">
      <c r="B7" s="1277"/>
      <c r="C7" s="1278"/>
      <c r="D7" s="1278"/>
      <c r="E7" s="932"/>
      <c r="G7" s="1277"/>
      <c r="H7" s="1278"/>
      <c r="I7" s="1278"/>
      <c r="J7" s="932"/>
      <c r="M7" s="1277" t="s">
        <v>2612</v>
      </c>
      <c r="N7" s="1278"/>
      <c r="O7" s="1278"/>
      <c r="P7" s="932">
        <f ca="1">P6-P5</f>
        <v>-381206</v>
      </c>
      <c r="R7" s="1277" t="s">
        <v>2612</v>
      </c>
      <c r="S7" s="1278"/>
      <c r="T7" s="1278"/>
      <c r="U7" s="932">
        <f ca="1">U6-U5</f>
        <v>-10906569</v>
      </c>
      <c r="X7" s="1277" t="s">
        <v>2612</v>
      </c>
      <c r="Y7" s="1278"/>
      <c r="Z7" s="1278"/>
      <c r="AA7" s="932">
        <f ca="1">AA6-AA5</f>
        <v>6795075</v>
      </c>
      <c r="AC7" s="1277"/>
      <c r="AD7" s="1278"/>
      <c r="AE7" s="1278"/>
      <c r="AF7" s="932"/>
      <c r="AJ7" s="1277"/>
      <c r="AK7" s="1278"/>
      <c r="AL7" s="1278"/>
      <c r="AM7" s="932"/>
    </row>
    <row r="8" spans="2:41" ht="19.5" thickBot="1" x14ac:dyDescent="0.35">
      <c r="B8" s="1284" t="s">
        <v>11038</v>
      </c>
      <c r="C8" s="1254"/>
      <c r="D8" s="1254"/>
      <c r="E8" s="932"/>
      <c r="G8" s="1284" t="s">
        <v>11038</v>
      </c>
      <c r="H8" s="1254"/>
      <c r="I8" s="1254"/>
      <c r="J8" s="932"/>
      <c r="M8" s="1277"/>
      <c r="N8" s="1278"/>
      <c r="O8" s="1278"/>
      <c r="P8" s="932"/>
      <c r="R8" s="1277"/>
      <c r="S8" s="1278"/>
      <c r="T8" s="1278"/>
      <c r="U8" s="932"/>
      <c r="X8" s="1277"/>
      <c r="Y8" s="1278"/>
      <c r="Z8" s="1278"/>
      <c r="AA8" s="932"/>
      <c r="AC8" s="1284" t="s">
        <v>11038</v>
      </c>
      <c r="AD8" s="1254"/>
      <c r="AE8" s="1254"/>
      <c r="AF8" s="932"/>
      <c r="AJ8" s="1277" t="s">
        <v>9494</v>
      </c>
      <c r="AK8" s="1278"/>
      <c r="AL8" s="1278"/>
      <c r="AM8" s="932">
        <v>300000</v>
      </c>
    </row>
    <row r="9" spans="2:41" ht="21.75" thickBot="1" x14ac:dyDescent="0.4">
      <c r="B9" s="1277" t="s">
        <v>9496</v>
      </c>
      <c r="C9" s="1278"/>
      <c r="D9" s="1278"/>
      <c r="E9" s="933">
        <v>820900</v>
      </c>
      <c r="G9" s="1277" t="s">
        <v>9496</v>
      </c>
      <c r="H9" s="1278"/>
      <c r="I9" s="1278"/>
      <c r="J9" s="933">
        <v>500000</v>
      </c>
      <c r="M9" s="1299" t="s">
        <v>11392</v>
      </c>
      <c r="N9" s="1300"/>
      <c r="O9" s="1300"/>
      <c r="P9" s="1301"/>
      <c r="R9" s="1299" t="s">
        <v>11392</v>
      </c>
      <c r="S9" s="1300"/>
      <c r="T9" s="1300"/>
      <c r="U9" s="1301"/>
      <c r="X9" s="1299" t="s">
        <v>11392</v>
      </c>
      <c r="Y9" s="1300"/>
      <c r="Z9" s="1300"/>
      <c r="AA9" s="1301"/>
      <c r="AC9" s="1277" t="s">
        <v>9496</v>
      </c>
      <c r="AD9" s="1278"/>
      <c r="AE9" s="1278"/>
      <c r="AF9" s="933">
        <v>526260</v>
      </c>
      <c r="AJ9" s="1277" t="s">
        <v>9495</v>
      </c>
      <c r="AK9" s="1278"/>
      <c r="AL9" s="1278"/>
      <c r="AM9" s="932">
        <v>526260</v>
      </c>
    </row>
    <row r="10" spans="2:41" s="929" customFormat="1" ht="19.5" thickBot="1" x14ac:dyDescent="0.35">
      <c r="B10" s="1277"/>
      <c r="C10" s="1278"/>
      <c r="D10" s="1278"/>
      <c r="E10" s="933"/>
      <c r="G10" s="1277"/>
      <c r="H10" s="1278"/>
      <c r="I10" s="1278"/>
      <c r="J10" s="933"/>
      <c r="M10" s="1277" t="s">
        <v>9492</v>
      </c>
      <c r="N10" s="1278"/>
      <c r="O10" s="1278"/>
      <c r="P10" s="1022">
        <f ca="1">SUMIF(Posting!$B19927:$E50014,"Saifee Hospital",Posting!$E19927:$E50014)</f>
        <v>0</v>
      </c>
      <c r="R10" s="1277" t="s">
        <v>9492</v>
      </c>
      <c r="S10" s="1278"/>
      <c r="T10" s="1278"/>
      <c r="U10" s="1022">
        <f ca="1">SUMIF(Posting!$B17317:$E19926,"Saifee Hospital",Posting!$E17317:$E19926)</f>
        <v>2187330</v>
      </c>
      <c r="X10" s="1277" t="s">
        <v>9492</v>
      </c>
      <c r="Y10" s="1278"/>
      <c r="Z10" s="1278"/>
      <c r="AA10" s="1022">
        <f ca="1">SUMIF(Posting!$B1:$E17316,"Saifee Hospital",Posting!$E1:$E17316)</f>
        <v>1591330</v>
      </c>
      <c r="AC10" s="1277"/>
      <c r="AD10" s="1278"/>
      <c r="AE10" s="1278"/>
      <c r="AF10" s="933"/>
      <c r="AJ10" s="1277" t="s">
        <v>9496</v>
      </c>
      <c r="AK10" s="1278"/>
      <c r="AL10" s="1278"/>
      <c r="AM10" s="933">
        <v>1314656</v>
      </c>
    </row>
    <row r="11" spans="2:41" ht="18.75" x14ac:dyDescent="0.3">
      <c r="B11" s="1284" t="s">
        <v>2612</v>
      </c>
      <c r="C11" s="1254"/>
      <c r="D11" s="1254"/>
      <c r="E11" s="932">
        <f>E9+E6</f>
        <v>-17188399.583333332</v>
      </c>
      <c r="G11" s="1284" t="s">
        <v>2612</v>
      </c>
      <c r="H11" s="1254"/>
      <c r="I11" s="1254"/>
      <c r="J11" s="932">
        <f ca="1">J9+J6</f>
        <v>89271106.635159969</v>
      </c>
      <c r="M11" s="1277" t="s">
        <v>9493</v>
      </c>
      <c r="N11" s="1278"/>
      <c r="O11" s="1278"/>
      <c r="P11" s="1017">
        <f ca="1">SUMIF(Posting!$B19927:$F50014,"Saifee Hospital",Posting!$F19927:$F50014)</f>
        <v>0</v>
      </c>
      <c r="R11" s="1277" t="s">
        <v>9493</v>
      </c>
      <c r="S11" s="1278"/>
      <c r="T11" s="1278"/>
      <c r="U11" s="1017">
        <f ca="1">SUMIF(Posting!$B17317:$F19926,"Saifee Hospital",Posting!$F17317:$F19926)</f>
        <v>3724000</v>
      </c>
      <c r="X11" s="1277" t="s">
        <v>9493</v>
      </c>
      <c r="Y11" s="1278"/>
      <c r="Z11" s="1278"/>
      <c r="AA11" s="1017">
        <f ca="1">SUMIF(Posting!$B1:$F17316,"Saifee Hospital",Posting!$F1:$F17316)</f>
        <v>2434251</v>
      </c>
      <c r="AC11" s="1284" t="s">
        <v>2612</v>
      </c>
      <c r="AD11" s="1254"/>
      <c r="AE11" s="1254"/>
      <c r="AF11" s="932">
        <f ca="1">AF9+AF6</f>
        <v>39688805.815737337</v>
      </c>
      <c r="AJ11" s="1277" t="s">
        <v>2614</v>
      </c>
      <c r="AK11" s="1278"/>
      <c r="AL11" s="1278"/>
      <c r="AM11" s="932">
        <f>AM6-AM8-AM9+AM10</f>
        <v>16191504.030833334</v>
      </c>
    </row>
    <row r="12" spans="2:41" ht="21" x14ac:dyDescent="0.35">
      <c r="B12" s="1279"/>
      <c r="C12" s="1280"/>
      <c r="D12" s="1281"/>
      <c r="E12" s="932"/>
      <c r="G12" s="1279"/>
      <c r="H12" s="1280"/>
      <c r="I12" s="1281"/>
      <c r="J12" s="932"/>
      <c r="M12" s="1277" t="s">
        <v>2612</v>
      </c>
      <c r="N12" s="1278"/>
      <c r="O12" s="1278"/>
      <c r="P12" s="932">
        <f ca="1">P11-P10</f>
        <v>0</v>
      </c>
      <c r="R12" s="1277" t="s">
        <v>2612</v>
      </c>
      <c r="S12" s="1278"/>
      <c r="T12" s="1278"/>
      <c r="U12" s="932">
        <f ca="1">U11-U10</f>
        <v>1536670</v>
      </c>
      <c r="X12" s="1277" t="s">
        <v>2612</v>
      </c>
      <c r="Y12" s="1278"/>
      <c r="Z12" s="1278"/>
      <c r="AA12" s="932">
        <f ca="1">AA11-AA10</f>
        <v>842921</v>
      </c>
      <c r="AC12" s="1279"/>
      <c r="AD12" s="1280"/>
      <c r="AE12" s="1281"/>
      <c r="AF12" s="932"/>
      <c r="AJ12" s="1294" t="s">
        <v>9497</v>
      </c>
      <c r="AK12" s="1295"/>
      <c r="AL12" s="1295"/>
      <c r="AM12" s="936">
        <v>2434251</v>
      </c>
    </row>
    <row r="13" spans="2:41" s="969" customFormat="1" ht="21.75" thickBot="1" x14ac:dyDescent="0.4">
      <c r="B13" s="1285" t="s">
        <v>11037</v>
      </c>
      <c r="C13" s="1286"/>
      <c r="D13" s="1287"/>
      <c r="E13" s="932"/>
      <c r="G13" s="1285" t="s">
        <v>11037</v>
      </c>
      <c r="H13" s="1286"/>
      <c r="I13" s="1287"/>
      <c r="J13" s="932"/>
      <c r="M13" s="1284"/>
      <c r="N13" s="1254"/>
      <c r="O13" s="1254"/>
      <c r="P13" s="932"/>
      <c r="R13" s="1284"/>
      <c r="S13" s="1254"/>
      <c r="T13" s="1254"/>
      <c r="U13" s="932"/>
      <c r="X13" s="1284"/>
      <c r="Y13" s="1254"/>
      <c r="Z13" s="1254"/>
      <c r="AA13" s="932"/>
      <c r="AC13" s="1285" t="s">
        <v>11037</v>
      </c>
      <c r="AD13" s="1286"/>
      <c r="AE13" s="1287"/>
      <c r="AF13" s="932"/>
      <c r="AJ13" s="1272" t="s">
        <v>2614</v>
      </c>
      <c r="AK13" s="1273"/>
      <c r="AL13" s="1273"/>
      <c r="AM13" s="968">
        <f>AM11-AM12</f>
        <v>13757253.030833334</v>
      </c>
    </row>
    <row r="14" spans="2:41" ht="18.75" x14ac:dyDescent="0.3">
      <c r="B14" s="1279" t="s">
        <v>9494</v>
      </c>
      <c r="C14" s="1280"/>
      <c r="D14" s="1281"/>
      <c r="E14" s="932">
        <v>600000</v>
      </c>
      <c r="G14" s="1279" t="s">
        <v>9494</v>
      </c>
      <c r="H14" s="1280"/>
      <c r="I14" s="1281"/>
      <c r="J14" s="932">
        <v>600000</v>
      </c>
      <c r="M14" s="1279"/>
      <c r="N14" s="1280"/>
      <c r="O14" s="1281"/>
      <c r="P14" s="932"/>
      <c r="R14" s="1279"/>
      <c r="S14" s="1280"/>
      <c r="T14" s="1281"/>
      <c r="U14" s="932"/>
      <c r="X14" s="1279"/>
      <c r="Y14" s="1280"/>
      <c r="Z14" s="1281"/>
      <c r="AA14" s="932"/>
      <c r="AC14" s="1279" t="s">
        <v>9494</v>
      </c>
      <c r="AD14" s="1280"/>
      <c r="AE14" s="1281"/>
      <c r="AF14" s="932">
        <v>300000</v>
      </c>
      <c r="AJ14" s="934"/>
      <c r="AK14" s="934"/>
      <c r="AL14" s="934"/>
      <c r="AM14" s="935"/>
    </row>
    <row r="15" spans="2:41" ht="18.75" x14ac:dyDescent="0.3">
      <c r="B15" s="1279" t="s">
        <v>9495</v>
      </c>
      <c r="C15" s="1280"/>
      <c r="D15" s="1281"/>
      <c r="E15" s="932"/>
      <c r="F15" s="301"/>
      <c r="G15" s="1279" t="s">
        <v>9495</v>
      </c>
      <c r="H15" s="1280"/>
      <c r="I15" s="1281"/>
      <c r="J15" s="932">
        <v>820900</v>
      </c>
      <c r="K15" s="301"/>
      <c r="L15" s="301"/>
      <c r="Q15" s="301"/>
      <c r="V15" s="301"/>
      <c r="W15" s="301"/>
      <c r="AB15" s="301"/>
      <c r="AC15" s="1279" t="s">
        <v>9495</v>
      </c>
      <c r="AD15" s="1280"/>
      <c r="AE15" s="1281"/>
      <c r="AF15" s="932">
        <v>500000</v>
      </c>
      <c r="AG15" s="301"/>
      <c r="AH15" s="301"/>
      <c r="AI15" s="301"/>
      <c r="AJ15" s="934"/>
      <c r="AK15" s="934"/>
      <c r="AL15" s="934"/>
      <c r="AM15" s="935"/>
    </row>
    <row r="16" spans="2:41" ht="18.75" x14ac:dyDescent="0.3">
      <c r="B16" s="1279" t="s">
        <v>12717</v>
      </c>
      <c r="C16" s="1280"/>
      <c r="D16" s="1281"/>
      <c r="E16" s="932"/>
      <c r="F16" s="301"/>
      <c r="G16" s="1279" t="s">
        <v>12717</v>
      </c>
      <c r="H16" s="1280"/>
      <c r="I16" s="1281"/>
      <c r="J16" s="932"/>
      <c r="K16" s="301"/>
      <c r="L16" s="301"/>
      <c r="Q16" s="301"/>
      <c r="V16" s="301"/>
      <c r="W16" s="301"/>
      <c r="AB16" s="301"/>
      <c r="AC16" s="1279" t="s">
        <v>11040</v>
      </c>
      <c r="AD16" s="1280"/>
      <c r="AE16" s="1281"/>
      <c r="AF16" s="1048">
        <v>0</v>
      </c>
      <c r="AG16" s="301"/>
      <c r="AH16" s="301"/>
      <c r="AI16" s="301"/>
      <c r="AJ16" s="934"/>
      <c r="AK16" s="934"/>
      <c r="AL16" s="934"/>
      <c r="AM16" s="935"/>
    </row>
    <row r="17" spans="2:39" ht="21" x14ac:dyDescent="0.35">
      <c r="B17" s="1282"/>
      <c r="C17" s="1283"/>
      <c r="D17" s="1283"/>
      <c r="E17" s="1026"/>
      <c r="F17" s="301"/>
      <c r="G17" s="1282"/>
      <c r="H17" s="1283"/>
      <c r="I17" s="1283"/>
      <c r="J17" s="1026"/>
      <c r="K17" s="301"/>
      <c r="L17" s="301"/>
      <c r="P17" s="3">
        <f ca="1">P12+P7</f>
        <v>-381206</v>
      </c>
      <c r="Q17" s="301"/>
      <c r="U17" s="3">
        <f ca="1">U12+U7</f>
        <v>-9369899</v>
      </c>
      <c r="V17" s="301"/>
      <c r="W17" s="301"/>
      <c r="AA17" s="3">
        <f ca="1">AA12+AA7</f>
        <v>7637996</v>
      </c>
      <c r="AB17" s="301"/>
      <c r="AC17" s="1282" t="s">
        <v>11393</v>
      </c>
      <c r="AD17" s="1283"/>
      <c r="AE17" s="1283"/>
      <c r="AF17" s="1026">
        <v>3707947</v>
      </c>
      <c r="AG17" s="301"/>
      <c r="AH17" s="301"/>
      <c r="AI17" s="301"/>
      <c r="AJ17" s="1081"/>
      <c r="AK17" s="934"/>
      <c r="AL17" s="934"/>
      <c r="AM17" s="935"/>
    </row>
    <row r="18" spans="2:39" ht="21" x14ac:dyDescent="0.35">
      <c r="B18" s="1282"/>
      <c r="C18" s="1283"/>
      <c r="D18" s="1283"/>
      <c r="E18" s="1026"/>
      <c r="F18" s="301"/>
      <c r="G18" s="1282"/>
      <c r="H18" s="1283"/>
      <c r="I18" s="1283"/>
      <c r="J18" s="1026"/>
      <c r="K18" s="301"/>
      <c r="L18" s="301"/>
      <c r="M18" s="3"/>
      <c r="P18" s="3"/>
      <c r="Q18" s="301"/>
      <c r="R18" s="3"/>
      <c r="U18" s="3"/>
      <c r="V18" s="301"/>
      <c r="W18" s="301"/>
      <c r="AB18" s="301"/>
      <c r="AC18" s="1282"/>
      <c r="AD18" s="1283"/>
      <c r="AE18" s="1283"/>
      <c r="AF18" s="1026"/>
      <c r="AG18" s="301"/>
      <c r="AH18" s="301"/>
      <c r="AI18" s="301"/>
      <c r="AJ18" s="934"/>
      <c r="AK18" s="934"/>
      <c r="AL18" s="934"/>
      <c r="AM18" s="935"/>
    </row>
    <row r="19" spans="2:39" ht="19.5" thickBot="1" x14ac:dyDescent="0.35">
      <c r="B19" s="1284"/>
      <c r="C19" s="1254"/>
      <c r="D19" s="1254"/>
      <c r="E19" s="1027"/>
      <c r="F19" s="301"/>
      <c r="G19" s="1284"/>
      <c r="H19" s="1254"/>
      <c r="I19" s="1254"/>
      <c r="J19" s="1027"/>
      <c r="K19" s="301"/>
      <c r="L19" s="301"/>
      <c r="P19" s="3"/>
      <c r="Q19" s="301"/>
      <c r="U19" s="3"/>
      <c r="V19" s="301"/>
      <c r="W19" s="301"/>
      <c r="AB19" s="301"/>
      <c r="AC19" s="1284"/>
      <c r="AD19" s="1254"/>
      <c r="AE19" s="1254"/>
      <c r="AF19" s="1027"/>
      <c r="AG19" s="301"/>
      <c r="AH19" s="301"/>
      <c r="AI19" s="301"/>
      <c r="AJ19" s="934"/>
      <c r="AK19" s="934"/>
      <c r="AL19" s="934"/>
      <c r="AM19" s="935"/>
    </row>
    <row r="20" spans="2:39" ht="21" x14ac:dyDescent="0.35">
      <c r="B20" s="1284" t="s">
        <v>11039</v>
      </c>
      <c r="C20" s="1254"/>
      <c r="D20" s="1254"/>
      <c r="E20" s="1026">
        <f>SUM(E14:E19)</f>
        <v>600000</v>
      </c>
      <c r="G20" s="1284" t="s">
        <v>11039</v>
      </c>
      <c r="H20" s="1254"/>
      <c r="I20" s="1254"/>
      <c r="J20" s="1026">
        <f>SUM(J14:J19)</f>
        <v>1420900</v>
      </c>
      <c r="P20" s="3"/>
      <c r="U20" s="3">
        <f ca="1">AA17+U17+P17</f>
        <v>-2113109</v>
      </c>
      <c r="AA20" s="3"/>
      <c r="AC20" s="1284" t="s">
        <v>11039</v>
      </c>
      <c r="AD20" s="1254"/>
      <c r="AE20" s="1254"/>
      <c r="AF20" s="1026">
        <f>SUM(AF14:AF19)</f>
        <v>4507947</v>
      </c>
      <c r="AJ20" s="1274" t="s">
        <v>9498</v>
      </c>
      <c r="AK20" s="1275"/>
      <c r="AL20" s="1275"/>
      <c r="AM20" s="1276"/>
    </row>
    <row r="21" spans="2:39" s="929" customFormat="1" ht="21" x14ac:dyDescent="0.35">
      <c r="B21" s="1282"/>
      <c r="C21" s="1283"/>
      <c r="D21" s="1283"/>
      <c r="E21" s="1026"/>
      <c r="G21" s="1282"/>
      <c r="H21" s="1283"/>
      <c r="I21" s="1283"/>
      <c r="J21" s="1026"/>
      <c r="M21"/>
      <c r="N21"/>
      <c r="O21"/>
      <c r="P21" s="3"/>
      <c r="R21"/>
      <c r="S21"/>
      <c r="T21"/>
      <c r="U21" s="3"/>
      <c r="X21"/>
      <c r="Y21"/>
      <c r="Z21"/>
      <c r="AA21"/>
      <c r="AC21" s="1282"/>
      <c r="AD21" s="1283"/>
      <c r="AE21" s="1283"/>
      <c r="AF21" s="1026"/>
      <c r="AJ21" s="970" t="s">
        <v>9500</v>
      </c>
      <c r="AK21" s="966" t="s">
        <v>4750</v>
      </c>
      <c r="AL21" s="966" t="s">
        <v>1201</v>
      </c>
      <c r="AM21" s="972" t="s">
        <v>1893</v>
      </c>
    </row>
    <row r="22" spans="2:39" s="929" customFormat="1" ht="21.75" thickBot="1" x14ac:dyDescent="0.4">
      <c r="B22" s="1272" t="s">
        <v>2614</v>
      </c>
      <c r="C22" s="1273"/>
      <c r="D22" s="1273"/>
      <c r="E22" s="968">
        <f>E11-E20</f>
        <v>-17788399.583333332</v>
      </c>
      <c r="G22" s="1272" t="s">
        <v>2614</v>
      </c>
      <c r="H22" s="1273"/>
      <c r="I22" s="1273"/>
      <c r="J22" s="968">
        <f ca="1">J11-J20</f>
        <v>87850206.635159969</v>
      </c>
      <c r="M22"/>
      <c r="N22"/>
      <c r="O22"/>
      <c r="P22"/>
      <c r="R22"/>
      <c r="S22"/>
      <c r="T22"/>
      <c r="U22"/>
      <c r="X22"/>
      <c r="Y22"/>
      <c r="Z22"/>
      <c r="AA22"/>
      <c r="AC22" s="1272" t="s">
        <v>2614</v>
      </c>
      <c r="AD22" s="1273"/>
      <c r="AE22" s="1273"/>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74" t="s">
        <v>9498</v>
      </c>
      <c r="C24" s="1275"/>
      <c r="D24" s="1275"/>
      <c r="E24" s="1276"/>
      <c r="G24" s="1274" t="s">
        <v>9498</v>
      </c>
      <c r="H24" s="1275"/>
      <c r="I24" s="1275"/>
      <c r="J24" s="1276"/>
      <c r="M24"/>
      <c r="N24"/>
      <c r="O24"/>
      <c r="P24"/>
      <c r="R24"/>
      <c r="S24"/>
      <c r="T24"/>
      <c r="U24"/>
      <c r="X24"/>
      <c r="Y24"/>
      <c r="Z24"/>
      <c r="AA24"/>
      <c r="AC24" s="1274" t="s">
        <v>9498</v>
      </c>
      <c r="AD24" s="1275"/>
      <c r="AE24" s="1275"/>
      <c r="AF24" s="1276"/>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-5870171.8624999998</v>
      </c>
      <c r="D27" s="940">
        <f>D26*E22</f>
        <v>-5870171.8624999998</v>
      </c>
      <c r="E27" s="933">
        <f>E26*E22</f>
        <v>-6048055.8583333334</v>
      </c>
      <c r="G27" s="939" t="s">
        <v>4590</v>
      </c>
      <c r="H27" s="940">
        <f ca="1">H26*J22</f>
        <v>28990568.189602792</v>
      </c>
      <c r="I27" s="940">
        <f ca="1">I26*J22</f>
        <v>28990568.189602792</v>
      </c>
      <c r="J27" s="933">
        <f ca="1">J26*J22</f>
        <v>29869070.255954392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-5870171.8624999998</v>
      </c>
      <c r="D29" s="943">
        <f t="shared" ref="D29:E29" si="1">D27-D28</f>
        <v>-5870171.8624999998</v>
      </c>
      <c r="E29" s="944">
        <f t="shared" si="1"/>
        <v>-6048055.8583333334</v>
      </c>
      <c r="G29" s="938" t="s">
        <v>9503</v>
      </c>
      <c r="H29" s="943">
        <f ca="1">H27-H28</f>
        <v>28990568.189602792</v>
      </c>
      <c r="I29" s="943">
        <f t="shared" ref="I29:J29" ca="1" si="2">I27-I28</f>
        <v>28990568.189602792</v>
      </c>
      <c r="J29" s="944">
        <f t="shared" ca="1" si="2"/>
        <v>29869070.255954392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row>
    <row r="32" spans="2:39" x14ac:dyDescent="0.25">
      <c r="C32" s="1080"/>
      <c r="H32" s="1080"/>
      <c r="J32" s="3"/>
      <c r="AD32" s="1080"/>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08" t="s">
        <v>5473</v>
      </c>
      <c r="B1" s="1308"/>
      <c r="C1" s="1308"/>
      <c r="D1" s="1308"/>
      <c r="E1" s="1308"/>
      <c r="F1" s="1308"/>
      <c r="G1" s="1308"/>
      <c r="H1" s="1308"/>
      <c r="I1" s="1308"/>
      <c r="J1" s="1308"/>
    </row>
    <row r="2" spans="1:13" x14ac:dyDescent="0.25">
      <c r="A2" s="1308"/>
      <c r="B2" s="1308"/>
      <c r="C2" s="1308"/>
      <c r="D2" s="1308"/>
      <c r="E2" s="1308"/>
      <c r="F2" s="1308"/>
      <c r="G2" s="1308"/>
      <c r="H2" s="1308"/>
      <c r="I2" s="1308"/>
      <c r="J2" s="130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07" t="s">
        <v>5482</v>
      </c>
      <c r="B11" s="1307"/>
      <c r="C11" s="1307"/>
      <c r="D11" s="1307"/>
    </row>
    <row r="12" spans="1:13" x14ac:dyDescent="0.25">
      <c r="A12" s="360" t="s">
        <v>5157</v>
      </c>
      <c r="B12" s="360" t="s">
        <v>938</v>
      </c>
      <c r="C12" s="360" t="s">
        <v>1201</v>
      </c>
      <c r="D12" s="360" t="s">
        <v>1893</v>
      </c>
      <c r="E12" s="3"/>
      <c r="G12" s="1309" t="s">
        <v>5483</v>
      </c>
      <c r="H12" s="1310"/>
      <c r="I12" s="1311"/>
      <c r="J12" s="370">
        <f>H9+I9+J9</f>
        <v>9658438.778794989</v>
      </c>
    </row>
    <row r="13" spans="1:13" x14ac:dyDescent="0.25">
      <c r="A13" s="2" t="s">
        <v>5158</v>
      </c>
      <c r="B13" s="15">
        <v>9323439</v>
      </c>
      <c r="C13" s="15">
        <v>9323439</v>
      </c>
      <c r="D13" s="15">
        <v>9605968</v>
      </c>
      <c r="G13" s="1309" t="s">
        <v>5484</v>
      </c>
      <c r="H13" s="1310"/>
      <c r="I13" s="1311"/>
      <c r="J13" s="370">
        <f>J31</f>
        <v>5549996</v>
      </c>
    </row>
    <row r="14" spans="1:13" x14ac:dyDescent="0.25">
      <c r="A14" s="2" t="s">
        <v>5159</v>
      </c>
      <c r="B14" s="15">
        <v>7575873</v>
      </c>
      <c r="C14" s="15">
        <v>7575873</v>
      </c>
      <c r="D14" s="15">
        <v>7805445</v>
      </c>
      <c r="G14" s="1309" t="s">
        <v>5485</v>
      </c>
      <c r="H14" s="1310"/>
      <c r="I14" s="131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12" t="s">
        <v>5486</v>
      </c>
      <c r="G18" s="131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07" t="s">
        <v>5490</v>
      </c>
      <c r="J22" s="130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6" t="s">
        <v>7875</v>
      </c>
      <c r="B40" s="1237"/>
      <c r="C40" s="1237"/>
      <c r="D40" s="1237"/>
      <c r="E40" s="1237"/>
      <c r="F40" s="1237"/>
      <c r="G40" s="1237"/>
      <c r="H40" s="1237"/>
      <c r="I40" s="1237"/>
      <c r="J40" s="1237"/>
      <c r="K40" s="1238"/>
    </row>
    <row r="41" spans="1:12" ht="15.75" thickBot="1" x14ac:dyDescent="0.3">
      <c r="A41" s="1242"/>
      <c r="B41" s="1243"/>
      <c r="C41" s="1243"/>
      <c r="D41" s="1243"/>
      <c r="E41" s="1243"/>
      <c r="F41" s="1243"/>
      <c r="G41" s="1243"/>
      <c r="H41" s="1243"/>
      <c r="I41" s="1243"/>
      <c r="J41" s="1243"/>
      <c r="K41" s="124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6" t="s">
        <v>7167</v>
      </c>
      <c r="B51" s="1237"/>
      <c r="C51" s="1237"/>
      <c r="D51" s="1237"/>
      <c r="E51" s="1237"/>
      <c r="F51" s="1237"/>
      <c r="G51" s="1237"/>
      <c r="H51" s="1237"/>
      <c r="I51" s="1237"/>
      <c r="J51" s="1237"/>
      <c r="K51" s="1238"/>
    </row>
    <row r="52" spans="1:14" ht="15.75" thickBot="1" x14ac:dyDescent="0.3">
      <c r="A52" s="1242"/>
      <c r="B52" s="1243"/>
      <c r="C52" s="1243"/>
      <c r="D52" s="1243"/>
      <c r="E52" s="1243"/>
      <c r="F52" s="1243"/>
      <c r="G52" s="1243"/>
      <c r="H52" s="1243"/>
      <c r="I52" s="1243"/>
      <c r="J52" s="1243"/>
      <c r="K52" s="124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9" t="s">
        <v>7168</v>
      </c>
      <c r="B59" s="1240"/>
      <c r="C59" s="1240"/>
      <c r="D59" s="1240"/>
      <c r="E59" s="1240"/>
      <c r="F59" s="1240"/>
      <c r="G59" s="1240"/>
      <c r="H59" s="1240"/>
      <c r="I59" s="1240"/>
      <c r="J59" s="1240"/>
      <c r="K59" s="1240"/>
      <c r="L59" s="965"/>
      <c r="M59" s="965"/>
    </row>
    <row r="60" spans="1:14" ht="15.75" customHeight="1" x14ac:dyDescent="0.25">
      <c r="A60" s="1305"/>
      <c r="B60" s="1306"/>
      <c r="C60" s="1306"/>
      <c r="D60" s="1306"/>
      <c r="E60" s="1306"/>
      <c r="F60" s="1306"/>
      <c r="G60" s="1306"/>
      <c r="H60" s="1306"/>
      <c r="I60" s="1306"/>
      <c r="J60" s="1306"/>
      <c r="K60" s="1306"/>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02" t="s">
        <v>10396</v>
      </c>
      <c r="F66" s="1303"/>
      <c r="G66" s="1304"/>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6" t="s">
        <v>8162</v>
      </c>
      <c r="B74" s="1237"/>
      <c r="C74" s="1237"/>
      <c r="D74" s="1237"/>
      <c r="E74" s="1237"/>
      <c r="F74" s="1237"/>
      <c r="G74" s="1237"/>
      <c r="H74" s="1237"/>
      <c r="I74" s="1237"/>
      <c r="J74" s="1237"/>
      <c r="K74" s="1237"/>
      <c r="L74" s="1238"/>
    </row>
    <row r="75" spans="1:20" ht="15.75" customHeight="1" thickBot="1" x14ac:dyDescent="0.3">
      <c r="A75" s="1242"/>
      <c r="B75" s="1243"/>
      <c r="C75" s="1243"/>
      <c r="D75" s="1243"/>
      <c r="E75" s="1243"/>
      <c r="F75" s="1243"/>
      <c r="G75" s="1243"/>
      <c r="H75" s="1243"/>
      <c r="I75" s="1243"/>
      <c r="J75" s="1243"/>
      <c r="K75" s="1243"/>
      <c r="L75" s="1244"/>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13" t="s">
        <v>10495</v>
      </c>
      <c r="D82" s="1314"/>
      <c r="E82" s="1314"/>
      <c r="F82" s="1314"/>
      <c r="G82" s="1314"/>
      <c r="H82" s="1315"/>
      <c r="I82" s="976"/>
      <c r="J82" s="976">
        <f>19830000/3</f>
        <v>6610000</v>
      </c>
      <c r="K82" s="976">
        <f>19830000/3</f>
        <v>6610000</v>
      </c>
      <c r="L82" s="976">
        <f>19830000/3</f>
        <v>6610000</v>
      </c>
      <c r="M82" s="948"/>
    </row>
    <row r="83" spans="1:17" x14ac:dyDescent="0.25">
      <c r="M83" s="3"/>
    </row>
    <row r="84" spans="1:17" s="929" customFormat="1" ht="26.25" customHeight="1" x14ac:dyDescent="0.25">
      <c r="C84" s="1313" t="s">
        <v>10533</v>
      </c>
      <c r="D84" s="1314"/>
      <c r="E84" s="1314"/>
      <c r="F84" s="1314"/>
      <c r="G84" s="1314"/>
      <c r="H84" s="1315"/>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36" t="s">
        <v>10398</v>
      </c>
      <c r="B89" s="1237"/>
      <c r="C89" s="1237"/>
      <c r="D89" s="1237"/>
      <c r="E89" s="1237"/>
      <c r="F89" s="1237"/>
      <c r="G89" s="1237"/>
      <c r="H89" s="1237"/>
      <c r="I89" s="1237"/>
      <c r="J89" s="1237"/>
      <c r="K89" s="1238"/>
      <c r="L89" s="3"/>
      <c r="M89" s="3"/>
    </row>
    <row r="90" spans="1:17" ht="15.75" thickBot="1" x14ac:dyDescent="0.3">
      <c r="A90" s="1242"/>
      <c r="B90" s="1243"/>
      <c r="C90" s="1243"/>
      <c r="D90" s="1243"/>
      <c r="E90" s="1243"/>
      <c r="F90" s="1243"/>
      <c r="G90" s="1243"/>
      <c r="H90" s="1243"/>
      <c r="I90" s="1243"/>
      <c r="J90" s="1243"/>
      <c r="K90" s="1244"/>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303032121.18604004</v>
      </c>
      <c r="C92" s="366">
        <f>'Main Summary'!G19</f>
        <v>382433328.82120001</v>
      </c>
      <c r="D92" s="366">
        <f>C92-B92</f>
        <v>79401207.635159969</v>
      </c>
      <c r="E92" s="366"/>
      <c r="F92" s="366"/>
      <c r="G92" s="510"/>
      <c r="H92" s="511">
        <f>D92-E92+F92-G92</f>
        <v>79401207.635159969</v>
      </c>
      <c r="I92" s="366">
        <f>H92*33%</f>
        <v>26202398.51960279</v>
      </c>
      <c r="J92" s="366">
        <f>H92*33%</f>
        <v>26202398.51960279</v>
      </c>
      <c r="K92" s="366">
        <f>H92*34%</f>
        <v>26996410.595954392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24202398.51960279</v>
      </c>
      <c r="J94" s="283">
        <f t="shared" ref="J94:K94" si="5">J92-J93</f>
        <v>26202398.51960279</v>
      </c>
      <c r="K94" s="283">
        <f t="shared" si="5"/>
        <v>26746410.595954392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32" t="s">
        <v>2610</v>
      </c>
      <c r="B2" s="1332"/>
      <c r="C2" s="1332"/>
      <c r="D2" s="1332"/>
      <c r="E2" s="1332"/>
      <c r="F2" s="1332"/>
      <c r="G2" s="1332"/>
      <c r="H2" s="1332"/>
      <c r="I2" s="1332"/>
      <c r="J2" s="1332"/>
      <c r="K2" s="133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29">
        <v>28459027</v>
      </c>
      <c r="B4" s="1329">
        <v>35457479</v>
      </c>
      <c r="C4" s="1329">
        <f>B4-A4</f>
        <v>6998452</v>
      </c>
      <c r="D4" s="1329" t="s">
        <v>2618</v>
      </c>
      <c r="E4" s="225"/>
      <c r="F4" s="225"/>
      <c r="G4" s="225"/>
      <c r="H4" s="1329">
        <f>C4</f>
        <v>6998452</v>
      </c>
      <c r="I4" s="1329">
        <f>H4*25%</f>
        <v>1749613</v>
      </c>
      <c r="J4" s="1329">
        <f>H4*25%</f>
        <v>1749613</v>
      </c>
      <c r="K4" s="1329">
        <f>H4*50%</f>
        <v>3499226</v>
      </c>
    </row>
    <row r="5" spans="1:11" ht="21" customHeight="1" x14ac:dyDescent="0.25">
      <c r="A5" s="1329"/>
      <c r="B5" s="1329"/>
      <c r="C5" s="1329"/>
      <c r="D5" s="1329"/>
      <c r="E5" s="225"/>
      <c r="F5" s="225"/>
      <c r="G5" s="225"/>
      <c r="H5" s="1329"/>
      <c r="I5" s="1329"/>
      <c r="J5" s="1329"/>
      <c r="K5" s="1329"/>
    </row>
    <row r="6" spans="1:11" ht="15.75" x14ac:dyDescent="0.25">
      <c r="A6" s="1330" t="s">
        <v>2619</v>
      </c>
      <c r="B6" s="1330"/>
      <c r="C6" s="1330"/>
      <c r="D6" s="1330"/>
      <c r="E6" s="1330"/>
      <c r="F6" s="1330"/>
      <c r="G6" s="1330"/>
      <c r="H6" s="1330"/>
      <c r="I6" s="186" t="s">
        <v>158</v>
      </c>
      <c r="J6" s="186" t="s">
        <v>2620</v>
      </c>
      <c r="K6" s="186" t="s">
        <v>2620</v>
      </c>
    </row>
    <row r="7" spans="1:11" ht="15.75" x14ac:dyDescent="0.25">
      <c r="A7" s="1330" t="s">
        <v>2621</v>
      </c>
      <c r="B7" s="1330"/>
      <c r="C7" s="1330"/>
      <c r="D7" s="1330"/>
      <c r="E7" s="1330"/>
      <c r="F7" s="1330"/>
      <c r="G7" s="1330"/>
      <c r="H7" s="1330"/>
      <c r="I7" s="186" t="s">
        <v>2622</v>
      </c>
      <c r="J7" s="187">
        <f>J4</f>
        <v>1749613</v>
      </c>
      <c r="K7" s="187">
        <f>K4</f>
        <v>3499226</v>
      </c>
    </row>
    <row r="9" spans="1:11" ht="18" x14ac:dyDescent="0.25">
      <c r="A9" s="1332" t="s">
        <v>2623</v>
      </c>
      <c r="B9" s="1332"/>
      <c r="C9" s="1332"/>
      <c r="D9" s="1332"/>
      <c r="E9" s="1332"/>
      <c r="F9" s="1332"/>
      <c r="G9" s="1332"/>
      <c r="H9" s="1332"/>
      <c r="I9" s="1332"/>
      <c r="J9" s="1332"/>
      <c r="K9" s="133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29">
        <v>42596884</v>
      </c>
      <c r="B11" s="1329">
        <v>51367818</v>
      </c>
      <c r="C11" s="1329">
        <f>B11-A11</f>
        <v>8770934</v>
      </c>
      <c r="D11" s="1329" t="s">
        <v>2618</v>
      </c>
      <c r="E11" s="225"/>
      <c r="F11" s="225"/>
      <c r="G11" s="225"/>
      <c r="H11" s="1329">
        <f>C11</f>
        <v>8770934</v>
      </c>
      <c r="I11" s="1329">
        <f>H11*25%</f>
        <v>2192733.5</v>
      </c>
      <c r="J11" s="1329">
        <f>H11*25%</f>
        <v>2192733.5</v>
      </c>
      <c r="K11" s="1329">
        <f>H11*50%</f>
        <v>4385467</v>
      </c>
    </row>
    <row r="12" spans="1:11" ht="12.75" customHeight="1" x14ac:dyDescent="0.25">
      <c r="A12" s="1329"/>
      <c r="B12" s="1329"/>
      <c r="C12" s="1329"/>
      <c r="D12" s="1329"/>
      <c r="E12" s="225"/>
      <c r="F12" s="225"/>
      <c r="G12" s="225"/>
      <c r="H12" s="1329"/>
      <c r="I12" s="1329"/>
      <c r="J12" s="1329"/>
      <c r="K12" s="1329"/>
    </row>
    <row r="13" spans="1:11" ht="15.75" x14ac:dyDescent="0.25">
      <c r="A13" s="1330" t="s">
        <v>2624</v>
      </c>
      <c r="B13" s="1330"/>
      <c r="C13" s="1330"/>
      <c r="D13" s="1330"/>
      <c r="E13" s="1330"/>
      <c r="F13" s="1330"/>
      <c r="G13" s="1330"/>
      <c r="H13" s="1330"/>
      <c r="I13" s="186" t="s">
        <v>158</v>
      </c>
      <c r="J13" s="188">
        <v>84775</v>
      </c>
      <c r="K13" s="186" t="s">
        <v>2620</v>
      </c>
    </row>
    <row r="14" spans="1:11" ht="15.75" x14ac:dyDescent="0.25">
      <c r="A14" s="1330" t="s">
        <v>2621</v>
      </c>
      <c r="B14" s="1330"/>
      <c r="C14" s="1330"/>
      <c r="D14" s="1330"/>
      <c r="E14" s="1330"/>
      <c r="F14" s="1330"/>
      <c r="G14" s="1330"/>
      <c r="H14" s="133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32" t="s">
        <v>2625</v>
      </c>
      <c r="B17" s="1332"/>
      <c r="C17" s="1332"/>
      <c r="D17" s="1332"/>
      <c r="E17" s="1332"/>
      <c r="F17" s="1332"/>
      <c r="G17" s="1332"/>
      <c r="H17" s="1332"/>
      <c r="I17" s="1332"/>
      <c r="J17" s="1332"/>
      <c r="K17" s="133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29">
        <v>91625888</v>
      </c>
      <c r="B19" s="1329">
        <v>130688607</v>
      </c>
      <c r="C19" s="1329">
        <f>B19-A19</f>
        <v>39062719</v>
      </c>
      <c r="D19" s="1329">
        <v>7500000</v>
      </c>
      <c r="E19" s="225"/>
      <c r="F19" s="225"/>
      <c r="G19" s="225"/>
      <c r="H19" s="1329">
        <f>C19</f>
        <v>39062719</v>
      </c>
      <c r="I19" s="1329">
        <f>H19*25%</f>
        <v>9765679.75</v>
      </c>
      <c r="J19" s="1329">
        <f>H19*25%</f>
        <v>9765679.75</v>
      </c>
      <c r="K19" s="1329">
        <f>H19*50%</f>
        <v>19531359.5</v>
      </c>
    </row>
    <row r="20" spans="1:11" ht="12.75" customHeight="1" x14ac:dyDescent="0.25">
      <c r="A20" s="1329"/>
      <c r="B20" s="1329"/>
      <c r="C20" s="1329"/>
      <c r="D20" s="1329"/>
      <c r="E20" s="225"/>
      <c r="F20" s="225"/>
      <c r="G20" s="225"/>
      <c r="H20" s="1329"/>
      <c r="I20" s="1329"/>
      <c r="J20" s="1329"/>
      <c r="K20" s="1329"/>
    </row>
    <row r="21" spans="1:11" ht="15.75" x14ac:dyDescent="0.25">
      <c r="A21" s="1330" t="s">
        <v>2624</v>
      </c>
      <c r="B21" s="1330"/>
      <c r="C21" s="1330"/>
      <c r="D21" s="1330"/>
      <c r="E21" s="1330"/>
      <c r="F21" s="1330"/>
      <c r="G21" s="1330"/>
      <c r="H21" s="1330"/>
      <c r="I21" s="188">
        <v>13000000</v>
      </c>
      <c r="J21" s="186"/>
      <c r="K21" s="186"/>
    </row>
    <row r="22" spans="1:11" ht="15.75" x14ac:dyDescent="0.25">
      <c r="A22" s="1330" t="s">
        <v>2621</v>
      </c>
      <c r="B22" s="1330"/>
      <c r="C22" s="1330"/>
      <c r="D22" s="1330"/>
      <c r="E22" s="1330"/>
      <c r="F22" s="1330"/>
      <c r="G22" s="1330"/>
      <c r="H22" s="133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0" t="s">
        <v>2635</v>
      </c>
      <c r="B36" s="1320"/>
      <c r="C36" s="1320"/>
      <c r="D36" s="1320"/>
      <c r="E36" s="1320"/>
      <c r="F36" s="1320"/>
      <c r="G36" s="1320"/>
      <c r="H36" s="1320"/>
      <c r="I36" s="1320"/>
      <c r="J36" s="1320"/>
      <c r="K36" s="132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25">
        <f>'Main Summary'!$AK$73</f>
        <v>31688154.002880182</v>
      </c>
      <c r="B38" s="1325">
        <f>'Main Summary'!$AL$73</f>
        <v>37164776</v>
      </c>
      <c r="C38" s="1325">
        <f>B38-A38</f>
        <v>5476621.9971198179</v>
      </c>
      <c r="D38" s="1325">
        <v>6000000</v>
      </c>
      <c r="E38" s="1327"/>
      <c r="F38" s="1327"/>
      <c r="G38" s="1325">
        <v>300000</v>
      </c>
      <c r="H38" s="1325">
        <f>C38-D38-G38</f>
        <v>-823378.00288018212</v>
      </c>
      <c r="I38" s="1325">
        <f>H38*33%</f>
        <v>-271714.74095046014</v>
      </c>
      <c r="J38" s="1325">
        <f>H38*33%</f>
        <v>-271714.74095046014</v>
      </c>
      <c r="K38" s="1325">
        <f>H38*34%</f>
        <v>-279948.52097926196</v>
      </c>
    </row>
    <row r="39" spans="1:13" ht="16.899999999999999" customHeight="1" x14ac:dyDescent="0.25">
      <c r="A39" s="1325"/>
      <c r="B39" s="1325"/>
      <c r="C39" s="1325"/>
      <c r="D39" s="1325"/>
      <c r="E39" s="1328"/>
      <c r="F39" s="1328"/>
      <c r="G39" s="1325"/>
      <c r="H39" s="1325"/>
      <c r="I39" s="1325"/>
      <c r="J39" s="1325"/>
      <c r="K39" s="1325"/>
    </row>
    <row r="40" spans="1:13" ht="16.5" x14ac:dyDescent="0.25">
      <c r="A40" s="1326" t="s">
        <v>2636</v>
      </c>
      <c r="B40" s="1326"/>
      <c r="C40" s="1326"/>
      <c r="D40" s="1326"/>
      <c r="E40" s="1326"/>
      <c r="F40" s="1326"/>
      <c r="G40" s="1326"/>
      <c r="H40" s="1326"/>
      <c r="I40" s="231">
        <v>3234320</v>
      </c>
      <c r="J40" s="231"/>
      <c r="K40" s="231"/>
    </row>
    <row r="41" spans="1:13" ht="16.5" x14ac:dyDescent="0.25">
      <c r="A41" s="1326" t="s">
        <v>2864</v>
      </c>
      <c r="B41" s="1326"/>
      <c r="C41" s="1326"/>
      <c r="D41" s="1326"/>
      <c r="E41" s="1326"/>
      <c r="F41" s="1326"/>
      <c r="G41" s="1326"/>
      <c r="H41" s="1326"/>
      <c r="I41" s="231"/>
      <c r="J41" s="231">
        <v>1676486</v>
      </c>
      <c r="K41" s="231">
        <v>6090000</v>
      </c>
    </row>
    <row r="42" spans="1:13" ht="16.5" x14ac:dyDescent="0.25">
      <c r="A42" s="1326" t="s">
        <v>2637</v>
      </c>
      <c r="B42" s="1326"/>
      <c r="C42" s="1326"/>
      <c r="D42" s="1326"/>
      <c r="E42" s="1326"/>
      <c r="F42" s="1326"/>
      <c r="G42" s="1326"/>
      <c r="H42" s="1326"/>
      <c r="I42" s="231">
        <v>1568356</v>
      </c>
      <c r="J42" s="231"/>
      <c r="K42" s="231"/>
    </row>
    <row r="43" spans="1:13" ht="16.5" x14ac:dyDescent="0.25">
      <c r="A43" s="1324" t="s">
        <v>2638</v>
      </c>
      <c r="B43" s="1324"/>
      <c r="C43" s="1324"/>
      <c r="D43" s="1324"/>
      <c r="E43" s="1324"/>
      <c r="F43" s="1324"/>
      <c r="G43" s="1324"/>
      <c r="H43" s="132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31" t="s">
        <v>2773</v>
      </c>
      <c r="B45" s="1331"/>
      <c r="C45" s="1331"/>
      <c r="D45" s="1331"/>
      <c r="E45" s="1331"/>
      <c r="F45" s="1331"/>
      <c r="G45" s="1331"/>
      <c r="H45" s="133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0" t="s">
        <v>3293</v>
      </c>
      <c r="B49" s="1320"/>
      <c r="C49" s="1320"/>
      <c r="D49" s="1320"/>
      <c r="E49" s="1320"/>
      <c r="F49" s="1320"/>
      <c r="G49" s="1320"/>
      <c r="H49" s="1320"/>
      <c r="I49" s="1320"/>
      <c r="J49" s="1320"/>
      <c r="K49" s="132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1">
        <f>'Main Summary'!AD19</f>
        <v>113012540.90419273</v>
      </c>
      <c r="B51" s="1321">
        <f>'Main Summary'!AE19</f>
        <v>164353252</v>
      </c>
      <c r="C51" s="1321">
        <f>B51-A51</f>
        <v>51340711.095807269</v>
      </c>
      <c r="D51" s="1321">
        <v>7000000</v>
      </c>
      <c r="E51" s="1322">
        <f>15000000+6000000</f>
        <v>21000000</v>
      </c>
      <c r="F51" s="344"/>
      <c r="G51" s="1321">
        <v>500000</v>
      </c>
      <c r="H51" s="1321">
        <f>C51-D51-G51-E51</f>
        <v>22840711.095807269</v>
      </c>
      <c r="I51" s="1321">
        <f>H51*33%</f>
        <v>7537434.661616399</v>
      </c>
      <c r="J51" s="1321">
        <f>H51*33%</f>
        <v>7537434.661616399</v>
      </c>
      <c r="K51" s="1321">
        <f>H51*34%</f>
        <v>7765841.7725744722</v>
      </c>
    </row>
    <row r="52" spans="1:13" ht="16.899999999999999" customHeight="1" x14ac:dyDescent="0.25">
      <c r="A52" s="1321"/>
      <c r="B52" s="1321"/>
      <c r="C52" s="1321"/>
      <c r="D52" s="1321"/>
      <c r="E52" s="1323"/>
      <c r="F52" s="345"/>
      <c r="G52" s="1321"/>
      <c r="H52" s="1321"/>
      <c r="I52" s="1321"/>
      <c r="J52" s="1321"/>
      <c r="K52" s="1321"/>
    </row>
    <row r="53" spans="1:13" ht="15.75" x14ac:dyDescent="0.25">
      <c r="A53" s="1317" t="s">
        <v>2636</v>
      </c>
      <c r="B53" s="1317"/>
      <c r="C53" s="1317"/>
      <c r="D53" s="1317"/>
      <c r="E53" s="1317"/>
      <c r="F53" s="1317"/>
      <c r="G53" s="1317"/>
      <c r="H53" s="1317"/>
      <c r="I53" s="225"/>
      <c r="J53" s="225"/>
      <c r="K53" s="225"/>
      <c r="M53" s="1">
        <v>1682985</v>
      </c>
    </row>
    <row r="54" spans="1:13" ht="15.75" x14ac:dyDescent="0.25">
      <c r="A54" s="1317" t="s">
        <v>2864</v>
      </c>
      <c r="B54" s="1317"/>
      <c r="C54" s="1317"/>
      <c r="D54" s="1317"/>
      <c r="E54" s="1317"/>
      <c r="F54" s="1317"/>
      <c r="G54" s="1317"/>
      <c r="H54" s="1317"/>
      <c r="I54" s="225">
        <f>450000+3000000+1300000+200000+6000000</f>
        <v>10950000</v>
      </c>
      <c r="J54" s="225">
        <f>3800000+300000+1500000+89000+1000000+1300000</f>
        <v>7989000</v>
      </c>
      <c r="K54" s="225">
        <f>150000+500000+500000+5000000</f>
        <v>6150000</v>
      </c>
      <c r="M54" s="1">
        <v>26656</v>
      </c>
    </row>
    <row r="55" spans="1:13" ht="15.75" x14ac:dyDescent="0.25">
      <c r="A55" s="1317" t="s">
        <v>4274</v>
      </c>
      <c r="B55" s="1317"/>
      <c r="C55" s="1317"/>
      <c r="D55" s="1317"/>
      <c r="E55" s="1317"/>
      <c r="F55" s="1317"/>
      <c r="G55" s="1317"/>
      <c r="H55" s="1317"/>
      <c r="I55" s="225"/>
      <c r="J55" s="225">
        <v>493250</v>
      </c>
      <c r="K55" s="225"/>
      <c r="M55" s="1">
        <v>7143</v>
      </c>
    </row>
    <row r="56" spans="1:13" ht="15.75" x14ac:dyDescent="0.25">
      <c r="A56" s="1318" t="s">
        <v>2638</v>
      </c>
      <c r="B56" s="1318"/>
      <c r="C56" s="1318"/>
      <c r="D56" s="1318"/>
      <c r="E56" s="1318"/>
      <c r="F56" s="1318"/>
      <c r="G56" s="1318"/>
      <c r="H56" s="1318"/>
      <c r="I56" s="263">
        <f>I51-I53-I54-I55</f>
        <v>-3412565.338383601</v>
      </c>
      <c r="J56" s="263">
        <f>J51+J55-J54</f>
        <v>41684.661616398953</v>
      </c>
      <c r="K56" s="263">
        <f>K51-K53-K54-K55</f>
        <v>1615841.7725744722</v>
      </c>
      <c r="M56" s="1">
        <v>7257</v>
      </c>
    </row>
    <row r="57" spans="1:13" ht="15.75" x14ac:dyDescent="0.25">
      <c r="A57" s="1319" t="s">
        <v>2773</v>
      </c>
      <c r="B57" s="1319"/>
      <c r="C57" s="1319"/>
      <c r="D57" s="1319"/>
      <c r="E57" s="1319"/>
      <c r="F57" s="1319"/>
      <c r="G57" s="1319"/>
      <c r="H57" s="131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0" t="s">
        <v>3669</v>
      </c>
      <c r="B61" s="1320"/>
      <c r="C61" s="1320"/>
      <c r="D61" s="1320"/>
      <c r="E61" s="1320"/>
      <c r="F61" s="1320"/>
      <c r="G61" s="1320"/>
      <c r="H61" s="1320"/>
      <c r="I61" s="1320"/>
      <c r="J61" s="1320"/>
      <c r="K61" s="132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1">
        <f>'Main Summary'!Z19</f>
        <v>138622950.11069509</v>
      </c>
      <c r="B63" s="1321">
        <f>'Main Summary'!AA19</f>
        <v>174948764</v>
      </c>
      <c r="C63" s="1321">
        <f>B63-A63</f>
        <v>36325813.889304906</v>
      </c>
      <c r="D63" s="1321">
        <v>2000000</v>
      </c>
      <c r="E63" s="1322">
        <v>4500000</v>
      </c>
      <c r="F63" s="1322">
        <v>889800</v>
      </c>
      <c r="G63" s="1321">
        <v>500000</v>
      </c>
      <c r="H63" s="1321">
        <f>C63-D63-G63-E63-F63</f>
        <v>28436013.889304906</v>
      </c>
      <c r="I63" s="1321">
        <f>H63*33%</f>
        <v>9383884.5834706202</v>
      </c>
      <c r="J63" s="1321">
        <f>H63*33%</f>
        <v>9383884.5834706202</v>
      </c>
      <c r="K63" s="1321">
        <f>H63*34%</f>
        <v>9668244.7223636694</v>
      </c>
    </row>
    <row r="64" spans="1:13" ht="15" customHeight="1" x14ac:dyDescent="0.25">
      <c r="A64" s="1321"/>
      <c r="B64" s="1321"/>
      <c r="C64" s="1321"/>
      <c r="D64" s="1321"/>
      <c r="E64" s="1323"/>
      <c r="F64" s="1323"/>
      <c r="G64" s="1321"/>
      <c r="H64" s="1321"/>
      <c r="I64" s="1321"/>
      <c r="J64" s="1321"/>
      <c r="K64" s="1321"/>
    </row>
    <row r="65" spans="1:18" ht="27" customHeight="1" x14ac:dyDescent="0.25">
      <c r="A65" s="1317" t="s">
        <v>2864</v>
      </c>
      <c r="B65" s="1317"/>
      <c r="C65" s="1317"/>
      <c r="D65" s="1317"/>
      <c r="E65" s="1317"/>
      <c r="F65" s="1317"/>
      <c r="G65" s="1317"/>
      <c r="H65" s="1317"/>
      <c r="I65" s="225">
        <f>'old Sharing details'!H30</f>
        <v>20909127</v>
      </c>
      <c r="J65" s="225">
        <f>'old Sharing details'!H65</f>
        <v>20630910</v>
      </c>
      <c r="K65" s="225">
        <f>'old Sharing details'!D125</f>
        <v>17742859</v>
      </c>
    </row>
    <row r="66" spans="1:18" ht="27" customHeight="1" x14ac:dyDescent="0.25">
      <c r="A66" s="1318" t="s">
        <v>2638</v>
      </c>
      <c r="B66" s="1318"/>
      <c r="C66" s="1318"/>
      <c r="D66" s="1318"/>
      <c r="E66" s="1318"/>
      <c r="F66" s="1318"/>
      <c r="G66" s="1318"/>
      <c r="H66" s="1318"/>
      <c r="I66" s="263">
        <f>I63-I65</f>
        <v>-11525242.41652938</v>
      </c>
      <c r="J66" s="263">
        <f t="shared" ref="J66:K66" si="0">J63-J65</f>
        <v>-11247025.41652938</v>
      </c>
      <c r="K66" s="263">
        <f t="shared" si="0"/>
        <v>-8074614.2776363306</v>
      </c>
    </row>
    <row r="67" spans="1:18" ht="15.75" x14ac:dyDescent="0.25">
      <c r="A67" s="1319" t="s">
        <v>2773</v>
      </c>
      <c r="B67" s="1319"/>
      <c r="C67" s="1319"/>
      <c r="D67" s="1319"/>
      <c r="E67" s="1319"/>
      <c r="F67" s="1319"/>
      <c r="G67" s="1319"/>
      <c r="H67" s="131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16" t="s">
        <v>5163</v>
      </c>
      <c r="B69" s="1316"/>
      <c r="C69" s="1316"/>
      <c r="D69" s="1316"/>
      <c r="E69" s="283">
        <v>3118282</v>
      </c>
      <c r="M69"/>
      <c r="N69" s="1">
        <v>4629646</v>
      </c>
      <c r="O69" s="1">
        <v>7330193</v>
      </c>
      <c r="P69" s="1">
        <v>1850440</v>
      </c>
      <c r="R69" s="1"/>
    </row>
    <row r="70" spans="1:18" x14ac:dyDescent="0.25">
      <c r="A70" s="1316" t="s">
        <v>5161</v>
      </c>
      <c r="B70" s="1316"/>
      <c r="C70" s="1316"/>
      <c r="D70" s="1316"/>
      <c r="E70" s="15">
        <v>1000000</v>
      </c>
      <c r="M70"/>
      <c r="N70" s="3"/>
      <c r="R70" s="1"/>
    </row>
    <row r="71" spans="1:18" ht="26.25" x14ac:dyDescent="0.25">
      <c r="A71" s="1316" t="s">
        <v>5162</v>
      </c>
      <c r="B71" s="1316"/>
      <c r="C71" s="1316"/>
      <c r="D71" s="131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3" t="s">
        <v>4711</v>
      </c>
      <c r="O73" s="1333"/>
      <c r="P73" s="1333"/>
    </row>
    <row r="74" spans="1:18" x14ac:dyDescent="0.25">
      <c r="A74">
        <f>139220029+2000000</f>
        <v>141220029</v>
      </c>
      <c r="B74" s="3">
        <f>B63-A74</f>
        <v>33728735</v>
      </c>
      <c r="M74"/>
      <c r="N74" s="1333"/>
      <c r="O74" s="1333"/>
      <c r="P74" s="133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1" t="s">
        <v>1766</v>
      </c>
      <c r="D1" s="1111"/>
      <c r="E1" s="1111"/>
    </row>
    <row r="2" spans="1:8" x14ac:dyDescent="0.25">
      <c r="C2" s="1111"/>
      <c r="D2" s="1111"/>
      <c r="E2" s="1111"/>
    </row>
    <row r="3" spans="1:8" x14ac:dyDescent="0.25">
      <c r="C3" s="1271" t="s">
        <v>4712</v>
      </c>
      <c r="D3" s="1271"/>
      <c r="E3" s="1271"/>
    </row>
    <row r="4" spans="1:8" x14ac:dyDescent="0.25">
      <c r="C4" s="1271"/>
      <c r="D4" s="1271"/>
      <c r="E4" s="1271"/>
    </row>
    <row r="6" spans="1:8" ht="14.45" customHeight="1" x14ac:dyDescent="0.25">
      <c r="A6" s="1348" t="s">
        <v>1893</v>
      </c>
      <c r="B6" s="1349"/>
      <c r="C6" s="1349"/>
      <c r="D6" s="1350"/>
      <c r="E6" s="1357" t="s">
        <v>4750</v>
      </c>
      <c r="F6" s="1357"/>
      <c r="G6" s="1357"/>
      <c r="H6" s="1357"/>
    </row>
    <row r="7" spans="1:8" ht="14.45" customHeight="1" x14ac:dyDescent="0.25">
      <c r="A7" s="1351"/>
      <c r="B7" s="1352"/>
      <c r="C7" s="1352"/>
      <c r="D7" s="1353"/>
      <c r="E7" s="1357"/>
      <c r="F7" s="1357"/>
      <c r="G7" s="1357"/>
      <c r="H7" s="1357"/>
    </row>
    <row r="8" spans="1:8" ht="14.45" customHeight="1" x14ac:dyDescent="0.25">
      <c r="A8" s="1354"/>
      <c r="B8" s="1355"/>
      <c r="C8" s="1355"/>
      <c r="D8" s="1356"/>
      <c r="E8" s="1357"/>
      <c r="F8" s="1357"/>
      <c r="G8" s="1357"/>
      <c r="H8" s="1357"/>
    </row>
    <row r="9" spans="1:8" ht="27" thickBot="1" x14ac:dyDescent="0.3">
      <c r="A9" s="1248" t="s">
        <v>4589</v>
      </c>
      <c r="B9" s="1249"/>
      <c r="C9" s="1249"/>
      <c r="D9" s="1250"/>
      <c r="E9" s="1251" t="s">
        <v>4589</v>
      </c>
      <c r="F9" s="1252"/>
      <c r="G9" s="1252"/>
      <c r="H9" s="125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55" t="s">
        <v>4595</v>
      </c>
      <c r="F30" s="1255"/>
      <c r="G30" s="125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47" t="s">
        <v>4747</v>
      </c>
      <c r="F37" s="1252"/>
      <c r="G37" s="1252"/>
      <c r="H37" s="125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4" t="s">
        <v>4595</v>
      </c>
      <c r="B54" s="1254"/>
      <c r="C54" s="125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37" t="s">
        <v>4599</v>
      </c>
      <c r="B58" s="1338"/>
      <c r="C58" s="1338"/>
      <c r="D58" s="133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4" t="s">
        <v>4595</v>
      </c>
      <c r="F65" s="1254"/>
      <c r="G65" s="125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43" t="s">
        <v>4744</v>
      </c>
      <c r="F73" s="1343"/>
      <c r="G73" s="1343"/>
      <c r="H73" s="134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44" t="s">
        <v>4595</v>
      </c>
      <c r="F87" s="1345"/>
      <c r="G87" s="134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39" t="s">
        <v>4595</v>
      </c>
      <c r="B102" s="1286"/>
      <c r="C102" s="1287"/>
      <c r="D102" s="313">
        <f>SUM(D60:D101)</f>
        <v>8325000</v>
      </c>
    </row>
    <row r="104" spans="1:4" ht="15.75" thickBot="1" x14ac:dyDescent="0.3">
      <c r="D104" s="49"/>
    </row>
    <row r="105" spans="1:4" ht="21.75" thickBot="1" x14ac:dyDescent="0.3">
      <c r="A105" s="1340" t="s">
        <v>4596</v>
      </c>
      <c r="B105" s="1341"/>
      <c r="C105" s="1341"/>
      <c r="D105" s="134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85" t="s">
        <v>4595</v>
      </c>
      <c r="B124" s="1286"/>
      <c r="C124" s="1287"/>
      <c r="D124" s="320">
        <f>SUM(D107:D123)</f>
        <v>3665720</v>
      </c>
    </row>
    <row r="125" spans="1:4" ht="19.5" thickBot="1" x14ac:dyDescent="0.35">
      <c r="A125" s="1334" t="s">
        <v>4616</v>
      </c>
      <c r="B125" s="1335"/>
      <c r="C125" s="133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2024-07-18T09:38:18Z</cp:lastPrinted>
  <dcterms:created xsi:type="dcterms:W3CDTF">2016-01-21T08:10:35Z</dcterms:created>
  <dcterms:modified xsi:type="dcterms:W3CDTF">2024-07-20T11:05:35Z</dcterms:modified>
</cp:coreProperties>
</file>