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0FD075E-7418-4F89-8E4E-1463ED0D9A64}"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IK" sheetId="40" r:id="rId8"/>
    <sheet name="Sup summ" sheetId="5" r:id="rId9"/>
    <sheet name="Sub Cont" sheetId="29" r:id="rId10"/>
    <sheet name="s" sheetId="32" r:id="rId11"/>
    <sheet name="Project wise Supplier balance" sheetId="22" r:id="rId12"/>
    <sheet name="Main Summary" sheetId="3" r:id="rId13"/>
    <sheet name="Receiving" sheetId="28" r:id="rId14"/>
    <sheet name="Profit" sheetId="31" r:id="rId15"/>
    <sheet name="Profit Summary" sheetId="23" r:id="rId16"/>
    <sheet name="old Profit Sharing" sheetId="12" r:id="rId17"/>
    <sheet name="old Sharing details" sheetId="19"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Posting!$A$1:$P$23099</definedName>
    <definedName name="_xlnm._FilterDatabase" localSheetId="6" hidden="1">Supplier!$A$1:$XFC$4586</definedName>
    <definedName name="_xlnm.Print_Area" localSheetId="12">'Main Summary'!$Y$4:$AA$19</definedName>
    <definedName name="_xlnm.Print_Area" localSheetId="16">'old Profit Sharing'!$A$17:$K$71</definedName>
    <definedName name="_xlnm.Print_Area" localSheetId="17">'old Sharing details'!$E$73:$H$87</definedName>
    <definedName name="_xlnm.Print_Area" localSheetId="1">Posting!$A$1956:$E$2155</definedName>
    <definedName name="_xlnm.Print_Area" localSheetId="2">'Pro Summ'!$A$1:$D$92</definedName>
    <definedName name="_xlnm.Print_Area" localSheetId="14">Profit!$X$1:$AF$29</definedName>
    <definedName name="_xlnm.Print_Area" localSheetId="15">'Profit Summary'!$A$74:$L$86</definedName>
    <definedName name="_xlnm.Print_Area" localSheetId="11">'Project wise Supplier balance'!$A$1:$E$122</definedName>
    <definedName name="_xlnm.Print_Area" localSheetId="13">Receiving!$F$145:$I$172</definedName>
    <definedName name="_xlnm.Print_Area" localSheetId="6">Supplier!$A$940:$F$4556</definedName>
    <definedName name="project">'Pro Summ'!$A$6:$A$28</definedName>
  </definedNames>
  <calcPr calcId="191029" iterate="1"/>
  <pivotCaches>
    <pivotCache cacheId="52" r:id="rId29"/>
    <pivotCache cacheId="57" r:id="rId30"/>
  </pivotCaches>
</workbook>
</file>

<file path=xl/calcChain.xml><?xml version="1.0" encoding="utf-8"?>
<calcChain xmlns="http://schemas.openxmlformats.org/spreadsheetml/2006/main">
  <c r="G23095" i="1" l="1"/>
  <c r="G23094" i="1"/>
  <c r="G4587" i="2"/>
  <c r="G4535" i="2"/>
  <c r="G4452" i="2"/>
  <c r="G4565" i="2"/>
  <c r="G4526" i="2"/>
  <c r="G4410" i="2"/>
  <c r="G23089" i="1"/>
  <c r="G23090" i="1"/>
  <c r="G23091" i="1"/>
  <c r="G23092" i="1"/>
  <c r="G4586" i="2"/>
  <c r="G23088" i="1"/>
  <c r="G23087" i="1"/>
  <c r="E4585" i="2"/>
  <c r="G4585" i="2" s="1"/>
  <c r="G4584" i="2"/>
  <c r="G4583" i="2"/>
  <c r="G23086" i="1"/>
  <c r="G23083" i="1"/>
  <c r="G23080" i="1"/>
  <c r="G23081" i="1"/>
  <c r="G23082" i="1"/>
  <c r="G23084" i="1"/>
  <c r="G23085" i="1"/>
  <c r="G23079" i="1"/>
  <c r="G4571" i="2"/>
  <c r="G4577" i="2"/>
  <c r="G4562" i="2" l="1"/>
  <c r="G23078" i="1" l="1"/>
  <c r="G23074" i="1"/>
  <c r="G23097" i="1"/>
  <c r="G23077" i="1"/>
  <c r="G23067" i="1"/>
  <c r="G23069" i="1"/>
  <c r="G23070" i="1"/>
  <c r="G23071" i="1"/>
  <c r="G23072" i="1"/>
  <c r="G23073" i="1"/>
  <c r="G23075" i="1"/>
  <c r="G23068" i="1"/>
  <c r="G23076" i="1"/>
  <c r="G4580" i="2"/>
  <c r="G4579" i="2"/>
  <c r="G23063" i="1"/>
  <c r="G4581" i="2"/>
  <c r="G4582" i="2"/>
  <c r="G23066" i="1" l="1"/>
  <c r="G23065" i="1"/>
  <c r="G23062" i="1"/>
  <c r="G23064" i="1"/>
  <c r="G23051" i="1"/>
  <c r="G23052" i="1"/>
  <c r="G23053" i="1"/>
  <c r="G23054" i="1"/>
  <c r="G23055" i="1"/>
  <c r="G23056" i="1"/>
  <c r="G23057" i="1"/>
  <c r="G23058" i="1"/>
  <c r="G23059" i="1"/>
  <c r="G23060" i="1"/>
  <c r="G23061" i="1"/>
  <c r="G23038" i="1"/>
  <c r="G23039" i="1"/>
  <c r="G23040" i="1"/>
  <c r="G23041" i="1"/>
  <c r="G23042" i="1"/>
  <c r="G23043" i="1"/>
  <c r="G23044" i="1"/>
  <c r="G4568" i="2"/>
  <c r="G4567" i="2"/>
  <c r="G4560" i="2"/>
  <c r="G4559" i="2"/>
  <c r="G4558" i="2"/>
  <c r="G4578" i="2" l="1"/>
  <c r="G23020" i="1"/>
  <c r="G23021" i="1"/>
  <c r="G23050" i="1"/>
  <c r="G23049" i="1"/>
  <c r="G22997" i="1"/>
  <c r="G22998" i="1"/>
  <c r="G22999" i="1"/>
  <c r="G23000" i="1"/>
  <c r="G23093" i="1" l="1"/>
  <c r="C14" i="3"/>
  <c r="C13" i="3"/>
  <c r="B13" i="3"/>
  <c r="G22969" i="1"/>
  <c r="G22970" i="1"/>
  <c r="G22971" i="1"/>
  <c r="G22964" i="1"/>
  <c r="G22960" i="1"/>
  <c r="G23045" i="1"/>
  <c r="G23046" i="1"/>
  <c r="G23047" i="1"/>
  <c r="G23048" i="1"/>
  <c r="G23022" i="1"/>
  <c r="G23023" i="1"/>
  <c r="G23024" i="1"/>
  <c r="G23025" i="1"/>
  <c r="G23026" i="1"/>
  <c r="G23027" i="1"/>
  <c r="G23028" i="1"/>
  <c r="G23029" i="1"/>
  <c r="G23030" i="1"/>
  <c r="G23031" i="1"/>
  <c r="G23032" i="1"/>
  <c r="G23033" i="1"/>
  <c r="G23034" i="1"/>
  <c r="G23035" i="1"/>
  <c r="G23036" i="1"/>
  <c r="G23037" i="1"/>
  <c r="G23018" i="1" l="1"/>
  <c r="G23019" i="1"/>
  <c r="G23003" i="1"/>
  <c r="G23004" i="1"/>
  <c r="G23005" i="1"/>
  <c r="G23006" i="1"/>
  <c r="G23007" i="1"/>
  <c r="G23008" i="1"/>
  <c r="G23009" i="1"/>
  <c r="G23010" i="1"/>
  <c r="G23011" i="1"/>
  <c r="G23012" i="1"/>
  <c r="G23013" i="1"/>
  <c r="G23014" i="1"/>
  <c r="G23015" i="1"/>
  <c r="G23016" i="1"/>
  <c r="G23017" i="1"/>
  <c r="G22985" i="1"/>
  <c r="G22986" i="1"/>
  <c r="G22987" i="1"/>
  <c r="G22988" i="1"/>
  <c r="G22989" i="1"/>
  <c r="G22990" i="1"/>
  <c r="G22991" i="1"/>
  <c r="G22992" i="1"/>
  <c r="G22993" i="1"/>
  <c r="G22994" i="1"/>
  <c r="G22995" i="1"/>
  <c r="G22996" i="1"/>
  <c r="G23001" i="1"/>
  <c r="G23002" i="1"/>
  <c r="G22978" i="1"/>
  <c r="G22979" i="1"/>
  <c r="G22980" i="1"/>
  <c r="G22981" i="1"/>
  <c r="G22977" i="1"/>
  <c r="G22982" i="1"/>
  <c r="G22983" i="1"/>
  <c r="G22984" i="1"/>
  <c r="G22972" i="1"/>
  <c r="G22973" i="1"/>
  <c r="G22974" i="1"/>
  <c r="G22975" i="1"/>
  <c r="G22976" i="1"/>
  <c r="B14" i="3"/>
  <c r="G22921" i="1"/>
  <c r="G22922" i="1"/>
  <c r="G22923" i="1"/>
  <c r="G22924" i="1"/>
  <c r="G23098" i="1" l="1"/>
  <c r="G23096" i="1" l="1"/>
  <c r="D3" i="40" l="1"/>
  <c r="E3" i="40" s="1"/>
  <c r="H3" i="40"/>
  <c r="I3" i="40" s="1"/>
  <c r="J3" i="40" s="1"/>
  <c r="D4" i="40"/>
  <c r="E4" i="40" s="1"/>
  <c r="H4" i="40"/>
  <c r="I4" i="40" s="1"/>
  <c r="J4" i="40" s="1"/>
  <c r="D5" i="40"/>
  <c r="E5" i="40"/>
  <c r="H5" i="40"/>
  <c r="I5" i="40"/>
  <c r="J5" i="40" s="1"/>
  <c r="H2" i="40"/>
  <c r="I2" i="40" s="1"/>
  <c r="J2" i="40" s="1"/>
  <c r="D2" i="40"/>
  <c r="E2" i="40" s="1"/>
  <c r="H19" i="40" l="1"/>
  <c r="I19" i="40" s="1"/>
  <c r="J19" i="40" s="1"/>
  <c r="D19" i="40"/>
  <c r="E19" i="40" s="1"/>
  <c r="F31" i="40" l="1"/>
  <c r="G32" i="40" l="1"/>
  <c r="H22" i="40" l="1"/>
  <c r="H20" i="40" l="1"/>
  <c r="F17" i="40" l="1"/>
  <c r="G4570" i="2" l="1"/>
  <c r="G4564" i="2"/>
  <c r="G4563" i="2"/>
  <c r="G4573" i="2" l="1"/>
  <c r="G4574" i="2"/>
  <c r="G4575" i="2"/>
  <c r="G4576" i="2"/>
  <c r="G22928" i="1"/>
  <c r="G22926" i="1"/>
  <c r="G22927" i="1"/>
  <c r="G4572" i="2"/>
  <c r="G22952" i="1"/>
  <c r="G22925" i="1"/>
  <c r="G22929" i="1"/>
  <c r="G22930" i="1"/>
  <c r="G22911" i="1"/>
  <c r="G22912" i="1"/>
  <c r="G22913" i="1"/>
  <c r="G22914" i="1"/>
  <c r="G22915" i="1"/>
  <c r="G22916" i="1"/>
  <c r="G22917" i="1"/>
  <c r="G22918" i="1"/>
  <c r="G22919" i="1"/>
  <c r="G22920" i="1"/>
  <c r="G22910" i="1"/>
  <c r="G22898" i="1"/>
  <c r="G22899" i="1"/>
  <c r="G22900" i="1"/>
  <c r="G22901" i="1"/>
  <c r="G22902" i="1"/>
  <c r="G22903" i="1"/>
  <c r="G22904" i="1"/>
  <c r="G22905" i="1"/>
  <c r="G22906" i="1"/>
  <c r="G22907" i="1"/>
  <c r="G22908" i="1"/>
  <c r="G22909" i="1"/>
  <c r="G4569" i="2"/>
  <c r="G22895" i="1"/>
  <c r="G22894" i="1"/>
  <c r="G22896" i="1"/>
  <c r="G22897" i="1"/>
  <c r="G22893" i="1"/>
  <c r="G22879" i="1"/>
  <c r="G22880" i="1"/>
  <c r="G22881" i="1"/>
  <c r="G22882" i="1"/>
  <c r="G22883" i="1"/>
  <c r="G22884" i="1"/>
  <c r="G22885" i="1"/>
  <c r="G22886" i="1"/>
  <c r="G22887" i="1"/>
  <c r="G22888" i="1"/>
  <c r="G22889" i="1"/>
  <c r="G22890" i="1"/>
  <c r="G22891" i="1"/>
  <c r="G22892" i="1"/>
  <c r="G22878" i="1"/>
  <c r="G22877" i="1"/>
  <c r="G22870" i="1"/>
  <c r="G22871" i="1"/>
  <c r="G22872" i="1"/>
  <c r="G22873" i="1"/>
  <c r="G22874" i="1"/>
  <c r="G22875" i="1"/>
  <c r="G22876" i="1"/>
  <c r="G22864" i="1"/>
  <c r="G22865" i="1"/>
  <c r="G22866" i="1"/>
  <c r="G22867" i="1"/>
  <c r="G22868" i="1"/>
  <c r="G22869" i="1"/>
  <c r="G22625" i="1" l="1"/>
  <c r="G22626" i="1"/>
  <c r="G4561" i="2"/>
  <c r="G4541" i="2"/>
  <c r="G4566" i="2" l="1"/>
  <c r="G4447" i="2"/>
  <c r="G3698" i="2" l="1"/>
  <c r="G4401" i="2"/>
  <c r="G4400" i="2"/>
  <c r="G4527" i="2"/>
  <c r="N172" i="28"/>
  <c r="G4557" i="2" l="1"/>
  <c r="G4544" i="2"/>
  <c r="E9" i="42" l="1"/>
  <c r="E3" i="42"/>
  <c r="E6" i="42" l="1"/>
  <c r="E5" i="42" l="1"/>
  <c r="E4" i="42" l="1"/>
  <c r="G22966" i="1" l="1"/>
  <c r="G22967" i="1"/>
  <c r="G22968" i="1"/>
  <c r="G4556" i="2" l="1"/>
  <c r="G4555" i="2"/>
  <c r="G4552" i="2"/>
  <c r="G4551" i="2"/>
  <c r="G4545" i="2"/>
  <c r="G4540" i="2"/>
  <c r="G4528" i="2"/>
  <c r="G4512" i="2"/>
  <c r="G4507" i="2"/>
  <c r="G4498" i="2"/>
  <c r="G4553" i="2"/>
  <c r="G4543" i="2"/>
  <c r="G22859" i="1"/>
  <c r="G22860" i="1"/>
  <c r="G22861" i="1"/>
  <c r="G22862" i="1"/>
  <c r="G22863" i="1"/>
  <c r="G22848" i="1"/>
  <c r="G22849" i="1"/>
  <c r="G22850" i="1"/>
  <c r="G22851" i="1"/>
  <c r="G22852" i="1"/>
  <c r="G22853" i="1"/>
  <c r="G22854" i="1"/>
  <c r="G22855" i="1"/>
  <c r="G22856" i="1"/>
  <c r="G22857" i="1"/>
  <c r="G22858" i="1"/>
  <c r="G22829" i="1"/>
  <c r="G22830" i="1"/>
  <c r="G22831" i="1"/>
  <c r="G22832" i="1"/>
  <c r="G22833" i="1"/>
  <c r="G22834" i="1"/>
  <c r="G22835" i="1"/>
  <c r="G22836" i="1"/>
  <c r="G22837" i="1"/>
  <c r="G22838" i="1"/>
  <c r="G22839" i="1"/>
  <c r="G22840" i="1"/>
  <c r="G22841" i="1"/>
  <c r="G22842" i="1"/>
  <c r="G22843" i="1"/>
  <c r="G22844" i="1"/>
  <c r="G22845" i="1"/>
  <c r="G22846" i="1"/>
  <c r="G22847" i="1"/>
  <c r="G22819" i="1"/>
  <c r="G22820" i="1"/>
  <c r="G22821" i="1"/>
  <c r="G22822" i="1"/>
  <c r="G22823" i="1"/>
  <c r="G22824" i="1"/>
  <c r="G22825" i="1"/>
  <c r="G22826" i="1"/>
  <c r="G22827" i="1"/>
  <c r="G22828" i="1"/>
  <c r="G22808" i="1"/>
  <c r="G22809" i="1"/>
  <c r="G22810" i="1"/>
  <c r="G22811" i="1"/>
  <c r="G22812" i="1"/>
  <c r="G22813" i="1"/>
  <c r="G22814" i="1"/>
  <c r="G22815" i="1"/>
  <c r="G22816" i="1"/>
  <c r="G22817" i="1"/>
  <c r="G22818"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1" i="1"/>
  <c r="G22950" i="1"/>
  <c r="G22949" i="1"/>
  <c r="G22948" i="1"/>
  <c r="G22947" i="1"/>
  <c r="G22946" i="1"/>
  <c r="G22965" i="1"/>
  <c r="G4510" i="2"/>
  <c r="G4505" i="2"/>
  <c r="G4504" i="2"/>
  <c r="G4503" i="2"/>
  <c r="G4491" i="2"/>
  <c r="G4485" i="2"/>
  <c r="G4511" i="2"/>
  <c r="G4539" i="2" l="1"/>
  <c r="G4538" i="2"/>
  <c r="G4537" i="2"/>
  <c r="G4530" i="2"/>
  <c r="G4529" i="2"/>
  <c r="G4554" i="2"/>
  <c r="F4307" i="2"/>
  <c r="G4308" i="2"/>
  <c r="F4550" i="2"/>
  <c r="G4550" i="2" s="1"/>
  <c r="G4546" i="2"/>
  <c r="G4547" i="2"/>
  <c r="G4548" i="2"/>
  <c r="G4549" i="2"/>
  <c r="G4154" i="2"/>
  <c r="G19912" i="1" l="1"/>
  <c r="G19913" i="1"/>
  <c r="G19914" i="1"/>
  <c r="G22942" i="1" l="1"/>
  <c r="G22943" i="1"/>
  <c r="G22944" i="1"/>
  <c r="G22945" i="1"/>
  <c r="G22941" i="1"/>
  <c r="G22963" i="1"/>
  <c r="G22962" i="1"/>
  <c r="G4542" i="2"/>
  <c r="G4517" i="2"/>
  <c r="G4516" i="2"/>
  <c r="G4515" i="2"/>
  <c r="G4509" i="2" l="1"/>
  <c r="G4508" i="2"/>
  <c r="G4501" i="2"/>
  <c r="G4497" i="2"/>
  <c r="G4487" i="2"/>
  <c r="G4518" i="2"/>
  <c r="G4520" i="2"/>
  <c r="G4519" i="2"/>
  <c r="G4514" i="2"/>
  <c r="G4513" i="2"/>
  <c r="G4500" i="2"/>
  <c r="G4499" i="2"/>
  <c r="G4534" i="2"/>
  <c r="G4533" i="2"/>
  <c r="G22730" i="1"/>
  <c r="G22729" i="1"/>
  <c r="G4506" i="2"/>
  <c r="G4496" i="2"/>
  <c r="G4495" i="2"/>
  <c r="G4489" i="2"/>
  <c r="G4536" i="2"/>
  <c r="G4532" i="2"/>
  <c r="G4531" i="2"/>
  <c r="G4494" i="2"/>
  <c r="G22657" i="1"/>
  <c r="G22656" i="1"/>
  <c r="G22613" i="1"/>
  <c r="G22612" i="1"/>
  <c r="G22611" i="1"/>
  <c r="G22683" i="1"/>
  <c r="G22655" i="1"/>
  <c r="C12" i="3"/>
  <c r="B12" i="3"/>
  <c r="C11" i="3"/>
  <c r="B11" i="3"/>
  <c r="G22939" i="1"/>
  <c r="G22940"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1" i="1"/>
  <c r="G22705" i="1"/>
  <c r="G22706" i="1"/>
  <c r="G22707" i="1"/>
  <c r="G22708" i="1"/>
  <c r="G22680" i="1"/>
  <c r="G22679" i="1"/>
  <c r="G22694" i="1"/>
  <c r="G22695" i="1"/>
  <c r="G22696" i="1"/>
  <c r="G22697" i="1"/>
  <c r="G22698" i="1"/>
  <c r="G22586" i="1" l="1"/>
  <c r="G22567" i="1"/>
  <c r="G22568" i="1"/>
  <c r="G22569" i="1"/>
  <c r="G22566" i="1"/>
  <c r="G22570" i="1"/>
  <c r="G22653" i="1"/>
  <c r="G22957" i="1"/>
  <c r="G22955"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1" i="2"/>
  <c r="G4522" i="2"/>
  <c r="G4523" i="2"/>
  <c r="G4524" i="2"/>
  <c r="G4525" i="2"/>
  <c r="G22959" i="1"/>
  <c r="G22938" i="1"/>
  <c r="G22935" i="1"/>
  <c r="G22936" i="1"/>
  <c r="G22937" i="1"/>
  <c r="G22934" i="1"/>
  <c r="G22933" i="1"/>
  <c r="G22958" i="1" l="1"/>
  <c r="G22956" i="1"/>
  <c r="G22954" i="1"/>
  <c r="G22554" i="1"/>
  <c r="G22468" i="1"/>
  <c r="G22469" i="1"/>
  <c r="G22466" i="1"/>
  <c r="G22467" i="1"/>
  <c r="G22544" i="1"/>
  <c r="G4502" i="2"/>
  <c r="G22932"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1" i="1"/>
  <c r="G22953" i="1"/>
  <c r="G22441" i="1" l="1"/>
  <c r="G22449" i="1"/>
  <c r="G22450" i="1"/>
  <c r="G22451" i="1"/>
  <c r="G22448" i="1"/>
  <c r="G22440" i="1"/>
  <c r="G22442" i="1"/>
  <c r="G22443" i="1"/>
  <c r="G22444" i="1"/>
  <c r="G22445" i="1"/>
  <c r="G22446" i="1"/>
  <c r="G22447" i="1"/>
  <c r="G4490" i="2" l="1"/>
  <c r="G4488" i="2"/>
  <c r="G4486" i="2"/>
  <c r="G22435" i="1"/>
  <c r="G22436" i="1"/>
  <c r="G22439" i="1"/>
  <c r="G4493" i="2"/>
  <c r="G4492" i="2"/>
  <c r="G22438" i="1"/>
  <c r="G4451" i="2"/>
  <c r="G4450" i="2"/>
  <c r="G4365" i="2"/>
  <c r="G4052" i="2"/>
  <c r="G4045" i="2"/>
  <c r="G3820" i="2"/>
  <c r="G4484" i="2"/>
  <c r="G4483"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3" i="40" l="1"/>
  <c r="H13" i="40" l="1"/>
  <c r="I13" i="40" s="1"/>
  <c r="J13" i="40" s="1"/>
  <c r="G4482" i="2"/>
  <c r="G4438" i="2"/>
  <c r="G4429" i="2"/>
  <c r="G4419" i="2"/>
  <c r="G4477" i="2"/>
  <c r="G4478" i="2"/>
  <c r="G4479" i="2"/>
  <c r="G4480" i="2"/>
  <c r="G4481" i="2"/>
  <c r="G22523" i="1"/>
  <c r="G22519" i="1"/>
  <c r="G22520" i="1"/>
  <c r="G22521" i="1"/>
  <c r="G22522" i="1"/>
  <c r="G22518" i="1"/>
  <c r="F4476" i="2"/>
  <c r="G4476" i="2" s="1"/>
  <c r="G4464" i="2"/>
  <c r="G4465" i="2"/>
  <c r="G4466" i="2"/>
  <c r="G4467" i="2"/>
  <c r="G4468" i="2"/>
  <c r="G4469" i="2"/>
  <c r="G4470" i="2"/>
  <c r="G4471" i="2"/>
  <c r="G4472" i="2"/>
  <c r="G4473" i="2"/>
  <c r="G4474" i="2"/>
  <c r="G4475"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17" i="40"/>
  <c r="I17" i="40" s="1"/>
  <c r="J17" i="40" s="1"/>
  <c r="D17" i="40"/>
  <c r="E17"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I172" i="28"/>
  <c r="H28" i="31" s="1"/>
  <c r="D172"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4"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C18" i="3"/>
  <c r="C17" i="3"/>
  <c r="C16" i="3"/>
  <c r="C15" i="3"/>
  <c r="G19971" i="1"/>
  <c r="C19" i="3" l="1"/>
  <c r="G19968" i="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18" i="40"/>
  <c r="I18" i="40" s="1"/>
  <c r="J18" i="40" s="1"/>
  <c r="D18" i="40"/>
  <c r="E18" i="40" s="1"/>
  <c r="G19820" i="1"/>
  <c r="G19822" i="1"/>
  <c r="G19819" i="1"/>
  <c r="G19818" i="1"/>
  <c r="G19821" i="1"/>
  <c r="G19811" i="1"/>
  <c r="G19812" i="1"/>
  <c r="G19813" i="1"/>
  <c r="G19814" i="1"/>
  <c r="G19815" i="1"/>
  <c r="G19816" i="1"/>
  <c r="G19817" i="1"/>
  <c r="G19808" i="1"/>
  <c r="G19809" i="1"/>
  <c r="G19810" i="1"/>
  <c r="G19803" i="1"/>
  <c r="G19928" i="1" l="1"/>
  <c r="H6" i="40" l="1"/>
  <c r="I6" i="40" s="1"/>
  <c r="J6" i="40" s="1"/>
  <c r="D6" i="40"/>
  <c r="E6"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1" i="40"/>
  <c r="D10" i="40" l="1"/>
  <c r="D9" i="40"/>
  <c r="D12" i="40" l="1"/>
  <c r="D8" i="40" l="1"/>
  <c r="D7" i="40" l="1"/>
  <c r="H7" i="40" l="1"/>
  <c r="I7" i="40" s="1"/>
  <c r="J7" i="40" s="1"/>
  <c r="E7" i="40"/>
  <c r="H8" i="40"/>
  <c r="I8" i="40" s="1"/>
  <c r="J8" i="40" s="1"/>
  <c r="E8" i="40"/>
  <c r="E9" i="40"/>
  <c r="H9" i="40"/>
  <c r="I9" i="40" s="1"/>
  <c r="J9" i="40" s="1"/>
  <c r="H10" i="40"/>
  <c r="I10" i="40" s="1"/>
  <c r="J10" i="40" s="1"/>
  <c r="H11" i="40"/>
  <c r="I11" i="40" s="1"/>
  <c r="J11" i="40" s="1"/>
  <c r="E11" i="40"/>
  <c r="H12" i="40"/>
  <c r="I12" i="40" s="1"/>
  <c r="J12" i="40" s="1"/>
  <c r="H15" i="40"/>
  <c r="I15" i="40" s="1"/>
  <c r="J15" i="40" s="1"/>
  <c r="E20" i="40" l="1"/>
  <c r="H24" i="40" l="1"/>
  <c r="E28"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31" i="40" l="1"/>
  <c r="G27" i="40" l="1"/>
  <c r="G28" i="40" l="1"/>
  <c r="G29" i="40" l="1"/>
  <c r="H14" i="40" l="1"/>
  <c r="H16" i="40"/>
  <c r="H31" i="40"/>
  <c r="H21" i="40"/>
  <c r="H25" i="40"/>
  <c r="I25" i="40" s="1"/>
  <c r="H32" i="40"/>
  <c r="H26" i="40"/>
  <c r="H30" i="40"/>
  <c r="H27" i="40"/>
  <c r="H28" i="40"/>
  <c r="H29" i="40"/>
  <c r="I29" i="40" s="1"/>
  <c r="J29" i="40" s="1"/>
  <c r="I16" i="40" l="1"/>
  <c r="J16" i="40" s="1"/>
  <c r="I24" i="40"/>
  <c r="J24" i="40" s="1"/>
  <c r="I21" i="40"/>
  <c r="J21" i="40" s="1"/>
  <c r="I26" i="40"/>
  <c r="J26" i="40" s="1"/>
  <c r="I14" i="40"/>
  <c r="J14" i="40" s="1"/>
  <c r="I31" i="40"/>
  <c r="J31" i="40" s="1"/>
  <c r="J25" i="40"/>
  <c r="I32" i="40"/>
  <c r="J32" i="40" s="1"/>
  <c r="I30" i="40"/>
  <c r="J30" i="40" s="1"/>
  <c r="I27" i="40"/>
  <c r="J27" i="40" s="1"/>
  <c r="I28" i="40"/>
  <c r="J28" i="40" s="1"/>
  <c r="D32" i="40"/>
  <c r="E32" i="40" s="1"/>
  <c r="D23" i="40" l="1"/>
  <c r="E23" i="40" l="1"/>
  <c r="H23" i="40" s="1"/>
  <c r="I23" i="40" s="1"/>
  <c r="J23" i="40" s="1"/>
  <c r="E16" i="40"/>
  <c r="I20" i="40"/>
  <c r="J20" i="40" s="1"/>
  <c r="E31" i="40"/>
  <c r="E21" i="40"/>
  <c r="E25" i="40"/>
  <c r="E30" i="40"/>
  <c r="E27" i="40"/>
  <c r="E29" i="40"/>
  <c r="E22" i="40"/>
  <c r="I22" i="40" s="1"/>
  <c r="J22" i="40" s="1"/>
  <c r="B26" i="40"/>
  <c r="G3670" i="2"/>
  <c r="G3665" i="2"/>
  <c r="G3664" i="2"/>
  <c r="G3645" i="2"/>
  <c r="J33" i="40" l="1"/>
  <c r="E26"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19" i="40"/>
  <c r="L19" i="40" s="1"/>
  <c r="K3" i="40"/>
  <c r="L3" i="40" s="1"/>
  <c r="K2" i="40"/>
  <c r="L2" i="40" s="1"/>
  <c r="K5" i="40"/>
  <c r="L5" i="40" s="1"/>
  <c r="K13" i="40"/>
  <c r="L13" i="40" s="1"/>
  <c r="F2" i="33"/>
  <c r="G2" i="33"/>
  <c r="K28" i="40"/>
  <c r="O28" i="40" s="1"/>
  <c r="G3" i="33"/>
  <c r="F3" i="33"/>
  <c r="K17" i="40"/>
  <c r="F5" i="33"/>
  <c r="G4" i="33"/>
  <c r="G5" i="33"/>
  <c r="F4" i="33"/>
  <c r="K6" i="40"/>
  <c r="L6" i="40" s="1"/>
  <c r="K18" i="40"/>
  <c r="L18" i="40" s="1"/>
  <c r="K7" i="40"/>
  <c r="L7" i="40" s="1"/>
  <c r="K8" i="40"/>
  <c r="L8" i="40" s="1"/>
  <c r="K15" i="40"/>
  <c r="L15" i="40" s="1"/>
  <c r="K9" i="40"/>
  <c r="L9" i="40" s="1"/>
  <c r="K11" i="40"/>
  <c r="L11" i="40" s="1"/>
  <c r="K12" i="40"/>
  <c r="K10" i="40"/>
  <c r="L10" i="40" s="1"/>
  <c r="K22" i="40"/>
  <c r="L22" i="40" s="1"/>
  <c r="L32" i="40"/>
  <c r="G14" i="33"/>
  <c r="F14" i="33"/>
  <c r="F6" i="33"/>
  <c r="G6" i="33"/>
  <c r="K24" i="40"/>
  <c r="K23" i="40"/>
  <c r="L23" i="40" s="1"/>
  <c r="K25" i="40"/>
  <c r="L25" i="40" s="1"/>
  <c r="K26" i="40"/>
  <c r="K16" i="40"/>
  <c r="L16" i="40" s="1"/>
  <c r="K27" i="40"/>
  <c r="L27" i="40" s="1"/>
  <c r="K31" i="40"/>
  <c r="K14" i="40"/>
  <c r="K30" i="40"/>
  <c r="L30" i="40" s="1"/>
  <c r="K20" i="40"/>
  <c r="K21" i="40"/>
  <c r="L21" i="40" s="1"/>
  <c r="K29" i="40"/>
  <c r="L29"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8" i="40" l="1"/>
  <c r="L26" i="40"/>
  <c r="O26" i="40"/>
  <c r="L24" i="40"/>
  <c r="O24" i="40"/>
  <c r="L31" i="40"/>
  <c r="O31" i="40"/>
  <c r="L20" i="40"/>
  <c r="O20" i="40"/>
  <c r="L17" i="40"/>
  <c r="K33" i="40"/>
  <c r="L12" i="40"/>
  <c r="L14" i="40"/>
  <c r="AA12" i="31"/>
  <c r="J28" i="3"/>
  <c r="AF4" i="31"/>
  <c r="AA7" i="31"/>
  <c r="AF5" i="31"/>
  <c r="K28" i="3"/>
  <c r="L33" i="33"/>
  <c r="AK213" i="3"/>
  <c r="L33"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<sst xmlns="http://schemas.openxmlformats.org/spreadsheetml/2006/main" count="104963" uniqueCount="15963">
  <si>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</si>
  <si>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</si>
  <si>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</si>
  <si>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</si>
  <si>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</si>
  <si>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</si>
  <si>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</si>
  <si>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</si>
  <si>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</si>
  <si>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</si>
  <si>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</si>
  <si>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</si>
  <si>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</si>
  <si>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</si>
  <si>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</si>
  <si>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</si>
  <si>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</si>
  <si>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</si>
  <si>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</si>
  <si>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</si>
  <si>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</si>
  <si>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</si>
  <si>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</si>
  <si>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</si>
  <si>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</si>
  <si>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</si>
  <si>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</si>
  <si>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</si>
  <si>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</si>
  <si>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</si>
  <si>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</si>
  <si>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</si>
  <si>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</si>
  <si>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</si>
  <si>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</si>
  <si>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</si>
  <si>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</si>
  <si>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</si>
  <si>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</si>
  <si>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</si>
  <si>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</si>
  <si>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</si>
  <si>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</si>
  <si>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</si>
  <si>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</si>
  <si>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</si>
  <si>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</si>
  <si>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</si>
  <si>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</si>
  <si>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</si>
  <si>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</si>
  <si>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</si>
  <si>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</si>
  <si>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</si>
  <si>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</si>
  <si>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</si>
  <si>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</si>
  <si>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</si>
  <si>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</si>
  <si>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</si>
  <si>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</si>
  <si>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</si>
  <si>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</si>
  <si>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</si>
  <si>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</si>
  <si>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</si>
  <si>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</si>
  <si>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</si>
  <si>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</si>
  <si>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</si>
  <si>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</si>
  <si>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</si>
  <si>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</si>
  <si>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</si>
  <si>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</si>
  <si>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</si>
  <si>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</si>
  <si>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</si>
  <si>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</si>
  <si>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</si>
  <si>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</si>
  <si>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</si>
  <si>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</si>
  <si>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</si>
  <si>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</si>
  <si>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</si>
  <si>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</si>
  <si>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</si>
  <si>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</si>
  <si>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</si>
  <si>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</si>
  <si>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</si>
  <si>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</si>
  <si>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</si>
  <si>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</si>
  <si>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</si>
  <si>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</si>
  <si>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</si>
  <si>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</si>
  <si>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</si>
  <si>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</si>
  <si>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</si>
  <si>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</si>
  <si>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</si>
  <si>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</si>
  <si>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</si>
  <si>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</si>
  <si>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</si>
  <si>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</si>
  <si>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</si>
  <si>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</si>
  <si>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</si>
  <si>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</si>
  <si>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</si>
  <si>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</si>
  <si>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</si>
  <si>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</si>
  <si>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</si>
  <si>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</si>
  <si>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</si>
  <si>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</si>
  <si>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</si>
  <si>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</si>
  <si>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</si>
  <si>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</si>
  <si>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</si>
  <si>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</si>
  <si>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</si>
  <si>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</si>
  <si>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</si>
  <si>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</si>
  <si>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</si>
  <si>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</si>
  <si>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</si>
  <si>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</si>
  <si>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</si>
  <si>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</si>
  <si>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</si>
  <si>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</si>
  <si>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</si>
  <si>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</si>
  <si>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</si>
  <si>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</si>
  <si>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</si>
  <si>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</si>
  <si>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</si>
  <si>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</si>
  <si>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</si>
  <si>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</si>
  <si>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</si>
  <si>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</si>
  <si>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</si>
  <si>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</si>
  <si>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</si>
  <si>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</si>
  <si>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</si>
  <si>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</si>
  <si>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</si>
  <si>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</si>
  <si>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</si>
  <si>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</si>
  <si>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</si>
  <si>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</si>
  <si>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</si>
  <si>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</si>
  <si>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</si>
  <si>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</si>
  <si>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</si>
  <si>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</si>
  <si>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</si>
  <si>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</si>
  <si>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</si>
  <si>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</si>
  <si>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</si>
  <si>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</si>
  <si>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</si>
  <si>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</si>
  <si>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</si>
  <si>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</si>
  <si>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</si>
  <si>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</si>
  <si>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</si>
  <si>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</si>
  <si>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</si>
  <si>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</si>
  <si>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</si>
  <si>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</si>
  <si>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</si>
  <si>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</si>
  <si>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</si>
  <si>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</si>
  <si>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</si>
  <si>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</si>
  <si>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</si>
  <si>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</si>
  <si>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</si>
  <si>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</si>
  <si>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</si>
  <si>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</si>
  <si>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</si>
  <si>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</si>
  <si>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</si>
  <si>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</si>
  <si>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</si>
  <si>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</si>
  <si>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</si>
  <si>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</si>
  <si>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</si>
  <si>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</si>
  <si>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</si>
  <si>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</si>
  <si>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</si>
  <si>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</si>
  <si>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</si>
  <si>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</si>
  <si>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</si>
  <si>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</si>
  <si>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</si>
  <si>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</si>
  <si>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</si>
  <si>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</si>
  <si>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</si>
  <si>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</si>
  <si>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</si>
  <si>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</si>
  <si>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</si>
  <si>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</si>
  <si>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</si>
  <si>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</si>
  <si>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</si>
  <si>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</si>
  <si>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</si>
  <si>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</si>
  <si>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</si>
  <si>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</si>
  <si>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</si>
  <si>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</si>
  <si>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</si>
  <si>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</si>
  <si>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</si>
  <si>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</si>
  <si>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</si>
  <si>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</si>
  <si>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</si>
  <si>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</si>
  <si>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</si>
  <si>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</si>
  <si>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</si>
  <si>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</si>
  <si>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</si>
  <si>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</si>
  <si>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</si>
  <si>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</si>
  <si>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</si>
  <si>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</si>
  <si>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</si>
  <si>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</si>
  <si>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</si>
  <si>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</si>
  <si>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</si>
  <si>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</si>
  <si>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</si>
  <si>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</si>
  <si>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</si>
  <si>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</si>
  <si>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</si>
  <si>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</si>
  <si>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</si>
  <si>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</si>
  <si>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</si>
  <si>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</si>
  <si>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</si>
  <si>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</si>
  <si>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</si>
  <si>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</si>
  <si>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</si>
  <si>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</si>
  <si>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</si>
  <si>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</si>
  <si>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</si>
  <si>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</si>
  <si>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</si>
  <si>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</si>
  <si>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</si>
  <si>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</si>
  <si>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</si>
  <si>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</si>
  <si>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</si>
  <si>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</si>
  <si>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</si>
  <si>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</si>
  <si>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</si>
  <si>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</si>
  <si>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</si>
  <si>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</si>
  <si>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</si>
  <si>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</si>
  <si>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</si>
  <si>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</si>
  <si>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</si>
  <si>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</si>
  <si>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</si>
  <si>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</si>
  <si>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</si>
  <si>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</si>
  <si>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</si>
  <si>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</si>
  <si>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</si>
  <si>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</si>
  <si>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</si>
  <si>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</si>
  <si>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</si>
  <si>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</si>
  <si>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</si>
  <si>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</si>
  <si>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</si>
  <si>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</si>
  <si>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</si>
  <si>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</si>
  <si>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</si>
  <si>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</si>
  <si>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</si>
  <si>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</si>
  <si>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</si>
  <si>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</si>
  <si>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</si>
  <si>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</si>
  <si>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</si>
  <si>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</si>
  <si>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</si>
  <si>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</si>
  <si>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</si>
  <si>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</si>
  <si>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</si>
  <si>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</si>
  <si>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</si>
  <si>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</si>
  <si>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</si>
  <si>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</si>
  <si>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</si>
  <si>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</si>
  <si>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</si>
  <si>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</si>
  <si>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</si>
  <si>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</si>
  <si>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</si>
  <si>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</si>
  <si>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</si>
  <si>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</si>
  <si>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</si>
  <si>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</si>
  <si>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</si>
  <si>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</si>
  <si>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</si>
  <si>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</si>
  <si>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</si>
  <si>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</si>
  <si>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</si>
  <si>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</si>
  <si>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</si>
  <si>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</si>
  <si>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</si>
  <si>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</si>
  <si>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</si>
  <si>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</si>
  <si>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</si>
  <si>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</si>
  <si>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</si>
  <si>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</si>
  <si>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</si>
  <si>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</si>
  <si>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</si>
  <si>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</si>
  <si>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</si>
  <si>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</si>
  <si>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</si>
  <si>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</si>
  <si>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</si>
  <si>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</si>
  <si>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</si>
  <si>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</si>
  <si>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</si>
  <si>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</si>
  <si>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</si>
  <si>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</si>
  <si>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</si>
  <si>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</si>
  <si>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</si>
  <si>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</si>
  <si>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</si>
  <si>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</si>
  <si>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</si>
  <si>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</si>
  <si>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</si>
  <si>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</si>
  <si>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</si>
  <si>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</si>
  <si>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</si>
  <si>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</si>
  <si>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</si>
  <si>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</si>
  <si>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</si>
  <si>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</si>
  <si>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</si>
  <si>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</si>
  <si>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</si>
  <si>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</si>
  <si>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</si>
  <si>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</si>
  <si>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</si>
  <si>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</si>
  <si>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</si>
  <si>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</si>
  <si>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</si>
  <si>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</si>
  <si>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</si>
  <si>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</si>
  <si>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</si>
  <si>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</si>
  <si>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</si>
  <si>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</si>
  <si>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</si>
  <si>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</si>
  <si>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</si>
  <si>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</si>
  <si>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</si>
  <si>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</si>
  <si>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</si>
  <si>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</si>
  <si>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</si>
  <si>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</si>
  <si>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</si>
  <si>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</si>
  <si>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</si>
  <si>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</si>
  <si>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</si>
  <si>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</si>
  <si>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</si>
  <si>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</si>
  <si>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</si>
  <si>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</si>
  <si>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</si>
  <si>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</si>
  <si>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</si>
  <si>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</si>
  <si>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</si>
  <si>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</si>
  <si>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</si>
  <si>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</si>
  <si>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</si>
  <si>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</si>
  <si>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</si>
  <si>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</si>
  <si>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</si>
  <si>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</si>
  <si>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</si>
  <si>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</si>
  <si>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</si>
  <si>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</si>
  <si>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</si>
  <si>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</si>
  <si>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</si>
  <si>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</si>
  <si>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</si>
  <si>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</si>
  <si>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</si>
  <si>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</si>
  <si>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</si>
  <si>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</si>
  <si>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</si>
  <si>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</si>
  <si>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</si>
  <si>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</si>
  <si>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</si>
  <si>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</si>
  <si>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</si>
  <si>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</si>
  <si>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</si>
  <si>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</si>
  <si>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</si>
  <si>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</si>
  <si>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</si>
  <si>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</si>
  <si>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</si>
  <si>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</si>
  <si>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</si>
  <si>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</si>
  <si>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</si>
  <si>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</si>
  <si>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</si>
  <si>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</si>
  <si>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</si>
  <si>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</si>
  <si>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</si>
  <si>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</si>
  <si>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</si>
  <si>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</si>
  <si>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</si>
  <si>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</si>
  <si>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</si>
  <si>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</si>
  <si>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</si>
  <si>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</si>
  <si>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</si>
  <si>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</si>
  <si>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</si>
  <si>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</si>
  <si>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</si>
  <si>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</si>
  <si>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</si>
  <si>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</si>
  <si>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</si>
  <si>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</si>
  <si>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</si>
  <si>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</si>
  <si>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</si>
  <si>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</si>
  <si>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</si>
  <si>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</si>
  <si>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</si>
  <si>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</si>
  <si>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</si>
  <si>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</si>
  <si>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</si>
  <si>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</si>
  <si>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</si>
  <si>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</si>
  <si>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</si>
  <si>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</si>
  <si>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</si>
  <si>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</si>
  <si>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</si>
  <si>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</si>
  <si>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</si>
  <si>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</si>
  <si>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</si>
  <si>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</si>
  <si>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</si>
  <si>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</si>
  <si>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</si>
  <si>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</si>
  <si>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</si>
  <si>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</si>
  <si>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</si>
  <si>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</si>
  <si>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</si>
  <si>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</si>
  <si>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</si>
  <si>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</si>
  <si>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</si>
  <si>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</si>
  <si>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</si>
  <si>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</si>
  <si>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</si>
  <si>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</si>
  <si>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</si>
  <si>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</si>
  <si>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</si>
  <si>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</si>
  <si>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</si>
  <si>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</si>
  <si>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</si>
  <si>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</si>
  <si>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</si>
  <si>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</si>
  <si>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</si>
  <si>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</si>
  <si>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</si>
  <si>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</si>
  <si>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</si>
  <si>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</si>
  <si>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</si>
  <si>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</si>
  <si>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</si>
  <si>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</si>
  <si>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</si>
  <si>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</si>
  <si>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</si>
  <si>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</si>
  <si>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</si>
  <si>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</si>
  <si>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</si>
  <si>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</si>
  <si>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</si>
  <si>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</si>
  <si>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</si>
  <si>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</si>
  <si>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</si>
  <si>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</si>
  <si>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</si>
  <si>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</si>
  <si>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</si>
  <si>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</si>
  <si>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</si>
  <si>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</si>
  <si>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</si>
  <si>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</si>
  <si>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</si>
  <si>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</si>
  <si>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</si>
  <si>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</si>
  <si>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</si>
  <si>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</si>
  <si>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</si>
  <si>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</si>
  <si>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</si>
  <si>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</si>
  <si>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</si>
  <si>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</si>
  <si>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</si>
  <si>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</si>
  <si>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</si>
  <si>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</si>
  <si>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</si>
  <si>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</si>
  <si>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</si>
  <si>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</si>
  <si>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</si>
  <si>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</si>
  <si>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</si>
  <si>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</si>
  <si>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</si>
  <si>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</si>
  <si>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</si>
  <si>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</si>
  <si>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</si>
  <si>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</si>
  <si>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</si>
  <si>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</si>
  <si>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</si>
  <si>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</si>
  <si>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</si>
  <si>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</si>
  <si>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</si>
  <si>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</si>
  <si>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</si>
  <si>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</si>
  <si>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</si>
  <si>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</si>
  <si>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</si>
  <si>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</si>
  <si>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</si>
  <si>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</si>
  <si>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</si>
  <si>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</si>
  <si>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</si>
  <si>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</si>
  <si>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</si>
  <si>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</si>
  <si>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</si>
  <si>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</si>
  <si>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</si>
  <si>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</si>
  <si>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</si>
  <si>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</si>
  <si>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</si>
  <si>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</si>
  <si>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</si>
  <si>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</si>
  <si>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</si>
  <si>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</si>
  <si>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</si>
  <si>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</si>
  <si>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</si>
  <si>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</si>
  <si>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</si>
  <si>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</si>
  <si>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</si>
  <si>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</si>
  <si>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</si>
  <si>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</si>
  <si>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</si>
  <si>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</si>
  <si>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</si>
  <si>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</si>
  <si>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</si>
  <si>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</si>
  <si>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</si>
  <si>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</si>
  <si>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</si>
  <si>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</si>
  <si>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</si>
  <si>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</si>
  <si>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</si>
  <si>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</si>
  <si>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</si>
  <si>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</si>
  <si>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</si>
  <si>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</si>
  <si>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</si>
  <si>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</si>
  <si>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</si>
  <si>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</si>
  <si>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</si>
  <si>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</si>
  <si>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</si>
  <si>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</si>
  <si>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</si>
  <si>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</si>
  <si>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</si>
  <si>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</si>
  <si>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</si>
  <si>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</si>
  <si>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</si>
  <si>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</si>
  <si>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</si>
  <si>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</si>
  <si>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</si>
  <si>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</si>
  <si>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</si>
  <si>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</si>
  <si>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</si>
  <si>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</si>
  <si>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</si>
  <si>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</si>
  <si>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</si>
  <si>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</si>
  <si>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</si>
  <si>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</si>
  <si>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</si>
  <si>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</si>
  <si>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</si>
  <si>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</si>
  <si>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</si>
  <si>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</si>
  <si>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</si>
  <si>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</si>
  <si>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</si>
  <si>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</si>
  <si>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</si>
  <si>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</si>
  <si>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</si>
  <si>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</si>
  <si>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</si>
  <si>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</si>
  <si>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</si>
  <si>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</si>
  <si>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</si>
  <si>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</si>
  <si>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</si>
  <si>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</si>
  <si>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</si>
  <si>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</si>
  <si>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</si>
  <si>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</si>
  <si>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</si>
  <si>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</si>
  <si>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</si>
  <si>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</si>
  <si>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</si>
  <si>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</si>
  <si>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</si>
  <si>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</si>
  <si>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</si>
  <si>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</si>
  <si>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</si>
  <si>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</si>
  <si>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</si>
  <si>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</si>
  <si>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</si>
  <si>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</si>
  <si>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</si>
  <si>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</si>
  <si>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</si>
  <si>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</si>
  <si>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</si>
  <si>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</si>
  <si>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</si>
  <si>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</si>
  <si>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</si>
  <si>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</si>
  <si>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</si>
  <si>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</si>
  <si>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</si>
  <si>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</si>
  <si>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</si>
  <si>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</si>
  <si>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</si>
  <si>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</si>
  <si>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</si>
  <si>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</si>
  <si>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</si>
  <si>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</si>
  <si>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</si>
  <si>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</si>
  <si>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</si>
  <si>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</si>
  <si>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</si>
  <si>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</si>
  <si>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</si>
  <si>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</si>
  <si>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</si>
  <si>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</si>
  <si>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</si>
  <si>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</si>
  <si>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</si>
  <si>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</si>
  <si>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</si>
  <si>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</si>
  <si>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</si>
  <si>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</si>
  <si>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</si>
  <si>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</si>
  <si>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</si>
  <si>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</si>
  <si>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</si>
  <si>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</si>
  <si>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</si>
  <si>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</si>
  <si>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</si>
  <si>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</si>
  <si>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</si>
  <si>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</si>
  <si>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</si>
  <si>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</si>
  <si>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</si>
  <si>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</si>
  <si>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</si>
  <si>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</si>
  <si>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</si>
  <si>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</si>
  <si>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</si>
  <si>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</si>
  <si>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</si>
  <si>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</si>
  <si>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</si>
  <si>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</si>
  <si>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</si>
  <si>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</si>
  <si>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</si>
  <si>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</si>
  <si>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</si>
  <si>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</si>
  <si>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</si>
  <si>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</si>
  <si>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</si>
  <si>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</si>
  <si>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</si>
  <si>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</si>
  <si>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</si>
  <si>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</si>
  <si>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</si>
  <si>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</si>
  <si>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</si>
  <si>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</si>
  <si>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</si>
  <si>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</si>
  <si>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</si>
  <si>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</si>
  <si>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</si>
  <si>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</si>
  <si>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</si>
  <si>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</si>
  <si>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</si>
  <si>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</si>
  <si>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</si>
  <si>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</si>
  <si>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</si>
  <si>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</si>
  <si>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</si>
  <si>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</si>
  <si>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</si>
  <si>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</si>
  <si>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</si>
  <si>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</si>
  <si>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</si>
  <si>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</si>
  <si>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</si>
  <si>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</si>
  <si>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</si>
  <si>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</si>
  <si>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</si>
  <si>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</si>
  <si>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</si>
  <si>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</si>
  <si>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</si>
  <si>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</si>
  <si>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</si>
  <si>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</si>
  <si>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</si>
  <si>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</si>
  <si>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</si>
  <si>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</si>
  <si>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</si>
  <si>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</si>
  <si>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</si>
  <si>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</si>
  <si>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</si>
  <si>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</si>
  <si>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</si>
  <si>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</si>
  <si>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</si>
  <si>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</si>
  <si>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</si>
  <si>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</si>
  <si>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</si>
  <si>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</si>
  <si>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</si>
  <si>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</si>
  <si>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</si>
  <si>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</si>
  <si>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</si>
  <si>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</si>
  <si>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</si>
  <si>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</si>
  <si>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</si>
  <si>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</si>
  <si>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</si>
  <si>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</si>
  <si>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</si>
  <si>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</si>
  <si>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</si>
  <si>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</si>
  <si>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</si>
  <si>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</si>
  <si>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</si>
  <si>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</si>
  <si>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</si>
  <si>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</si>
  <si>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</si>
  <si>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</si>
  <si>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</si>
  <si>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</si>
  <si>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</si>
  <si>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</si>
  <si>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</si>
  <si>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</si>
  <si>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</si>
  <si>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</si>
  <si>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</si>
  <si>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</si>
  <si>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</si>
  <si>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</si>
  <si>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</si>
  <si>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</si>
  <si>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</si>
  <si>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</si>
  <si>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</si>
  <si>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</si>
  <si>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</si>
  <si>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</si>
  <si>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</si>
  <si>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</si>
  <si>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</si>
  <si>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</si>
  <si>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</si>
  <si>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</si>
  <si>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</si>
  <si>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</si>
  <si>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</si>
  <si>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</si>
  <si>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</si>
  <si>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</si>
  <si>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</si>
  <si>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</si>
  <si>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</si>
  <si>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</si>
  <si>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</si>
  <si>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</si>
  <si>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</si>
  <si>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</si>
  <si>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</si>
  <si>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</si>
  <si>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</si>
  <si>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</si>
  <si>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</si>
  <si>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</si>
  <si>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</si>
  <si>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</si>
  <si>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</si>
  <si>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</si>
  <si>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</si>
  <si>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</si>
  <si>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</si>
  <si>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</si>
  <si>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</si>
  <si>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</si>
  <si>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</si>
  <si>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</si>
  <si>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</si>
  <si>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</si>
  <si>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</si>
  <si>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</si>
  <si>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</si>
  <si>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</si>
  <si>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</si>
  <si>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</si>
  <si>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</si>
  <si>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</si>
  <si>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</si>
  <si>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</si>
  <si>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</si>
  <si>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</si>
  <si>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</si>
  <si>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</si>
  <si>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</si>
  <si>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</si>
  <si>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</si>
  <si>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</si>
  <si>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</si>
  <si>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</si>
  <si>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</si>
  <si>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</si>
  <si>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</si>
  <si>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</si>
  <si>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</si>
  <si>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</si>
  <si>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</si>
  <si>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</si>
  <si>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</si>
  <si>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</si>
  <si>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</si>
  <si>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</si>
  <si>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</si>
  <si>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</si>
  <si>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</si>
  <si>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</si>
  <si>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</si>
  <si>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</si>
  <si>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</si>
  <si>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</si>
  <si>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</si>
  <si>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</si>
  <si>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</si>
  <si>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</si>
  <si>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</si>
  <si>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</si>
  <si>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</si>
  <si>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</si>
  <si>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</si>
  <si>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</si>
  <si>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</si>
  <si>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</si>
  <si>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</si>
  <si>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</si>
  <si>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</si>
  <si>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</si>
  <si>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</si>
  <si>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</si>
  <si>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</si>
  <si>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</si>
  <si>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</si>
  <si>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</si>
  <si>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</si>
  <si>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</si>
  <si>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</si>
  <si>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</si>
  <si>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</si>
  <si>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</si>
  <si>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</si>
  <si>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</si>
  <si>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</si>
  <si>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</si>
  <si>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</si>
  <si>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</si>
  <si>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</si>
  <si>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</si>
  <si>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</si>
  <si>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</si>
  <si>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</si>
  <si>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</si>
  <si>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</si>
  <si>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</si>
  <si>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</si>
  <si>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</si>
  <si>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</si>
  <si>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</si>
  <si>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</si>
  <si>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</si>
  <si>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</si>
  <si>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</si>
  <si>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</si>
  <si>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</si>
  <si>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</si>
  <si>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</si>
  <si>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</si>
  <si>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</si>
  <si>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</si>
  <si>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</si>
  <si>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</si>
  <si>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</si>
  <si>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</si>
  <si>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</si>
  <si>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</si>
  <si>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</si>
  <si>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</si>
  <si>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</si>
  <si>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</si>
  <si>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</si>
  <si>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</si>
  <si>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</si>
  <si>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</si>
  <si>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</si>
  <si>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</si>
  <si>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</si>
  <si>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</si>
  <si>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</si>
  <si>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</si>
  <si>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</si>
  <si>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</si>
  <si>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</si>
  <si>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</si>
  <si>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</si>
  <si>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</si>
  <si>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</si>
  <si>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</si>
  <si>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</si>
  <si>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</si>
  <si>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</si>
  <si>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</si>
  <si>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</si>
  <si>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</si>
  <si>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</si>
  <si>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</si>
  <si>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</si>
  <si>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</si>
  <si>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</si>
  <si>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</si>
  <si>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</si>
  <si>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</si>
  <si>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</si>
  <si>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</si>
  <si>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</si>
  <si>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</si>
  <si>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</si>
  <si>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</si>
  <si>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</si>
  <si>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</si>
  <si>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</si>
  <si>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</si>
  <si>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</si>
  <si>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</si>
  <si>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</si>
  <si>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</si>
  <si>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</si>
  <si>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</si>
  <si>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</si>
  <si>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</si>
  <si>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</si>
  <si>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</si>
  <si>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</si>
  <si>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</si>
  <si>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</si>
  <si>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</si>
  <si>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</si>
  <si>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</si>
  <si>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</si>
  <si>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</si>
  <si>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</si>
  <si>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</si>
  <si>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</si>
  <si>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</si>
  <si>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</si>
  <si>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</si>
  <si>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</si>
  <si>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</si>
  <si>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</si>
  <si>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</si>
  <si>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</si>
  <si>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</si>
  <si>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</si>
  <si>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</si>
  <si>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</si>
  <si>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</si>
  <si>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</si>
  <si>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</si>
  <si>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</si>
  <si>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</si>
  <si>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</si>
  <si>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</si>
  <si>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</si>
  <si>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</si>
  <si>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</si>
  <si>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</si>
  <si>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</si>
  <si>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</si>
  <si>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</si>
  <si>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</si>
  <si>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</si>
  <si>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</si>
  <si>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</si>
  <si>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</si>
  <si>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</si>
  <si>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</si>
  <si>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</si>
  <si>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</si>
  <si>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</si>
  <si>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</si>
  <si>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</si>
  <si>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</si>
  <si>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</si>
  <si>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</si>
  <si>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</si>
  <si>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</si>
  <si>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</si>
  <si>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</si>
  <si>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</si>
  <si>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</si>
  <si>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</si>
  <si>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</si>
  <si>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</si>
  <si>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</si>
  <si>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</si>
  <si>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</si>
  <si>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</si>
  <si>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</si>
  <si>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</si>
  <si>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</si>
  <si>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</si>
  <si>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</si>
  <si>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</si>
  <si>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</si>
  <si>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</si>
  <si>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</si>
  <si>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</si>
  <si>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</si>
  <si>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</si>
  <si>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</si>
  <si>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</si>
  <si>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</si>
  <si>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</si>
  <si>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</si>
  <si>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</si>
  <si>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</si>
  <si>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</si>
  <si>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</si>
  <si>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</si>
  <si>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</si>
  <si>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</si>
  <si>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</si>
  <si>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</si>
  <si>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</si>
  <si>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</si>
  <si>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</si>
  <si>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</si>
  <si>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</si>
  <si>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</si>
  <si>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</si>
  <si>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</si>
  <si>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</si>
  <si>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</si>
  <si>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</si>
  <si>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</si>
  <si>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</si>
  <si>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</si>
  <si>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</si>
  <si>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</si>
  <si>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</si>
  <si>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</si>
  <si>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</si>
  <si>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</si>
  <si>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</si>
  <si>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</si>
  <si>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</si>
  <si>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</si>
  <si>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</si>
  <si>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</si>
  <si>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</si>
  <si>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</si>
  <si>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</si>
  <si>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</si>
  <si>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</si>
  <si>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</si>
  <si>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</si>
  <si>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</si>
  <si>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</si>
  <si>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</si>
  <si>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</si>
  <si>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</si>
  <si>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</si>
  <si>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</si>
  <si>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</si>
  <si>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</si>
  <si>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</si>
  <si>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</si>
  <si>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</si>
  <si>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</si>
  <si>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</si>
  <si>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</si>
  <si>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</si>
  <si>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</si>
  <si>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</si>
  <si>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</si>
  <si>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</si>
  <si>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</si>
  <si>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</si>
  <si>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</si>
  <si>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</si>
  <si>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</si>
  <si>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</si>
  <si>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</si>
  <si>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</si>
  <si>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</si>
  <si>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</si>
  <si>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</si>
  <si>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</si>
  <si>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</si>
  <si>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</si>
  <si>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</si>
  <si>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</si>
  <si>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</si>
  <si>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</si>
  <si>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</si>
  <si>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</si>
  <si>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</si>
  <si>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</si>
  <si>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</si>
  <si>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</si>
  <si>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</si>
  <si>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</si>
  <si>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</si>
  <si>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</si>
  <si>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</si>
  <si>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</si>
  <si>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</si>
  <si>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</si>
  <si>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</si>
  <si>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</si>
  <si>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</si>
  <si>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</si>
  <si>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</si>
  <si>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</si>
  <si>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</si>
  <si>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</si>
  <si>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</si>
  <si>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</si>
  <si>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</si>
  <si>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</si>
  <si>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</si>
  <si>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</si>
  <si>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</si>
  <si>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</si>
  <si>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</si>
  <si>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</si>
  <si>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</si>
  <si>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</si>
  <si>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</si>
  <si>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</si>
  <si>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</si>
  <si>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</si>
  <si>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</si>
  <si>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</si>
  <si>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</si>
  <si>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</si>
  <si>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</si>
  <si>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</si>
  <si>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</si>
  <si>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</si>
  <si>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</si>
  <si>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</si>
  <si>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</si>
  <si>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</si>
  <si>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</si>
  <si>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</si>
  <si>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</si>
  <si>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</si>
  <si>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</si>
  <si>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</si>
  <si>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</si>
  <si>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</si>
  <si>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</si>
  <si>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</si>
  <si>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</si>
  <si>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</si>
  <si>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</si>
  <si>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</si>
  <si>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</si>
  <si>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</si>
  <si>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</si>
  <si>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</si>
  <si>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</si>
  <si>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</si>
  <si>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</si>
  <si>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</si>
  <si>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</si>
  <si>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</si>
  <si>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</si>
  <si>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</si>
  <si>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</si>
  <si>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</si>
  <si>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</si>
  <si>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</si>
  <si>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</si>
  <si>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</si>
  <si>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</si>
  <si>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</si>
  <si>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</si>
  <si>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</si>
  <si>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</si>
  <si>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</si>
  <si>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</si>
  <si>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</si>
  <si>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</si>
  <si>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</si>
  <si>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</si>
  <si>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</si>
  <si>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</si>
  <si>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</si>
  <si>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</si>
  <si>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</si>
  <si>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</si>
  <si>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</si>
  <si>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</si>
  <si>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</si>
  <si>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</si>
  <si>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</si>
  <si>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</si>
  <si>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</si>
  <si>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</si>
  <si>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</si>
  <si>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</si>
  <si>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</si>
  <si>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</si>
  <si>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</si>
  <si>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</si>
  <si>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</si>
  <si>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</si>
  <si>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</si>
  <si>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</si>
  <si>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</si>
  <si>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</si>
  <si>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</si>
  <si>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</si>
  <si>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</si>
  <si>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</si>
  <si>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</si>
  <si>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</si>
  <si>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</si>
  <si>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</si>
  <si>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</si>
  <si>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</si>
  <si>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</si>
  <si>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</si>
  <si>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</si>
  <si>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</si>
  <si>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</si>
  <si>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</si>
  <si>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</si>
  <si>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</si>
  <si>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</si>
  <si>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</si>
  <si>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</si>
  <si>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</si>
  <si>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</si>
  <si>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</si>
  <si>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</si>
  <si>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</si>
  <si>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</si>
  <si>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</si>
  <si>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</si>
  <si>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</si>
  <si>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</si>
  <si>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</si>
  <si>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</si>
  <si>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</si>
  <si>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</si>
  <si>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</si>
  <si>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</si>
  <si>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</si>
  <si>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</si>
  <si>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</si>
  <si>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</si>
  <si>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</si>
  <si>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</si>
  <si>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</si>
  <si>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</si>
  <si>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</si>
  <si>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</si>
  <si>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</si>
  <si>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</si>
  <si>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</si>
  <si>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</si>
  <si>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</si>
  <si>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</si>
  <si>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</si>
  <si>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</si>
  <si>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</si>
  <si>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</si>
  <si>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</si>
  <si>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</si>
  <si>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</si>
  <si>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</si>
  <si>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</si>
  <si>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</si>
  <si>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</si>
  <si>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</si>
  <si>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</si>
  <si>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</si>
  <si>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</si>
  <si>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</si>
  <si>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</si>
  <si>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</si>
  <si>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</si>
  <si>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</si>
  <si>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</si>
  <si>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</si>
  <si>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</si>
  <si>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</si>
  <si>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</si>
  <si>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</si>
  <si>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</si>
  <si>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</si>
  <si>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</si>
  <si>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</si>
  <si>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</si>
  <si>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</si>
  <si>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</si>
  <si>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</si>
  <si>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</si>
  <si>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</si>
  <si>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</si>
  <si>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</si>
  <si>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</si>
  <si>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</si>
  <si>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</si>
  <si>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</si>
  <si>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</si>
  <si>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</si>
  <si>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</si>
  <si>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</si>
  <si>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</si>
  <si>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</si>
  <si>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</si>
  <si>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</si>
  <si>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</si>
  <si>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</si>
  <si>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</si>
  <si>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</si>
  <si>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</si>
  <si>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</si>
  <si>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</si>
  <si>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</si>
  <si>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</si>
  <si>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</si>
  <si>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</si>
  <si>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</si>
  <si>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</si>
  <si>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</si>
  <si>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</si>
  <si>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</si>
  <si>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</si>
  <si>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</si>
  <si>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</si>
  <si>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</si>
  <si>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</si>
  <si>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</si>
  <si>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</si>
  <si>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</si>
  <si>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</si>
  <si>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</si>
  <si>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</si>
  <si>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</si>
  <si>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</si>
  <si>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</si>
  <si>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</si>
  <si>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</si>
  <si>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</si>
  <si>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</si>
  <si>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</si>
  <si>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</si>
  <si>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</si>
  <si>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</si>
  <si>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</si>
  <si>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</si>
  <si>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</si>
  <si>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</si>
  <si>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</si>
  <si>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</si>
  <si>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</si>
  <si>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</si>
  <si>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</si>
  <si>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</si>
  <si>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</si>
  <si>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</si>
  <si>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</si>
  <si>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</si>
  <si>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</si>
  <si>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</si>
  <si>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</si>
  <si>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</si>
  <si>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</si>
  <si>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</si>
  <si>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</si>
  <si>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</si>
  <si>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</si>
  <si>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</si>
  <si>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</si>
  <si>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</si>
  <si>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</si>
  <si>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</si>
  <si>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</si>
  <si>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</si>
  <si>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</si>
  <si>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</si>
  <si>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</si>
  <si>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</si>
  <si>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</si>
  <si>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</si>
  <si>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</si>
  <si>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</si>
  <si>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</si>
  <si>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</si>
  <si>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</si>
  <si>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</si>
  <si>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</si>
  <si>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</si>
  <si>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</si>
  <si>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</si>
  <si>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</si>
  <si>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</si>
  <si>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</si>
  <si>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</si>
  <si>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</si>
  <si>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</si>
  <si>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</si>
  <si>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</si>
  <si>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</si>
  <si>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</si>
  <si>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</si>
  <si>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</si>
  <si>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</si>
  <si>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</si>
  <si>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</si>
  <si>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</si>
  <si>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</si>
  <si>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</si>
  <si>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</si>
  <si>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</si>
  <si>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</si>
  <si>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</si>
  <si>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</si>
  <si>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</si>
  <si>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</si>
  <si>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</si>
  <si>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</si>
  <si>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</si>
  <si>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</si>
  <si>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</si>
  <si>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</si>
  <si>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</si>
  <si>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</si>
  <si>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</si>
  <si>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</si>
  <si>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</si>
  <si>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</si>
  <si>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</si>
  <si>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</si>
  <si>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</si>
  <si>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</si>
  <si>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</si>
  <si>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</si>
  <si>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</si>
  <si>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</si>
  <si>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</si>
  <si>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</si>
  <si>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</si>
  <si>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</si>
  <si>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</si>
  <si>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</si>
  <si>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</si>
  <si>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</si>
  <si>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</si>
  <si>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</si>
  <si>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</si>
  <si>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</si>
  <si>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</si>
  <si>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</si>
  <si>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</si>
  <si>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</si>
  <si>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</si>
  <si>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</si>
  <si>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</si>
  <si>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</si>
  <si>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</si>
  <si>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</si>
  <si>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</si>
  <si>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</si>
  <si>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</si>
  <si>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</si>
  <si>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</si>
  <si>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</si>
  <si>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</si>
  <si>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</si>
  <si>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</si>
  <si>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</si>
  <si>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</si>
  <si>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</si>
  <si>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</si>
  <si>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</si>
  <si>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</si>
  <si>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</si>
  <si>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</si>
  <si>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</si>
  <si>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</si>
  <si>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</si>
  <si>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</si>
  <si>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</si>
  <si>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</si>
  <si>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</si>
  <si>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</si>
  <si>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</si>
  <si>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</si>
  <si>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</si>
  <si>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</si>
  <si>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</si>
  <si>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</si>
  <si>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</si>
  <si>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</si>
  <si>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</si>
  <si>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</si>
  <si>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</si>
  <si>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</si>
  <si>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</si>
  <si>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</si>
  <si>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</si>
  <si>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</si>
  <si>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</si>
  <si>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</si>
  <si>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</si>
  <si>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</si>
  <si>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</si>
  <si>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</si>
  <si>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</si>
  <si>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</si>
  <si>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</si>
  <si>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</si>
  <si>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</si>
  <si>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</si>
  <si>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</si>
  <si>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</si>
  <si>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</si>
  <si>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</si>
  <si>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</si>
  <si>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</si>
  <si>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</si>
  <si>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</si>
  <si>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</si>
  <si>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</si>
  <si>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</si>
  <si>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</si>
  <si>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</si>
  <si>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</si>
  <si>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</si>
  <si>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</si>
  <si>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</si>
  <si>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</si>
  <si>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</si>
  <si>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</si>
  <si>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</si>
  <si>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</si>
  <si>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</si>
  <si>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</si>
  <si>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</si>
  <si>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</si>
  <si>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</si>
  <si>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</si>
  <si>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</si>
  <si>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</si>
  <si>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</si>
  <si>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</si>
  <si>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</si>
  <si>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</si>
  <si>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</si>
  <si>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</si>
  <si>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</si>
  <si>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</si>
  <si>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</si>
  <si>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</si>
  <si>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</si>
  <si>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</si>
  <si>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</si>
  <si>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</si>
  <si>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</si>
  <si>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</si>
  <si>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</si>
  <si>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</si>
  <si>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</si>
  <si>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</si>
  <si>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</si>
  <si>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</si>
  <si>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</si>
  <si>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</si>
  <si>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</si>
  <si>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</si>
  <si>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</si>
  <si>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</si>
  <si>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</si>
  <si>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</si>
  <si>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</si>
  <si>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</si>
  <si>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</si>
  <si>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</si>
  <si>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</si>
  <si>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</si>
  <si>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</si>
  <si>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</si>
  <si>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</si>
  <si>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</si>
  <si>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</si>
  <si>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</si>
  <si>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</si>
  <si>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</si>
  <si>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</si>
  <si>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</si>
  <si>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</si>
  <si>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</si>
  <si>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</si>
  <si>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</si>
  <si>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</si>
  <si>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</si>
  <si>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</si>
  <si>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</si>
  <si>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</si>
  <si>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</si>
  <si>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</si>
  <si>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</si>
  <si>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</si>
  <si>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</si>
  <si>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</si>
  <si>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</si>
  <si>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</si>
  <si>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</si>
  <si>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</si>
  <si>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</si>
  <si>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</si>
  <si>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</si>
  <si>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</si>
  <si>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</si>
  <si>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</si>
  <si>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</si>
  <si>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</si>
  <si>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</si>
  <si>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</si>
  <si>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</si>
  <si>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</si>
  <si>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</si>
  <si>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</si>
  <si>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</si>
  <si>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</si>
  <si>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</si>
  <si>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</si>
  <si>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</si>
  <si>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</si>
  <si>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</si>
  <si>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</si>
  <si>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</si>
  <si>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</si>
  <si>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</si>
  <si>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</si>
  <si>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</si>
  <si>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</si>
  <si>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</si>
  <si>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</si>
  <si>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</si>
  <si>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</si>
  <si>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</si>
  <si>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</si>
  <si>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</si>
  <si>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</si>
  <si>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</si>
  <si>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</si>
  <si>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</si>
  <si>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</si>
  <si>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</si>
  <si>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</si>
  <si>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</si>
  <si>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</si>
  <si>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</si>
  <si>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</si>
  <si>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</si>
  <si>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</si>
  <si>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</si>
  <si>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</si>
  <si>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</si>
  <si>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</si>
  <si>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</si>
  <si>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</si>
  <si>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</si>
  <si>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</si>
  <si>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</si>
  <si>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</si>
  <si>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</si>
  <si>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</si>
  <si>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</si>
  <si>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</si>
  <si>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</si>
  <si>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</si>
  <si>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</si>
  <si>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</si>
  <si>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</si>
  <si>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</si>
  <si>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</si>
  <si>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</si>
  <si>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</si>
  <si>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</si>
  <si>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</si>
  <si>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</si>
  <si>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</si>
  <si>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</si>
  <si>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</si>
  <si>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</si>
  <si>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</si>
  <si>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</si>
  <si>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</si>
  <si>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</si>
  <si>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</si>
  <si>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</si>
  <si>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</si>
  <si>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</si>
  <si>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</si>
  <si>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</si>
  <si>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</si>
  <si>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</si>
  <si>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</si>
  <si>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</si>
  <si>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</si>
  <si>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</si>
  <si>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</si>
  <si>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</si>
  <si>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</si>
  <si>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</si>
  <si>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</si>
  <si>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</si>
  <si>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</si>
  <si>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</si>
  <si>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</si>
  <si>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</si>
  <si>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</si>
  <si>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</si>
  <si>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</si>
  <si>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</si>
  <si>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</si>
  <si>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</si>
  <si>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</si>
  <si>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</si>
  <si>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</si>
  <si>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</si>
  <si>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</si>
  <si>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</si>
  <si>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</si>
  <si>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</si>
  <si>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</si>
  <si>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</si>
  <si>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</si>
  <si>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</si>
  <si>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</si>
  <si>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</si>
  <si>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</si>
  <si>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</si>
  <si>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</si>
  <si>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</si>
  <si>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</si>
  <si>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</si>
  <si>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</si>
  <si>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</si>
  <si>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</si>
  <si>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</si>
  <si>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</si>
  <si>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</si>
  <si>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</si>
  <si>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</si>
  <si>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</si>
  <si>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</si>
  <si>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</si>
  <si>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</si>
  <si>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</si>
  <si>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</si>
  <si>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</si>
  <si>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</si>
  <si>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</si>
  <si>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</si>
  <si>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</si>
  <si>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</si>
  <si>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</si>
  <si>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</si>
  <si>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</si>
  <si>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</si>
  <si>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</si>
  <si>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</si>
  <si>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</si>
  <si>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</si>
  <si>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</si>
  <si>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</si>
  <si>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</si>
  <si>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</si>
  <si>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</si>
  <si>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</si>
  <si>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</si>
  <si>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</si>
  <si>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</si>
  <si>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</si>
  <si>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</si>
  <si>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</si>
  <si>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</si>
  <si>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</si>
  <si>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</si>
  <si>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</si>
  <si>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</si>
  <si>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</si>
  <si>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</si>
  <si>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</si>
  <si>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</si>
  <si>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</si>
  <si>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</si>
  <si>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</si>
  <si>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</si>
  <si>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</si>
  <si>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</si>
  <si>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</si>
  <si>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</si>
  <si>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</si>
  <si>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</si>
  <si>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</si>
  <si>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</si>
  <si>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</si>
  <si>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</si>
  <si>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</si>
  <si>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</si>
  <si>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</si>
  <si>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</si>
  <si>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</si>
  <si>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</si>
  <si>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</si>
  <si>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</si>
  <si>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</si>
  <si>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</si>
  <si>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</si>
  <si>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</si>
  <si>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</si>
  <si>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</si>
  <si>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</si>
  <si>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</si>
  <si>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</si>
  <si>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</si>
  <si>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</si>
  <si>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</si>
  <si>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</si>
  <si>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</si>
  <si>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</si>
  <si>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</si>
  <si>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</si>
  <si>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</si>
  <si>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</si>
  <si>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</si>
  <si>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</si>
  <si>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</si>
  <si>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</si>
  <si>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</si>
  <si>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</si>
  <si>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</si>
  <si>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</si>
  <si>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</si>
  <si>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</si>
  <si>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</si>
  <si>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</si>
  <si>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</si>
  <si>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</si>
  <si>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</si>
  <si>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</si>
  <si>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</si>
  <si>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</si>
  <si>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</si>
  <si>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</si>
  <si>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</si>
  <si>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</si>
  <si>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</si>
  <si>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</si>
  <si>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</si>
  <si>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</si>
  <si>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</si>
  <si>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</si>
  <si>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</si>
  <si>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</si>
  <si>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</si>
  <si>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</si>
  <si>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</si>
  <si>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</si>
  <si>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</si>
  <si>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</si>
  <si>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</si>
  <si>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</si>
  <si>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</si>
  <si>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</si>
  <si>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</si>
  <si>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</si>
  <si>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</si>
  <si>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</si>
  <si>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</si>
  <si>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</si>
  <si>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</si>
  <si>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</si>
  <si>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</si>
  <si>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</si>
  <si>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</si>
  <si>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</si>
  <si>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</si>
  <si>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</si>
  <si>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</si>
  <si>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</si>
  <si>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</si>
  <si>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</si>
  <si>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</si>
  <si>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</si>
  <si>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</si>
  <si>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</si>
  <si>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</si>
  <si>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</si>
  <si>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</si>
  <si>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</si>
  <si>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</si>
  <si>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</si>
  <si>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</si>
  <si>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</si>
  <si>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</si>
  <si>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</si>
  <si>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</si>
  <si>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</si>
  <si>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</si>
  <si>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</si>
  <si>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</si>
  <si>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</si>
  <si>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</si>
  <si>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</si>
  <si>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</si>
  <si>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</si>
  <si>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</si>
  <si>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</si>
  <si>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</si>
  <si>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</si>
  <si>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</si>
  <si>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</si>
  <si>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</si>
  <si>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</si>
  <si>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</si>
  <si>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</si>
  <si>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</si>
  <si>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</si>
  <si>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</si>
  <si>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</si>
  <si>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</si>
  <si>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</si>
  <si>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</si>
  <si>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</si>
  <si>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</si>
  <si>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</si>
  <si>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</si>
  <si>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</si>
  <si>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</si>
  <si>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</si>
  <si>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</si>
  <si>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</si>
  <si>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</si>
  <si>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</si>
  <si>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</si>
  <si>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</si>
  <si>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</si>
  <si>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</si>
  <si>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</si>
  <si>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</si>
  <si>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</si>
  <si>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</si>
  <si>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</si>
  <si>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</si>
  <si>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</si>
  <si>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</si>
  <si>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</si>
  <si>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</si>
  <si>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</si>
  <si>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</si>
  <si>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</si>
  <si>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</si>
  <si>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</si>
  <si>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</si>
  <si>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</si>
  <si>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</si>
  <si>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</si>
  <si>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</si>
  <si>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</si>
  <si>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</si>
  <si>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</si>
  <si>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</si>
  <si>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</si>
  <si>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</si>
  <si>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</si>
  <si>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</si>
  <si>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</si>
  <si>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</si>
  <si>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</si>
  <si>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</si>
  <si>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</si>
  <si>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</si>
  <si>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</si>
  <si>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</si>
  <si>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</si>
  <si>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</si>
  <si>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</si>
  <si>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</si>
  <si>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</si>
  <si>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</si>
  <si>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</si>
  <si>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</si>
  <si>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</si>
  <si>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</si>
  <si>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</si>
  <si>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</si>
  <si>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</si>
  <si>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</si>
  <si>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</si>
  <si>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</si>
  <si>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</si>
  <si>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</si>
  <si>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</si>
  <si>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</si>
  <si>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</si>
  <si>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</si>
  <si>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</si>
  <si>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</si>
  <si>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</si>
  <si>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</si>
  <si>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</si>
  <si>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</si>
  <si>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</si>
  <si>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</si>
  <si>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</si>
  <si>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</si>
  <si>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</si>
  <si>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</si>
  <si>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</si>
  <si>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</si>
  <si>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</si>
  <si>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</si>
  <si>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</si>
  <si>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</si>
  <si>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</si>
  <si>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</si>
  <si>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</si>
  <si>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</si>
  <si>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</si>
  <si>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</si>
  <si>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</si>
  <si>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</si>
  <si>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</si>
  <si>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</si>
  <si>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</si>
  <si>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</si>
  <si>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</si>
  <si>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</si>
  <si>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</si>
  <si>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</si>
  <si>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</si>
  <si>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</si>
  <si>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</si>
  <si>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</si>
  <si>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</si>
  <si>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</si>
  <si>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</si>
  <si>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</si>
  <si>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</si>
  <si>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</si>
  <si>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</si>
  <si>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</si>
  <si>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</si>
  <si>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</si>
  <si>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</si>
  <si>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</si>
  <si>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</si>
  <si>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</si>
  <si>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</si>
  <si>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</si>
  <si>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</si>
  <si>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</si>
  <si>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</si>
  <si>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</si>
  <si>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</si>
  <si>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</si>
  <si>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</si>
  <si>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</si>
  <si>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</si>
  <si>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</si>
  <si>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</si>
  <si>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</si>
  <si>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</si>
  <si>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</si>
  <si>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</si>
  <si>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</si>
  <si>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</si>
  <si>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</si>
  <si>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</si>
  <si>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</si>
  <si>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</si>
  <si>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</si>
  <si>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</si>
  <si>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</si>
  <si>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</si>
  <si>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</si>
  <si>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</si>
  <si>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</si>
  <si>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</si>
  <si>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</si>
  <si>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</si>
  <si>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</si>
  <si>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</si>
  <si>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</si>
  <si>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</si>
  <si>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</si>
  <si>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</si>
  <si>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</si>
  <si>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</si>
  <si>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</si>
  <si>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</si>
  <si>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</si>
  <si>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</si>
  <si>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</si>
  <si>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</si>
  <si>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</si>
  <si>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</si>
  <si>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</si>
  <si>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</si>
  <si>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</si>
  <si>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</si>
  <si>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</si>
  <si>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</si>
  <si>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</si>
  <si>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</si>
  <si>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</si>
  <si>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</si>
  <si>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</si>
  <si>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</si>
  <si>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</si>
  <si>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</si>
  <si>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</si>
  <si>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</si>
  <si>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</si>
  <si>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</si>
  <si>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</si>
  <si>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</si>
  <si>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</si>
  <si>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</si>
  <si>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</si>
  <si>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</si>
  <si>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</si>
  <si>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</si>
  <si>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</si>
  <si>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</si>
  <si>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</si>
  <si>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</si>
  <si>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</si>
  <si>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</si>
  <si>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</si>
  <si>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</si>
  <si>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</si>
  <si>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</si>
  <si>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</si>
  <si>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</si>
  <si>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</si>
  <si>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</si>
  <si>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</si>
  <si>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</si>
  <si>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</si>
  <si>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</si>
  <si>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</si>
  <si>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</si>
  <si>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</si>
  <si>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</si>
  <si>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</si>
  <si>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</si>
  <si>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</si>
  <si>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</si>
  <si>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</si>
  <si>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</si>
  <si>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</si>
  <si>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</si>
  <si>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</si>
  <si>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</si>
  <si>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</si>
  <si>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</si>
  <si>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</si>
  <si>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</si>
  <si>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</si>
  <si>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</si>
  <si>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</si>
  <si>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</si>
  <si>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</si>
  <si>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</si>
  <si>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</si>
  <si>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</si>
  <si>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</si>
  <si>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</si>
  <si>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</si>
  <si>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</si>
  <si>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</si>
  <si>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</si>
  <si>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</si>
  <si>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</si>
  <si>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</si>
  <si>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</si>
  <si>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</si>
  <si>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</si>
  <si>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</si>
  <si>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</si>
  <si>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</si>
  <si>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</si>
  <si>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</si>
  <si>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</si>
  <si>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</si>
  <si>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</si>
  <si>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</si>
  <si>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</si>
  <si>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</si>
  <si>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</si>
  <si>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</si>
  <si>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</si>
  <si>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</si>
  <si>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</si>
  <si>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</si>
  <si>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</si>
  <si>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</si>
  <si>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</si>
  <si>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</si>
  <si>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</si>
  <si>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</si>
  <si>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</si>
  <si>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</si>
  <si>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</si>
  <si>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</si>
  <si>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</si>
  <si>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</si>
  <si>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</si>
  <si>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</si>
  <si>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</si>
  <si>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</si>
  <si>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</si>
  <si>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</si>
  <si>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</si>
  <si>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</si>
  <si>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</si>
  <si>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</si>
  <si>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</si>
  <si>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</si>
  <si>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</si>
  <si>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</si>
  <si>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</si>
  <si>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</si>
  <si>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</si>
  <si>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</si>
  <si>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</si>
  <si>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</si>
  <si>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</si>
  <si>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</si>
  <si>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</si>
  <si>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</si>
  <si>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</si>
  <si>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</si>
  <si>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</si>
  <si>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</si>
  <si>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</si>
  <si>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</si>
  <si>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</si>
  <si>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</si>
  <si>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</si>
  <si>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</si>
  <si>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</si>
  <si>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</si>
  <si>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</si>
  <si>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</si>
  <si>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</si>
  <si>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</si>
  <si>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</si>
  <si>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</si>
  <si>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</si>
  <si>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</si>
  <si>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</si>
  <si>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</si>
  <si>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</si>
  <si>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</si>
  <si>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</si>
  <si>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</si>
  <si>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</si>
  <si>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</si>
  <si>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</si>
  <si>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</si>
  <si>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</si>
  <si>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</si>
  <si>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</si>
  <si>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</si>
  <si>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</si>
  <si>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</si>
  <si>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</si>
  <si>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</si>
  <si>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</si>
  <si>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</si>
  <si>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</si>
  <si>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</si>
  <si>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</si>
  <si>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</si>
  <si>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</si>
  <si>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</si>
  <si>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</si>
  <si>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</si>
  <si>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</si>
  <si>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</si>
  <si>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</si>
  <si>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</si>
  <si>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</si>
  <si>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</si>
  <si>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</si>
  <si>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</si>
  <si>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</si>
  <si>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</si>
  <si>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</si>
  <si>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</si>
  <si>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</si>
  <si>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</si>
  <si>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</si>
  <si>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</si>
  <si>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</si>
  <si>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</si>
  <si>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</si>
  <si>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</si>
  <si>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</si>
  <si>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</si>
  <si>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</si>
  <si>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</si>
  <si>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</si>
  <si>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</si>
  <si>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</si>
  <si>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</si>
  <si>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</si>
  <si>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</si>
  <si>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</si>
  <si>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</si>
  <si>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</si>
  <si>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</si>
  <si>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</si>
  <si>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</si>
  <si>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</si>
  <si>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</si>
  <si>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</si>
  <si>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</si>
  <si>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</si>
  <si>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</si>
  <si>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</si>
  <si>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</si>
  <si>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</si>
  <si>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</si>
  <si>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</si>
  <si>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</si>
  <si>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</si>
  <si>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</si>
  <si>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</si>
  <si>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</si>
  <si>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</si>
  <si>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</si>
  <si>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</si>
  <si>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</si>
  <si>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</si>
  <si>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</si>
  <si>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</si>
  <si>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</si>
  <si>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</si>
  <si>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</si>
  <si>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</si>
  <si>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</si>
  <si>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</si>
  <si>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</si>
  <si>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</si>
  <si>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</si>
  <si>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</si>
  <si>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</si>
  <si>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</si>
  <si>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</si>
  <si>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</si>
  <si>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</si>
  <si>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</si>
  <si>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</si>
  <si>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</si>
  <si>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</si>
  <si>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</si>
  <si>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</si>
  <si>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</si>
  <si>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</si>
  <si>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</si>
  <si>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</si>
  <si>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</si>
  <si>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</si>
  <si>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</si>
  <si>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</si>
  <si>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</si>
  <si>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</si>
  <si>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</si>
  <si>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</si>
  <si>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</si>
  <si>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</si>
  <si>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</si>
  <si>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</si>
  <si>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</si>
  <si>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</si>
  <si>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</si>
  <si>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</si>
  <si>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</si>
  <si>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</si>
  <si>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</si>
  <si>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</si>
  <si>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</si>
  <si>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</si>
  <si>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</si>
  <si>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</si>
  <si>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</si>
  <si>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</si>
  <si>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</si>
  <si>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</si>
  <si>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</si>
  <si>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</si>
  <si>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</si>
  <si>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</si>
  <si>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</si>
  <si>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</si>
  <si>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</si>
  <si>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</si>
  <si>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</si>
  <si>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</si>
  <si>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</si>
  <si>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</si>
  <si>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</si>
  <si>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</si>
  <si>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</si>
  <si>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</si>
  <si>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</si>
  <si>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</si>
  <si>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</si>
  <si>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</si>
  <si>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</si>
  <si>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</si>
  <si>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</si>
  <si>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</si>
  <si>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</si>
  <si>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</si>
  <si>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</si>
  <si>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</si>
  <si>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</si>
  <si>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</si>
  <si>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</si>
  <si>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</si>
  <si>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</si>
  <si>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</si>
  <si>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</si>
  <si>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</si>
  <si>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</si>
  <si>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</si>
  <si>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</si>
  <si>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</si>
  <si>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</si>
  <si>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</si>
  <si>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</si>
  <si>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</si>
  <si>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</si>
  <si>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</si>
  <si>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</si>
  <si>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</si>
  <si>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</si>
  <si>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</si>
  <si>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</si>
  <si>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</si>
  <si>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</si>
  <si>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</si>
  <si>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</si>
  <si>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</si>
  <si>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</si>
  <si>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</si>
  <si>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</si>
  <si>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</si>
  <si>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</si>
  <si>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</si>
  <si>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</si>
  <si>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</si>
  <si>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</si>
  <si>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</si>
  <si>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</si>
  <si>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</si>
  <si>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</si>
  <si>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</si>
  <si>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</si>
  <si>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</si>
  <si>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</si>
  <si>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</si>
  <si>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</si>
  <si>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</si>
  <si>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</si>
  <si>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</si>
  <si>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</si>
  <si>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</si>
  <si>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</si>
  <si>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</si>
  <si>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</si>
  <si>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</si>
  <si>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</si>
  <si>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</si>
  <si>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</si>
  <si>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</si>
  <si>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</si>
  <si>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</si>
  <si>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</si>
  <si>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</si>
  <si>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</si>
  <si>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</si>
  <si>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</si>
  <si>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</si>
  <si>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</si>
  <si>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</si>
  <si>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</si>
  <si>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</si>
  <si>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</si>
  <si>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</si>
  <si>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</si>
  <si>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</si>
  <si>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</si>
  <si>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</si>
  <si>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</si>
  <si>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</si>
  <si>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</si>
  <si>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</si>
  <si>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</si>
  <si>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</si>
  <si>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</si>
  <si>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</si>
  <si>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</si>
  <si>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</si>
  <si>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</si>
  <si>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</si>
  <si>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</si>
  <si>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</si>
  <si>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</si>
  <si>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</si>
  <si>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</si>
  <si>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</si>
  <si>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</si>
  <si>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</si>
  <si>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</si>
  <si>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</si>
  <si>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</si>
  <si>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</si>
  <si>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</si>
  <si>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</si>
  <si>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</si>
  <si>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</si>
  <si>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</si>
  <si>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</si>
  <si>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</si>
  <si>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</si>
  <si>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</si>
  <si>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</si>
  <si>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</si>
  <si>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</si>
  <si>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</si>
  <si>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</si>
  <si>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</si>
  <si>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</si>
  <si>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</si>
  <si>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</si>
  <si>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</si>
  <si>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</si>
  <si>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</si>
  <si>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</si>
  <si>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</si>
  <si>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</si>
  <si>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</si>
  <si>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</si>
  <si>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</si>
  <si>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</si>
  <si>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</si>
  <si>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</si>
  <si>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</si>
  <si>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</si>
  <si>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</si>
  <si>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</si>
  <si>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</si>
  <si>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</si>
  <si>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</si>
  <si>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</si>
  <si>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</si>
  <si>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</si>
  <si>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</si>
  <si>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</si>
  <si>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</si>
  <si>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</si>
  <si>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</si>
  <si>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</si>
  <si>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</si>
  <si>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</si>
  <si>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</si>
  <si>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</si>
  <si>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</si>
  <si>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</si>
  <si>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</si>
  <si>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</si>
  <si>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</si>
  <si>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</si>
  <si>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</si>
  <si>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</si>
  <si>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</si>
  <si>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</si>
  <si>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</si>
  <si>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</si>
  <si>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</si>
  <si>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</si>
  <si>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</si>
  <si>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</si>
  <si>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</si>
  <si>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</si>
  <si>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</si>
  <si>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</si>
  <si>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</si>
  <si>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</si>
  <si>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</si>
  <si>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</si>
  <si>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</si>
  <si>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</si>
  <si>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</si>
  <si>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</si>
  <si>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</si>
  <si>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</si>
  <si>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</si>
  <si>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</si>
  <si>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</si>
  <si>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</si>
  <si>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</si>
  <si>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</si>
  <si>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</si>
  <si>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</si>
  <si>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</si>
  <si>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</si>
  <si>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</si>
  <si>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</si>
  <si>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</si>
  <si>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</si>
  <si>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</si>
  <si>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</si>
  <si>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</si>
  <si>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</si>
  <si>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</si>
  <si>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</si>
  <si>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</si>
  <si>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</si>
  <si>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</si>
  <si>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</si>
  <si>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</si>
  <si>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</si>
  <si>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</si>
  <si>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</si>
  <si>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</si>
  <si>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</si>
  <si>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</si>
  <si>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</si>
  <si>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</si>
  <si>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</si>
  <si>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</si>
  <si>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</si>
  <si>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</si>
  <si>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</si>
  <si>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</si>
  <si>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</si>
  <si>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</si>
  <si>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</si>
  <si>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</si>
  <si>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</si>
  <si>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</si>
  <si>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</si>
  <si>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</si>
  <si>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</si>
  <si>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</si>
  <si>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</si>
  <si>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</si>
  <si>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</si>
  <si>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</si>
  <si>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</si>
  <si>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</si>
  <si>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</si>
  <si>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</si>
  <si>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</si>
  <si>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</si>
  <si>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</si>
  <si>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</si>
  <si>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</si>
  <si>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</si>
  <si>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</si>
  <si>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</si>
  <si>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</si>
  <si>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</si>
  <si>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</si>
  <si>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</si>
  <si>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</si>
  <si>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</si>
  <si>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</si>
  <si>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</si>
  <si>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</si>
  <si>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</si>
  <si>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</si>
  <si>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</si>
  <si>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</si>
  <si>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</si>
  <si>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</si>
  <si>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</si>
  <si>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</si>
  <si>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</si>
  <si>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</si>
  <si>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</si>
  <si>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</si>
  <si>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</si>
  <si>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</si>
  <si>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</si>
  <si>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</si>
  <si>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</si>
  <si>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</si>
  <si>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</si>
  <si>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</si>
  <si>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</si>
  <si>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</si>
  <si>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</si>
  <si>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</si>
  <si>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</si>
  <si>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</si>
  <si>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</si>
  <si>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</si>
  <si>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</si>
  <si>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</si>
  <si>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</si>
  <si>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</si>
  <si>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</si>
  <si>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</si>
  <si>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</si>
  <si>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</si>
  <si>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</si>
  <si>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</si>
  <si>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</si>
  <si>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</si>
  <si>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</si>
  <si>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</si>
  <si>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</si>
  <si>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</si>
  <si>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</si>
  <si>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</si>
  <si>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</si>
  <si>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</si>
  <si>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</si>
  <si>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</si>
  <si>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</si>
  <si>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</si>
  <si>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</si>
  <si>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</si>
  <si>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</si>
  <si>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</si>
  <si>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</si>
  <si>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</si>
  <si>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</si>
  <si>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</si>
  <si>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</si>
  <si>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</si>
  <si>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</si>
  <si>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</si>
  <si>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</si>
  <si>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</si>
  <si>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</si>
  <si>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</si>
  <si>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</si>
  <si>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</si>
  <si>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</si>
  <si>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</si>
  <si>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</si>
  <si>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</si>
  <si>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</si>
  <si>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</si>
  <si>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</si>
  <si>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</si>
  <si>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</si>
  <si>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</si>
  <si>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</si>
  <si>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</si>
  <si>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</si>
  <si>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</si>
  <si>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</si>
  <si>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</si>
  <si>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</si>
  <si>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</si>
  <si>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</si>
  <si>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</si>
  <si>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</si>
  <si>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</si>
  <si>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</si>
  <si>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</si>
  <si>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</si>
  <si>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</si>
  <si>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</si>
  <si>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</si>
  <si>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</si>
  <si>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</si>
  <si>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</si>
  <si>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</si>
  <si>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</si>
  <si>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</si>
  <si>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</si>
  <si>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</si>
  <si>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</si>
  <si>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</si>
  <si>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</si>
  <si>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</si>
  <si>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</si>
  <si>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</si>
  <si>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</si>
  <si>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</si>
  <si>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</si>
  <si>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</si>
  <si>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</si>
  <si>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</si>
  <si>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</si>
  <si>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</si>
  <si>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</si>
  <si>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</si>
  <si>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</si>
  <si>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</si>
  <si>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</si>
  <si>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</si>
  <si>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</si>
  <si>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</si>
  <si>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</si>
  <si>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</si>
  <si>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</si>
  <si>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</si>
  <si>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</si>
  <si>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</si>
  <si>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</si>
  <si>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</si>
  <si>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</si>
  <si>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</si>
  <si>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</si>
  <si>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</si>
  <si>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</si>
  <si>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</si>
  <si>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</si>
  <si>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</si>
  <si>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</si>
  <si>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</si>
  <si>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</si>
  <si>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</si>
  <si>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</si>
  <si>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</si>
  <si>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</si>
  <si>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</si>
  <si>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</si>
  <si>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</si>
  <si>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</si>
  <si>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</si>
  <si>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</si>
  <si>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</si>
  <si>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</si>
  <si>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</si>
  <si>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</si>
  <si>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</si>
  <si>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</si>
  <si>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</si>
  <si>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</si>
  <si>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</si>
  <si>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</si>
  <si>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</si>
  <si>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</si>
  <si>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</si>
  <si>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</si>
  <si>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</si>
  <si>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</si>
  <si>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</si>
  <si>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</si>
  <si>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</si>
  <si>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</si>
  <si>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</si>
  <si>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</si>
  <si>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</si>
  <si>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</si>
  <si>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</si>
  <si>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</si>
  <si>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</si>
  <si>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</si>
  <si>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</si>
  <si>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</si>
  <si>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</si>
  <si>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</si>
  <si>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</si>
  <si>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</si>
  <si>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</si>
  <si>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</si>
  <si>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</si>
  <si>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</si>
  <si>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</si>
  <si>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</si>
  <si>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</si>
  <si>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</si>
  <si>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</si>
  <si>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</si>
  <si>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</si>
  <si>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</si>
  <si>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</si>
  <si>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</si>
  <si>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</si>
  <si>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</si>
  <si>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</si>
  <si>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</si>
  <si>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</si>
  <si>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</si>
  <si>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</si>
  <si>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</si>
  <si>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</si>
  <si>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</si>
  <si>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</si>
  <si>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</si>
  <si>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</si>
  <si>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</si>
  <si>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</si>
  <si>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</si>
  <si>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</si>
  <si>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</si>
  <si>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</si>
  <si>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</si>
  <si>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</si>
  <si>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</si>
  <si>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</si>
  <si>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</si>
  <si>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</si>
  <si>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</si>
  <si>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</si>
  <si>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</si>
  <si>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</si>
  <si>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</si>
  <si>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</si>
  <si>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</si>
  <si>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</si>
  <si>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</si>
  <si>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</si>
  <si>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</si>
  <si>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</si>
  <si>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</si>
  <si>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</si>
  <si>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</si>
  <si>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</si>
  <si>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</si>
  <si>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</si>
  <si>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</si>
  <si>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</si>
  <si>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</si>
  <si>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</si>
  <si>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</si>
  <si>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</si>
  <si>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</si>
  <si>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</si>
  <si>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</si>
  <si>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</si>
  <si>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</si>
  <si>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</si>
  <si>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</si>
  <si>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</si>
  <si>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</si>
  <si>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</si>
  <si>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</si>
  <si>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</si>
  <si>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</si>
  <si>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</si>
  <si>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</si>
  <si>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</si>
  <si>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</si>
  <si>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</si>
  <si>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</si>
  <si>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</si>
  <si>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</si>
  <si>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</si>
  <si>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</si>
  <si>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</si>
  <si>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</si>
  <si>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</si>
  <si>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</si>
  <si>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</si>
  <si>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</si>
  <si>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</si>
  <si>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</si>
  <si>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</si>
  <si>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</si>
  <si>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</si>
  <si>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</si>
  <si>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</si>
  <si>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</si>
  <si>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</si>
  <si>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</si>
  <si>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</si>
  <si>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</si>
  <si>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</si>
  <si>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</si>
  <si>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</si>
  <si>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</si>
  <si>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</si>
  <si>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</si>
  <si>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</si>
  <si>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</si>
  <si>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</si>
  <si>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</si>
  <si>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</si>
  <si>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</si>
  <si>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</si>
  <si>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</si>
  <si>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</si>
  <si>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</si>
  <si>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</si>
  <si>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</si>
  <si>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</si>
  <si>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</si>
  <si>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</si>
  <si>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</si>
  <si>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</si>
  <si>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</si>
  <si>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</si>
  <si>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</si>
  <si>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</si>
  <si>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</si>
  <si>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</si>
  <si>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</si>
  <si>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</si>
  <si>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</si>
  <si>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</si>
  <si>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</si>
  <si>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</si>
  <si>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</si>
  <si>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</si>
  <si>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</si>
  <si>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</si>
  <si>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</si>
  <si>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</si>
  <si>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</si>
  <si>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</si>
  <si>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</si>
  <si>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</si>
  <si>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</si>
  <si>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</si>
  <si>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</si>
  <si>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</si>
  <si>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</si>
  <si>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</si>
  <si>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</si>
  <si>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</si>
  <si>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</si>
  <si>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</si>
  <si>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</si>
  <si>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</si>
  <si>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</si>
  <si>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</si>
  <si>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</si>
  <si>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</si>
  <si>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</si>
  <si>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</si>
  <si>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</si>
  <si>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</si>
  <si>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</si>
  <si>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</si>
  <si>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</si>
  <si>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</si>
  <si>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</si>
  <si>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</si>
  <si>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</si>
  <si>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</si>
  <si>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</si>
  <si>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</si>
  <si>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</si>
  <si>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</si>
  <si>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</si>
  <si>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</si>
  <si>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</si>
  <si>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</si>
  <si>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</si>
  <si>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</si>
  <si>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</si>
  <si>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</si>
  <si>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</si>
  <si>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</si>
  <si>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</si>
  <si>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</si>
  <si>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</si>
  <si>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</si>
  <si>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</si>
  <si>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</si>
  <si>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</si>
  <si>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</si>
  <si>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</si>
  <si>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</si>
  <si>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</si>
  <si>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</si>
  <si>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</si>
  <si>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</si>
  <si>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</si>
  <si>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</si>
  <si>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</si>
  <si>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</si>
  <si>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</si>
  <si>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</si>
  <si>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</si>
  <si>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</si>
  <si>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</si>
  <si>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</si>
  <si>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</si>
  <si>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</si>
  <si>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</si>
  <si>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</si>
  <si>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</si>
  <si>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</si>
  <si>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</si>
  <si>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</si>
  <si>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</si>
  <si>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</si>
  <si>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</si>
  <si>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</si>
  <si>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</si>
  <si>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</si>
  <si>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</si>
  <si>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</si>
  <si>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</si>
  <si>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</si>
  <si>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</si>
  <si>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</si>
  <si>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</si>
  <si>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</si>
  <si>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</si>
  <si>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</si>
  <si>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</si>
  <si>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</si>
  <si>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</si>
  <si>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</si>
  <si>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</si>
  <si>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</si>
  <si>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</si>
  <si>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</si>
  <si>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</si>
  <si>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</si>
  <si>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</si>
  <si>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</si>
  <si>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</si>
  <si>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</si>
  <si>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</si>
  <si>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</si>
  <si>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</si>
  <si>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</si>
  <si>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</si>
  <si>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</si>
  <si>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</si>
  <si>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</si>
  <si>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</si>
  <si>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</si>
  <si>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</si>
  <si>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</si>
  <si>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</si>
  <si>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</si>
  <si>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</si>
  <si>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</si>
  <si>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</si>
  <si>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</si>
  <si>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</si>
  <si>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</si>
  <si>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</si>
  <si>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</si>
  <si>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</si>
  <si>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</si>
  <si>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</si>
  <si>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</si>
  <si>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</si>
  <si>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</si>
  <si>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</si>
  <si>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</si>
  <si>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</si>
  <si>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</si>
  <si>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</si>
  <si>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</si>
  <si>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</si>
  <si>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</si>
  <si>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</si>
  <si>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</si>
  <si>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</si>
  <si>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</si>
  <si>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</si>
  <si>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</si>
  <si>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</si>
  <si>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</si>
  <si>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</si>
  <si>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</si>
  <si>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</si>
  <si>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</si>
  <si>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</si>
  <si>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</si>
  <si>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</si>
  <si>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</si>
  <si>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</si>
  <si>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</si>
  <si>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</si>
  <si>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</si>
  <si>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</si>
  <si>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</si>
  <si>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</si>
  <si>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</si>
  <si>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</si>
  <si>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</si>
  <si>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</si>
  <si>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</si>
  <si>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</si>
  <si>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</si>
  <si>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</si>
  <si>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</si>
  <si>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</si>
  <si>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</si>
  <si>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</si>
  <si>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</si>
  <si>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</si>
  <si>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</si>
  <si>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</si>
  <si>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</si>
  <si>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</si>
  <si>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</si>
  <si>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</si>
  <si>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</si>
  <si>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</si>
  <si>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</si>
  <si>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</si>
  <si>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</si>
  <si>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</si>
  <si>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</si>
  <si>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</si>
  <si>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</si>
  <si>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</si>
  <si>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</si>
  <si>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</si>
  <si>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</si>
  <si>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</si>
  <si>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</si>
  <si>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</si>
  <si>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</si>
  <si>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</si>
  <si>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</si>
  <si>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</si>
  <si>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</si>
  <si>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</si>
  <si>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</si>
  <si>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</si>
  <si>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</si>
  <si>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</si>
  <si>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</si>
  <si>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</si>
  <si>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</si>
  <si>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</si>
  <si>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</si>
  <si>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</si>
  <si>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</si>
  <si>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</si>
  <si>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</si>
  <si>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</si>
  <si>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</si>
  <si>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</si>
  <si>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</si>
  <si>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</si>
  <si>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</si>
  <si>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</si>
  <si>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</si>
  <si>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</si>
  <si>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</si>
  <si>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</si>
  <si>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</si>
  <si>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</si>
  <si>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</si>
  <si>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</si>
  <si>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</si>
  <si>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</si>
  <si>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</si>
  <si>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</si>
  <si>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</si>
  <si>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</si>
  <si>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</si>
  <si>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</si>
  <si>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</si>
  <si>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</si>
  <si>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</si>
  <si>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</si>
  <si>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</si>
  <si>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</si>
  <si>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</si>
  <si>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</si>
  <si>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</si>
  <si>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</si>
  <si>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</si>
  <si>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</si>
  <si>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</si>
  <si>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</si>
  <si>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</si>
  <si>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</si>
  <si>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</si>
  <si>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</si>
  <si>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</si>
  <si>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</si>
  <si>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</si>
  <si>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</si>
  <si>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</si>
  <si>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</si>
  <si>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</si>
  <si>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</si>
  <si>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</si>
  <si>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</si>
  <si>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</si>
  <si>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</si>
  <si>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</si>
  <si>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</si>
  <si>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</si>
  <si>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</si>
  <si>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</si>
  <si>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</si>
  <si>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</si>
  <si>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</si>
  <si>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</si>
  <si>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</si>
  <si>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</si>
  <si>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</si>
  <si>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</si>
  <si>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</si>
  <si>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</si>
  <si>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</si>
  <si>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</si>
  <si>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</si>
  <si>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</si>
  <si>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</si>
  <si>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</si>
  <si>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</si>
  <si>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</si>
  <si>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</si>
  <si>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</si>
  <si>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</si>
  <si>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</si>
  <si>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</si>
  <si>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</si>
  <si>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</si>
  <si>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</si>
  <si>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</si>
  <si>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</si>
  <si>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</si>
  <si>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</si>
  <si>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</si>
  <si>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</si>
  <si>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</si>
  <si>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</si>
  <si>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</si>
  <si>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</si>
  <si>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</si>
  <si>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</si>
  <si>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</si>
  <si>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</si>
  <si>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</si>
  <si>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</si>
  <si>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</si>
  <si>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</si>
  <si>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</si>
  <si>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</si>
  <si>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</si>
  <si>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</si>
  <si>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</si>
  <si>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</si>
  <si>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</si>
  <si>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</si>
  <si>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</si>
  <si>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</si>
  <si>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</si>
  <si>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</si>
  <si>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</si>
  <si>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</si>
  <si>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</si>
  <si>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</si>
  <si>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</si>
  <si>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</si>
  <si>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</si>
  <si>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</si>
  <si>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</si>
  <si>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</si>
  <si>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</si>
  <si>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</si>
  <si>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</si>
  <si>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</si>
  <si>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</si>
  <si>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</si>
  <si>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</si>
  <si>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</si>
  <si>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</si>
  <si>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</si>
  <si>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</si>
  <si>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</si>
  <si>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</si>
  <si>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</si>
  <si>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</si>
  <si>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</si>
  <si>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</si>
  <si>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</si>
  <si>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</si>
  <si>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</si>
  <si>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</si>
  <si>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</si>
  <si>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</si>
  <si>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</si>
  <si>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</si>
  <si>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</si>
  <si>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</si>
  <si>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</si>
  <si>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</si>
  <si>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</si>
  <si>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</si>
  <si>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</si>
  <si>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</si>
  <si>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</si>
  <si>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</si>
  <si>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</si>
  <si>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</si>
  <si>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</si>
  <si>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</si>
  <si>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</si>
  <si>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</si>
  <si>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</si>
  <si>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</si>
  <si>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</si>
  <si>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</si>
  <si>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</si>
  <si>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</si>
  <si>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</si>
  <si>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</si>
  <si>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</si>
  <si>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</si>
  <si>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</si>
  <si>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</si>
  <si>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</si>
  <si>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</si>
  <si>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</si>
  <si>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</si>
  <si>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</si>
  <si>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</si>
  <si>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</si>
  <si>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</si>
  <si>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</si>
  <si>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</si>
  <si>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</si>
  <si>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</si>
  <si>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</si>
  <si>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</si>
  <si>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</si>
  <si>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</si>
  <si>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</si>
  <si>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</si>
  <si>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</si>
  <si>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</si>
  <si>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</si>
  <si>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</si>
  <si>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</si>
  <si>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</si>
  <si>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</si>
  <si>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</si>
  <si>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</si>
  <si>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</si>
  <si>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</si>
  <si>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</si>
  <si>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</si>
  <si>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</si>
  <si>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</si>
  <si>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</si>
  <si>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</si>
  <si>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</si>
  <si>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</si>
  <si>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</si>
  <si>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</si>
  <si>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</si>
  <si>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</si>
  <si>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</si>
  <si>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</si>
  <si>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</si>
  <si>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</si>
  <si>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</si>
  <si>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</si>
  <si>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</si>
  <si>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</si>
  <si>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</si>
  <si>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</si>
  <si>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</si>
  <si>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</si>
  <si>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</si>
  <si>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</si>
  <si>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</si>
  <si>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</si>
  <si>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</si>
  <si>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</si>
  <si>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</si>
  <si>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</si>
  <si>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</si>
  <si>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</si>
  <si>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</si>
  <si>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</si>
  <si>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</si>
  <si>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</si>
  <si>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</si>
  <si>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</si>
  <si>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</si>
  <si>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</si>
  <si>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</si>
  <si>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</si>
  <si>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</si>
  <si>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</si>
  <si>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</si>
  <si>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</si>
  <si>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</si>
  <si>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</si>
  <si>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</si>
  <si>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</si>
  <si>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</si>
  <si>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</si>
  <si>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</si>
  <si>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</si>
  <si>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</si>
  <si>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</si>
  <si>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</si>
  <si>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</si>
  <si>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</si>
  <si>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</si>
  <si>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</si>
  <si>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</si>
  <si>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</si>
  <si>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</si>
  <si>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</si>
  <si>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</si>
  <si>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</si>
  <si>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</si>
  <si>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</si>
  <si>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</si>
  <si>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</si>
  <si>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</si>
  <si>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</si>
  <si>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</si>
  <si>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</si>
  <si>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</si>
  <si>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</si>
  <si>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</si>
  <si>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</si>
  <si>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</si>
  <si>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</si>
  <si>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</si>
  <si>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</si>
  <si>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</si>
  <si>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</si>
  <si>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</si>
  <si>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</si>
  <si>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</si>
  <si>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</si>
  <si>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</si>
  <si>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</si>
  <si>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</si>
  <si>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</si>
  <si>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</si>
  <si>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</si>
  <si>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</si>
  <si>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</si>
  <si>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</si>
  <si>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</si>
  <si>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</si>
  <si>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</si>
  <si>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</si>
  <si>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</si>
  <si>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</si>
  <si>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</si>
  <si>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</si>
  <si>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</si>
  <si>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</si>
  <si>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</si>
  <si>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</si>
  <si>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</si>
  <si>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</si>
  <si>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</si>
  <si>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</si>
  <si>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</si>
  <si>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</si>
  <si>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</si>
  <si>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</si>
  <si>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</si>
  <si>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</si>
  <si>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</si>
  <si>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</si>
  <si>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</si>
  <si>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</si>
  <si>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</si>
  <si>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</si>
  <si>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</si>
  <si>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</si>
  <si>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</si>
  <si>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</si>
  <si>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</si>
  <si>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</si>
  <si>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</si>
  <si>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</si>
  <si>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</si>
  <si>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</si>
  <si>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</si>
  <si>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</si>
  <si>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</si>
  <si>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</si>
  <si>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</si>
  <si>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</si>
  <si>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</si>
  <si>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</si>
  <si>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</si>
  <si>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</si>
  <si>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</si>
  <si>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</si>
  <si>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</si>
  <si>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</si>
  <si>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</si>
  <si>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</si>
  <si>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</si>
  <si>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</si>
  <si>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</si>
  <si>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</si>
  <si>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</si>
  <si>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</si>
  <si>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</si>
  <si>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</si>
  <si>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</si>
  <si>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</si>
  <si>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</si>
  <si>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</si>
  <si>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</si>
  <si>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</si>
  <si>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</si>
  <si>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</si>
  <si>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</si>
  <si>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</si>
  <si>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</si>
  <si>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</si>
  <si>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</si>
  <si>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</si>
  <si>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</si>
  <si>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</si>
  <si>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</si>
  <si>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</si>
  <si>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</si>
  <si>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</si>
  <si>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</si>
  <si>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</si>
  <si>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</si>
  <si>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</si>
  <si>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</si>
  <si>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</si>
  <si>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</si>
  <si>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</si>
  <si>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</si>
  <si>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</si>
  <si>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</si>
  <si>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</si>
  <si>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</si>
  <si>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</si>
  <si>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</si>
  <si>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</si>
  <si>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</si>
  <si>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</si>
  <si>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</si>
  <si>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</si>
  <si>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</si>
  <si>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</si>
  <si>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</si>
  <si>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</si>
  <si>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</si>
  <si>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</si>
  <si>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</si>
  <si>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</si>
  <si>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</si>
  <si>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</si>
  <si>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</si>
  <si>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</si>
  <si>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</si>
  <si>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</si>
  <si>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</si>
  <si>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</si>
  <si>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</si>
  <si>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</si>
  <si>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</si>
  <si>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</si>
  <si>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</si>
  <si>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</si>
  <si>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</si>
  <si>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</si>
  <si>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</si>
  <si>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</si>
  <si>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</si>
  <si>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</si>
  <si>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</si>
  <si>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</si>
  <si>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</si>
  <si>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</si>
  <si>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</si>
  <si>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</si>
  <si>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</si>
  <si>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</si>
  <si>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</si>
  <si>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</si>
  <si>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</si>
  <si>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</si>
  <si>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</si>
  <si>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</si>
  <si>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</si>
  <si>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</si>
  <si>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</si>
  <si>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</si>
  <si>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</si>
  <si>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</si>
  <si>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</si>
  <si>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</si>
  <si>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</si>
  <si>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</si>
  <si>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</si>
  <si>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</si>
  <si>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</si>
  <si>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</si>
  <si>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</si>
  <si>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</si>
  <si>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</si>
  <si>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</si>
  <si>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</si>
  <si>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</si>
  <si>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</si>
  <si>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</si>
  <si>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</si>
  <si>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</si>
  <si>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</si>
  <si>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</si>
  <si>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</si>
  <si>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</si>
  <si>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</si>
  <si>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</si>
  <si>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</si>
  <si>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</si>
  <si>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</si>
  <si>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</si>
  <si>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</si>
  <si>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</si>
  <si>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</si>
  <si>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</si>
  <si>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</si>
  <si>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</si>
  <si>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</si>
  <si>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</si>
  <si>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</si>
  <si>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</si>
  <si>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</si>
  <si>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</si>
  <si>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</si>
  <si>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</si>
  <si>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</si>
  <si>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</si>
  <si>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</si>
  <si>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</si>
  <si>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</si>
  <si>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</si>
  <si>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</si>
  <si>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</si>
  <si>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</si>
  <si>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</si>
  <si>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</si>
  <si>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</si>
  <si>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</si>
  <si>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</si>
  <si>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</si>
  <si>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</si>
  <si>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</si>
  <si>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</si>
  <si>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</si>
  <si>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</si>
  <si>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</si>
  <si>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</si>
  <si>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</si>
  <si>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</si>
  <si>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</si>
  <si>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</si>
  <si>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</si>
  <si>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</si>
  <si>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</si>
  <si>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</si>
  <si>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</si>
  <si>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</si>
  <si>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</si>
  <si>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</si>
  <si>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</si>
  <si>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</si>
  <si>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</si>
  <si>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</si>
  <si>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</si>
  <si>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</si>
  <si>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</si>
  <si>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</si>
  <si>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</si>
  <si>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</si>
  <si>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</si>
  <si>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</si>
  <si>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</si>
  <si>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</si>
  <si>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</si>
  <si>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</si>
  <si>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</si>
  <si>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</si>
  <si>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</si>
  <si>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</si>
  <si>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</si>
  <si>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</si>
  <si>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</si>
  <si>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</si>
  <si>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</si>
  <si>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</si>
  <si>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</si>
  <si>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</si>
  <si>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</si>
  <si>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</si>
  <si>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</si>
  <si>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</si>
  <si>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</si>
  <si>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</si>
  <si>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</si>
  <si>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</si>
  <si>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</si>
  <si>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</si>
  <si>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</si>
  <si>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</si>
  <si>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</si>
  <si>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</si>
  <si>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</si>
  <si>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</si>
  <si>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</si>
  <si>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</si>
  <si>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</si>
  <si>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</si>
  <si>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</si>
  <si>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</si>
  <si>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</si>
  <si>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</si>
  <si>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</si>
  <si>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</si>
  <si>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</si>
  <si>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</si>
  <si>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</si>
  <si>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</si>
  <si>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</si>
  <si>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</si>
  <si>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</si>
  <si>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</si>
  <si>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</si>
  <si>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</si>
  <si>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</si>
  <si>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</si>
  <si>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</si>
  <si>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</si>
  <si>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</si>
  <si>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</si>
  <si>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</si>
  <si>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</si>
  <si>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</si>
  <si>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</si>
  <si>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</si>
  <si>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</si>
  <si>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</si>
  <si>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</si>
  <si>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</si>
  <si>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</si>
  <si>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</si>
  <si>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</si>
  <si>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</si>
  <si>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</si>
  <si>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</si>
  <si>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</si>
  <si>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</si>
  <si>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</si>
  <si>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</si>
  <si>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</si>
  <si>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</si>
  <si>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</si>
  <si>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</si>
  <si>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</si>
  <si>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</si>
  <si>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</si>
  <si>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</si>
  <si>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</si>
  <si>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</si>
  <si>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</si>
  <si>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</si>
  <si>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</si>
  <si>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</si>
  <si>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</si>
  <si>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</si>
  <si>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</si>
  <si>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</si>
  <si>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</si>
  <si>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</si>
  <si>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</si>
  <si>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</si>
  <si>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</si>
  <si>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</si>
  <si>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</si>
  <si>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</si>
  <si>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</si>
  <si>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</si>
  <si>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</si>
  <si>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</si>
  <si>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</si>
  <si>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</si>
  <si>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</si>
  <si>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</si>
  <si>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</si>
  <si>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</si>
  <si>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</si>
  <si>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</si>
  <si>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</si>
  <si>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</si>
  <si>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</si>
  <si>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</si>
  <si>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</si>
  <si>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</si>
  <si>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</si>
  <si>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</si>
  <si>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</si>
  <si>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</si>
  <si>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</si>
  <si>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</si>
  <si>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</si>
  <si>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</si>
  <si>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</si>
  <si>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</si>
  <si>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</si>
  <si>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</si>
  <si>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</si>
  <si>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</si>
  <si>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</si>
  <si>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</si>
  <si>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</si>
  <si>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</si>
  <si>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</si>
  <si>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</si>
  <si>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</si>
  <si>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</si>
  <si>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</si>
  <si>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</si>
  <si>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</si>
  <si>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</si>
  <si>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</si>
  <si>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</si>
  <si>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</si>
  <si>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</si>
  <si>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</si>
  <si>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</si>
  <si>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</si>
  <si>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</si>
  <si>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</si>
  <si>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</si>
  <si>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</si>
  <si>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</si>
  <si>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</si>
  <si>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</si>
  <si>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</si>
  <si>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</si>
  <si>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</si>
  <si>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</si>
  <si>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</si>
  <si>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</si>
  <si>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</si>
  <si>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</si>
  <si>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</si>
  <si>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</si>
  <si>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</si>
  <si>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</si>
  <si>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</si>
  <si>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</si>
  <si>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</si>
  <si>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</si>
  <si>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</si>
  <si>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</si>
  <si>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</si>
  <si>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</si>
  <si>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</si>
  <si>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</si>
  <si>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</si>
  <si>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</si>
  <si>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</si>
  <si>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</si>
  <si>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</si>
  <si>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</si>
  <si>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</si>
  <si>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</si>
  <si>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</si>
  <si>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</si>
  <si>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</si>
  <si>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</si>
  <si>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</si>
  <si>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</si>
  <si>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</si>
  <si>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</si>
  <si>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</si>
  <si>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</si>
  <si>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</si>
  <si>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</si>
  <si>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</si>
  <si>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</si>
  <si>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</si>
  <si>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</si>
  <si>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</si>
  <si>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</si>
  <si>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</si>
  <si>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</si>
  <si>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</si>
  <si>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</si>
  <si>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</si>
  <si>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</si>
  <si>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</si>
  <si>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</si>
  <si>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</si>
  <si>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</si>
  <si>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</si>
  <si>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</si>
  <si>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</si>
  <si>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</si>
  <si>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</si>
  <si>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</si>
  <si>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</si>
  <si>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</si>
  <si>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</si>
  <si>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</si>
  <si>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</si>
  <si>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</si>
  <si>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</si>
  <si>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</si>
  <si>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</si>
  <si>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</si>
  <si>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</si>
  <si>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</si>
  <si>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</si>
  <si>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</si>
  <si>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</si>
  <si>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</si>
  <si>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</si>
  <si>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</si>
  <si>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</si>
  <si>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</si>
  <si>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</si>
  <si>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</si>
  <si>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</si>
  <si>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</si>
  <si>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</si>
  <si>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</si>
  <si>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</si>
  <si>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</si>
  <si>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</si>
  <si>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</si>
  <si>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</si>
  <si>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</si>
  <si>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</si>
  <si>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</si>
  <si>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</si>
  <si>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</si>
  <si>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</si>
  <si>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</si>
  <si>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</si>
  <si>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</si>
  <si>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</si>
  <si>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</si>
  <si>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</si>
  <si>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</si>
  <si>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</si>
  <si>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</si>
  <si>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</si>
  <si>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</si>
  <si>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</si>
  <si>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</si>
  <si>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</si>
  <si>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</si>
  <si>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</si>
  <si>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</si>
  <si>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</si>
  <si>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</si>
  <si>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</si>
  <si>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</si>
  <si>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</si>
  <si>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</si>
  <si>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</si>
  <si>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</si>
  <si>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</si>
  <si>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</si>
  <si>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</si>
  <si>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</si>
  <si>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</si>
  <si>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</si>
  <si>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</si>
  <si>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</si>
  <si>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</si>
  <si>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</si>
  <si>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</si>
  <si>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</si>
  <si>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</si>
  <si>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</si>
  <si>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</si>
  <si>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</si>
  <si>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</si>
  <si>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</si>
  <si>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</si>
  <si>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</si>
  <si>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</si>
  <si>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</si>
  <si>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</si>
  <si>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</si>
  <si>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</si>
  <si>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</si>
  <si>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</si>
  <si>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</si>
  <si>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</si>
  <si>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</si>
  <si>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</si>
  <si>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</si>
  <si>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</si>
  <si>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</si>
  <si>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</si>
  <si>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</si>
  <si>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</si>
  <si>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</si>
  <si>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</si>
  <si>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</si>
  <si>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</si>
  <si>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</si>
  <si>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</si>
  <si>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</si>
  <si>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</si>
  <si>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</si>
  <si>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</si>
  <si>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</si>
  <si>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</si>
  <si>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</si>
  <si>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</si>
  <si>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</si>
  <si>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</si>
  <si>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</si>
  <si>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</si>
  <si>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</si>
  <si>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</si>
  <si>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</si>
  <si>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</si>
  <si>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</si>
  <si>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</si>
  <si>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</si>
  <si>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</si>
  <si>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</si>
  <si>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</si>
  <si>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</si>
  <si>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</si>
  <si>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</si>
  <si>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</si>
  <si>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</si>
  <si>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</si>
  <si>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</si>
  <si>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</si>
  <si>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</si>
  <si>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</si>
  <si>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</si>
  <si>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</si>
  <si>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</si>
  <si>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</si>
  <si>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</si>
  <si>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</si>
  <si>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</si>
  <si>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</si>
  <si>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</si>
  <si>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</si>
  <si>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</si>
  <si>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</si>
  <si>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</si>
  <si>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</si>
  <si>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</si>
  <si>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</si>
  <si>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</si>
  <si>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</si>
  <si>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</si>
  <si>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</si>
  <si>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</si>
  <si>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</si>
  <si>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</si>
  <si>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</si>
  <si>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</si>
  <si>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</si>
  <si>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</si>
  <si>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</si>
  <si>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</si>
  <si>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</si>
  <si>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</si>
  <si>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</si>
  <si>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</si>
  <si>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</si>
  <si>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</si>
  <si>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</si>
  <si>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</si>
  <si>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</si>
  <si>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</si>
  <si>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</si>
  <si>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</si>
  <si>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</si>
  <si>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</si>
  <si>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</si>
  <si>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</si>
  <si>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</si>
  <si>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</si>
  <si>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</si>
  <si>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</si>
  <si>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</si>
  <si>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</si>
  <si>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</si>
  <si>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</si>
  <si>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</si>
  <si>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</si>
  <si>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</si>
  <si>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</si>
  <si>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</si>
  <si>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</si>
  <si>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</si>
  <si>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</si>
  <si>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</si>
  <si>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</si>
  <si>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</si>
  <si>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</si>
  <si>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</si>
  <si>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</si>
  <si>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</si>
  <si>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</si>
  <si>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</si>
  <si>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</si>
  <si>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</si>
  <si>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</si>
  <si>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</si>
  <si>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</si>
  <si>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</si>
  <si>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</si>
  <si>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</si>
  <si>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</si>
  <si>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</si>
  <si>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</si>
  <si>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</si>
  <si>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</si>
  <si>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</si>
  <si>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</si>
  <si>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</si>
  <si>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</si>
  <si>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</si>
  <si>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</si>
  <si>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</si>
  <si>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</si>
  <si>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</si>
  <si>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</si>
  <si>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</si>
  <si>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</si>
  <si>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</si>
  <si>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</si>
  <si>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</si>
  <si>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</si>
  <si>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</si>
  <si>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</si>
  <si>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</si>
  <si>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</si>
  <si>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</si>
  <si>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</si>
  <si>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</si>
  <si>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</si>
  <si>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</si>
  <si>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</si>
  <si>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</si>
  <si>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</si>
  <si>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</si>
  <si>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</si>
  <si>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</si>
  <si>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</si>
  <si>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</si>
  <si>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</si>
  <si>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</si>
  <si>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</si>
  <si>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</si>
  <si>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</si>
  <si>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</si>
  <si>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</si>
  <si>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</si>
  <si>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</si>
  <si>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</si>
  <si>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</si>
  <si>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</si>
  <si>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</si>
  <si>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</si>
  <si>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</si>
  <si>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</si>
  <si>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</si>
  <si>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</si>
  <si>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</si>
  <si>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</si>
  <si>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</si>
  <si>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</si>
  <si>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</si>
  <si>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</si>
  <si>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</si>
  <si>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</si>
  <si>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</si>
  <si>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</si>
  <si>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</si>
  <si>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</si>
  <si>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</si>
  <si>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</si>
  <si>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</si>
  <si>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</si>
  <si>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</si>
  <si>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</si>
  <si>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</si>
  <si>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</si>
  <si>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</si>
  <si>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</si>
  <si>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</si>
  <si>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</si>
  <si>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</si>
  <si>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</si>
  <si>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</si>
  <si>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</si>
  <si>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</si>
  <si>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</si>
  <si>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</si>
  <si>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</si>
  <si>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</si>
  <si>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</si>
  <si>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</si>
  <si>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</si>
  <si>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</si>
  <si>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</si>
  <si>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</si>
  <si>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</si>
  <si>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</si>
  <si>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</si>
  <si>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</si>
  <si>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</si>
  <si>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</si>
  <si>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</si>
  <si>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</si>
  <si>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</si>
  <si>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</si>
  <si>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</si>
  <si>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</si>
  <si>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</si>
  <si>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</si>
  <si>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</si>
  <si>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</si>
  <si>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</si>
  <si>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</si>
  <si>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</si>
  <si>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</si>
  <si>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</si>
  <si>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</si>
  <si>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</si>
  <si>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</si>
  <si>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</si>
  <si>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</si>
  <si>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</si>
  <si>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</si>
  <si>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</si>
  <si>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</si>
  <si>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</si>
  <si>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</si>
  <si>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</si>
  <si>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</si>
  <si>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</si>
  <si>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</si>
  <si>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</si>
  <si>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</si>
  <si>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</si>
  <si>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</si>
  <si>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</si>
  <si>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</si>
  <si>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</si>
  <si>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</si>
  <si>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</si>
  <si>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</si>
  <si>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</si>
  <si>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</si>
  <si>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</si>
  <si>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</si>
  <si>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</si>
  <si>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</si>
  <si>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</si>
  <si>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</si>
  <si>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</si>
  <si>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</si>
  <si>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</si>
  <si>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</si>
  <si>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</si>
  <si>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</si>
  <si>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</si>
  <si>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</si>
  <si>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</si>
  <si>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</si>
  <si>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</si>
  <si>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</si>
  <si>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</si>
  <si>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</si>
  <si>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</si>
  <si>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</si>
  <si>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</si>
  <si>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</si>
  <si>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</si>
  <si>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</si>
  <si>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</si>
  <si>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</si>
  <si>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</si>
  <si>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</si>
  <si>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</si>
  <si>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</si>
  <si>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</si>
  <si>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</si>
  <si>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</si>
  <si>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</si>
  <si>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</si>
  <si>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</si>
  <si>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</si>
  <si>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</si>
  <si>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</si>
  <si>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</si>
  <si>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</si>
  <si>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</si>
  <si>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</si>
  <si>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</si>
  <si>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</si>
  <si>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</si>
  <si>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</si>
  <si>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</si>
  <si>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</si>
  <si>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</si>
  <si>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</si>
  <si>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</si>
  <si>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</si>
  <si>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</si>
  <si>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</si>
  <si>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</si>
  <si>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</si>
  <si>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</si>
  <si>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</si>
  <si>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</si>
  <si>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</si>
  <si>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</si>
  <si>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</si>
  <si>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</si>
  <si>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</si>
  <si>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</si>
  <si>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</si>
  <si>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</si>
  <si>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</si>
  <si>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</si>
  <si>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</si>
  <si>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</si>
  <si>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</si>
  <si>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</si>
  <si>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</si>
  <si>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</si>
  <si>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</si>
  <si>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</si>
  <si>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</si>
  <si>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</si>
  <si>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</si>
  <si>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</si>
  <si>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</si>
  <si>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</si>
  <si>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</si>
  <si>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</si>
  <si>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</si>
  <si>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</si>
  <si>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</si>
  <si>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</si>
  <si>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</si>
  <si>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</si>
  <si>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</si>
  <si>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</si>
  <si>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</si>
  <si>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</si>
  <si>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</si>
  <si>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</si>
  <si>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</si>
  <si>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</si>
  <si>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</si>
  <si>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</si>
  <si>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</si>
  <si>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</si>
  <si>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</si>
  <si>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</si>
  <si>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</si>
  <si>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</si>
  <si>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</si>
  <si>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</si>
  <si>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</si>
  <si>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</si>
  <si>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</si>
  <si>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</si>
  <si>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</si>
  <si>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</si>
  <si>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</si>
  <si>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</si>
  <si>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</si>
  <si>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</si>
  <si>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</si>
  <si>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</si>
  <si>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</si>
  <si>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</si>
  <si>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</si>
  <si>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</si>
  <si>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</si>
  <si>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</si>
  <si>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</si>
  <si>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</si>
  <si>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</si>
  <si>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</si>
  <si>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</si>
  <si>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</si>
  <si>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</si>
  <si>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</si>
  <si>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</si>
  <si>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</si>
  <si>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</si>
  <si>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</si>
  <si>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</si>
  <si>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</si>
  <si>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</si>
  <si>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</si>
  <si>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</si>
  <si>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</si>
  <si>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</si>
  <si>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</si>
  <si>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</si>
  <si>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</si>
  <si>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</si>
  <si>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</si>
  <si>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</si>
  <si>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</si>
  <si>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</si>
  <si>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</si>
  <si>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</si>
  <si>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</si>
  <si>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</si>
  <si>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</si>
  <si>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</si>
  <si>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</si>
  <si>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</si>
  <si>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</si>
  <si>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</si>
  <si>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</si>
  <si>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</si>
  <si>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</si>
  <si>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</si>
  <si>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</si>
  <si>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</si>
  <si>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</si>
  <si>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</si>
  <si>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</si>
  <si>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</si>
  <si>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</si>
  <si>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</si>
  <si>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</si>
  <si>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</si>
  <si>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</si>
  <si>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</si>
  <si>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</si>
  <si>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</si>
  <si>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</si>
  <si>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</si>
  <si>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</si>
  <si>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</si>
  <si>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</si>
  <si>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</si>
  <si>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</si>
  <si>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</si>
  <si>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</si>
  <si>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</si>
  <si>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</si>
  <si>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</si>
  <si>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</si>
  <si>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</si>
  <si>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</si>
  <si>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</si>
  <si>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</si>
  <si>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</si>
  <si>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</si>
  <si>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</si>
  <si>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</si>
  <si>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</si>
  <si>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</si>
  <si>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</si>
  <si>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</si>
  <si>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</si>
  <si>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</si>
  <si>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</si>
  <si>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</si>
  <si>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</si>
  <si>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</si>
  <si>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</si>
  <si>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</si>
  <si>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</si>
  <si>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</si>
  <si>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</si>
  <si>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</si>
  <si>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</si>
  <si>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</si>
  <si>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</si>
  <si>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</si>
  <si>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</si>
  <si>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</si>
  <si>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</si>
  <si>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</si>
  <si>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</si>
  <si>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</si>
  <si>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</si>
  <si>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</si>
  <si>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</si>
  <si>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</si>
  <si>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</si>
  <si>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</si>
  <si>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</si>
  <si>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</si>
  <si>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</si>
  <si>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</si>
  <si>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</si>
  <si>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</si>
  <si>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</si>
  <si>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</si>
  <si>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</si>
  <si>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</si>
  <si>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</si>
  <si>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</si>
  <si>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</si>
  <si>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</si>
  <si>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</si>
  <si>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</si>
  <si>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</si>
  <si>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</si>
  <si>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</si>
  <si>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</si>
  <si>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</si>
  <si>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</si>
  <si>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</si>
  <si>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</si>
  <si>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</si>
  <si>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</si>
  <si>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</si>
  <si>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</si>
  <si>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</si>
  <si>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</si>
  <si>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</si>
  <si>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</si>
  <si>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</si>
  <si>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</si>
  <si>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</si>
  <si>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</si>
  <si>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</si>
  <si>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</si>
  <si>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</si>
  <si>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</si>
  <si>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</si>
  <si>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</si>
  <si>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</si>
  <si>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</si>
  <si>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</si>
  <si>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</si>
  <si>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</si>
  <si>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</si>
  <si>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</si>
  <si>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</si>
  <si>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</si>
  <si>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</si>
  <si>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</si>
  <si>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</si>
  <si>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</si>
  <si>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</si>
  <si>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</si>
  <si>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</si>
  <si>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</si>
  <si>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</si>
  <si>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</si>
  <si>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</si>
  <si>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</si>
  <si>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</si>
  <si>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</si>
  <si>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</si>
  <si>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</si>
  <si>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</si>
  <si>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</si>
  <si>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</si>
  <si>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</si>
  <si>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</si>
  <si>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</si>
  <si>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</si>
  <si>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</si>
  <si>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</si>
  <si>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</si>
  <si>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</si>
  <si>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</si>
  <si>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</si>
  <si>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</si>
  <si>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</si>
  <si>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</si>
  <si>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</si>
  <si>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</si>
  <si>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</si>
  <si>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</si>
  <si>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</si>
  <si>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</si>
  <si>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</si>
  <si>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</si>
  <si>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</si>
  <si>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</si>
  <si>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</si>
  <si>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</si>
  <si>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</si>
  <si>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</si>
  <si>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</si>
  <si>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</si>
  <si>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</si>
  <si>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</si>
  <si>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</si>
  <si>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</si>
  <si>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</si>
  <si>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</si>
  <si>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</si>
  <si>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</si>
  <si>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</si>
  <si>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</si>
  <si>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</si>
  <si>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</si>
  <si>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</si>
  <si>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</si>
  <si>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</si>
  <si>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</si>
  <si>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</si>
  <si>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</si>
  <si>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</si>
  <si>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</si>
  <si>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</si>
  <si>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</si>
  <si>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</si>
  <si>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</si>
  <si>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</si>
  <si>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</si>
  <si>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</si>
  <si>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</si>
  <si>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</si>
  <si>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</si>
  <si>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</si>
  <si>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</si>
  <si>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</si>
  <si>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</si>
  <si>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</si>
  <si>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</si>
  <si>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</si>
  <si>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</si>
  <si>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</si>
  <si>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</si>
  <si>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</si>
  <si>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</si>
  <si>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</si>
  <si>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</si>
  <si>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</si>
  <si>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</si>
  <si>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</si>
  <si>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</si>
  <si>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</si>
  <si>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</si>
  <si>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</si>
  <si>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</si>
  <si>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</si>
  <si>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</si>
  <si>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</si>
  <si>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</si>
  <si>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</si>
  <si>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</si>
  <si>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</si>
  <si>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</si>
  <si>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</si>
  <si>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</si>
  <si>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</si>
  <si>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</si>
  <si>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</si>
  <si>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</si>
  <si>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</si>
  <si>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</si>
  <si>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</si>
  <si>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</si>
  <si>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</si>
  <si>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</si>
  <si>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</si>
  <si>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</si>
  <si>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</si>
  <si>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</si>
  <si>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</si>
  <si>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</si>
  <si>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</si>
  <si>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</si>
  <si>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</si>
  <si>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</si>
  <si>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</si>
  <si>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</si>
  <si>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</si>
  <si>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</si>
  <si>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</si>
  <si>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</si>
  <si>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</si>
  <si>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</si>
  <si>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</si>
  <si>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</si>
  <si>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</si>
  <si>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</si>
  <si>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</si>
  <si>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</si>
  <si>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</si>
  <si>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</si>
  <si>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</si>
  <si>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</si>
  <si>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</si>
  <si>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</si>
  <si>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</si>
  <si>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</si>
  <si>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</si>
  <si>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</si>
  <si>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</si>
  <si>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</si>
  <si>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</si>
  <si>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</si>
  <si>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</si>
  <si>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</si>
  <si>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</si>
  <si>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</si>
  <si>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</si>
  <si>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</si>
  <si>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</si>
  <si>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</si>
  <si>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</si>
  <si>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</si>
  <si>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</si>
  <si>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</si>
  <si>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</si>
  <si>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</si>
  <si>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</si>
  <si>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</si>
  <si>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</si>
  <si>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</si>
  <si>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</si>
  <si>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</si>
  <si>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</si>
  <si>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</si>
  <si>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</si>
  <si>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</si>
  <si>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</si>
  <si>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</si>
  <si>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</si>
  <si>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</si>
  <si>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</si>
  <si>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</si>
  <si>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</si>
  <si>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</si>
  <si>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</si>
  <si>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</si>
  <si>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</si>
  <si>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</si>
  <si>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</si>
  <si>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</si>
  <si>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</si>
  <si>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</si>
  <si>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</si>
  <si>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</si>
  <si>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</si>
  <si>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</si>
  <si>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</si>
  <si>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</si>
  <si>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</si>
  <si>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</si>
  <si>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</si>
  <si>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</si>
  <si>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</si>
  <si>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</si>
  <si>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</si>
  <si>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</si>
  <si>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</si>
  <si>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</si>
  <si>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</si>
  <si>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</si>
  <si>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</si>
  <si>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</si>
  <si>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</si>
  <si>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</si>
  <si>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</si>
  <si>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</si>
  <si>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</si>
  <si>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</si>
  <si>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</si>
  <si>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</si>
  <si>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</si>
  <si>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</si>
  <si>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</si>
  <si>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</si>
  <si>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</si>
  <si>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</si>
  <si>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</si>
  <si>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</si>
  <si>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</si>
  <si>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</si>
  <si>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</si>
  <si>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</si>
  <si>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</si>
  <si>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</si>
  <si>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</si>
  <si>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</si>
  <si>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</si>
  <si>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</si>
  <si>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</si>
  <si>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</si>
  <si>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</si>
  <si>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</si>
  <si>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</si>
  <si>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</si>
  <si>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</si>
  <si>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</si>
  <si>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</si>
  <si>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</si>
  <si>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</si>
  <si>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</si>
  <si>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</si>
  <si>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</si>
  <si>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</si>
  <si>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</si>
  <si>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</si>
  <si>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</si>
  <si>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</si>
  <si>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</si>
  <si>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</si>
  <si>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</si>
  <si>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</si>
  <si>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</si>
  <si>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</si>
  <si>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</si>
  <si>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</si>
  <si>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</si>
  <si>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</si>
  <si>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</si>
  <si>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</si>
  <si>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</si>
  <si>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</si>
  <si>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</si>
  <si>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</si>
  <si>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</si>
  <si>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</si>
  <si>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</si>
  <si>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</si>
  <si>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</si>
  <si>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</si>
  <si>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</si>
  <si>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</si>
  <si>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</si>
  <si>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</si>
  <si>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</si>
  <si>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</si>
  <si>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</si>
  <si>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</si>
  <si>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</si>
  <si>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</si>
  <si>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</si>
  <si>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</si>
  <si>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</si>
  <si>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</si>
  <si>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</si>
  <si>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</si>
  <si>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</si>
  <si>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</si>
  <si>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</si>
  <si>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</si>
  <si>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</si>
  <si>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</si>
  <si>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</si>
  <si>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</si>
  <si>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</si>
  <si>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</si>
  <si>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</si>
  <si>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</si>
  <si>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</si>
  <si>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</si>
  <si>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</si>
  <si>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</si>
  <si>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</si>
  <si>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</si>
  <si>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</si>
  <si>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</si>
  <si>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</si>
  <si>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</si>
  <si>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</si>
  <si>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</si>
  <si>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</si>
  <si>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</si>
  <si>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</si>
  <si>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</si>
  <si>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</si>
  <si>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</si>
  <si>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</si>
  <si>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</si>
  <si>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</si>
  <si>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</si>
  <si>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</si>
  <si>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</si>
  <si>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</si>
  <si>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</si>
  <si>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</si>
  <si>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</si>
  <si>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</si>
  <si>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</si>
  <si>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</si>
  <si>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</si>
  <si>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</si>
  <si>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</si>
  <si>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</si>
  <si>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</si>
  <si>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</si>
  <si>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</si>
  <si>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</si>
  <si>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</si>
  <si>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</si>
  <si>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</si>
  <si>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</si>
  <si>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</si>
  <si>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</si>
  <si>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</si>
  <si>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</si>
  <si>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</si>
  <si>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</si>
  <si>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</si>
  <si>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</si>
  <si>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</si>
  <si>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</si>
  <si>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</si>
  <si>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</si>
  <si>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</si>
  <si>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</si>
  <si>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</si>
  <si>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</si>
  <si>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</si>
  <si>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</si>
  <si>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</si>
  <si>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</si>
  <si>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</si>
  <si>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</si>
  <si>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</si>
  <si>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</si>
  <si>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</si>
  <si>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</si>
  <si>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</si>
  <si>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</si>
  <si>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</si>
  <si>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</si>
  <si>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</si>
  <si>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</si>
  <si>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</si>
  <si>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</si>
  <si>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</si>
  <si>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</si>
  <si>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</si>
  <si>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</si>
  <si>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</si>
  <si>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</si>
  <si>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</si>
  <si>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</si>
  <si>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</si>
  <si>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</si>
  <si>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</si>
  <si>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</si>
  <si>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</si>
  <si>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</si>
  <si>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</si>
  <si>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</si>
  <si>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</si>
  <si>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</si>
  <si>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</si>
  <si>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</si>
  <si>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</si>
  <si>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</si>
  <si>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</si>
  <si>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</si>
  <si>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</si>
  <si>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</si>
  <si>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</si>
  <si>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</si>
  <si>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</si>
  <si>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</si>
  <si>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</si>
  <si>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</si>
  <si>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</si>
  <si>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</si>
  <si>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</si>
  <si>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</si>
  <si>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</si>
  <si>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</si>
  <si>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</si>
  <si>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</si>
  <si>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</si>
  <si>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</si>
  <si>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</si>
  <si>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</si>
  <si>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</si>
  <si>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</si>
  <si>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</si>
  <si>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</si>
  <si>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</si>
  <si>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</si>
  <si>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</si>
  <si>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</si>
  <si>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</si>
  <si>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</si>
  <si>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</si>
  <si>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</si>
  <si>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</si>
  <si>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</si>
  <si>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</si>
  <si>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</si>
  <si>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</si>
  <si>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</si>
  <si>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</si>
  <si>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</si>
  <si>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</si>
  <si>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</si>
  <si>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</si>
  <si>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</si>
  <si>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</si>
  <si>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</si>
  <si>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</si>
  <si>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</si>
  <si>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</si>
  <si>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</si>
  <si>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</si>
  <si>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</si>
  <si>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</si>
  <si>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</si>
  <si>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</si>
  <si>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</si>
  <si>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</si>
  <si>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</si>
  <si>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</si>
  <si>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</si>
  <si>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</si>
  <si>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</si>
  <si>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</si>
  <si>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</si>
  <si>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</si>
  <si>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</si>
  <si>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</si>
  <si>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</si>
  <si>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</si>
  <si>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</si>
  <si>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</si>
  <si>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</si>
  <si>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</si>
  <si>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</si>
  <si>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</si>
  <si>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</si>
  <si>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</si>
  <si>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</si>
  <si>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</si>
  <si>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</si>
  <si>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</si>
  <si>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</si>
  <si>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</si>
  <si>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</si>
  <si>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</si>
  <si>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</si>
  <si>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</si>
  <si>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</si>
  <si>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</si>
  <si>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</si>
  <si>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</si>
  <si>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</si>
  <si>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</si>
  <si>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</si>
  <si>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</si>
  <si>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</si>
  <si>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</si>
  <si>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</si>
  <si>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</si>
  <si>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</si>
  <si>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</si>
  <si>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</si>
  <si>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</si>
  <si>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</si>
  <si>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</si>
  <si>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</si>
  <si>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</si>
  <si>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</si>
  <si>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</si>
  <si>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</si>
  <si>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</si>
  <si>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</si>
  <si>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</si>
  <si>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</si>
  <si>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</si>
  <si>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</si>
  <si>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</si>
  <si>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</si>
  <si>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</si>
  <si>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</si>
  <si>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</si>
  <si>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</si>
  <si>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</si>
  <si>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</si>
  <si>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</si>
  <si>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</si>
  <si>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</si>
  <si>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</si>
  <si>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</si>
  <si>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</si>
  <si>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</si>
  <si>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</si>
  <si>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</si>
  <si>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</si>
  <si>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</si>
  <si>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</si>
  <si>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</si>
  <si>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</si>
  <si>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</si>
  <si>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</si>
  <si>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</si>
  <si>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</si>
  <si>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</si>
  <si>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</si>
  <si>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</si>
  <si>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</si>
  <si>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</si>
  <si>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</si>
  <si>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</si>
  <si>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</si>
  <si>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</si>
  <si>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</si>
  <si>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</si>
  <si>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</si>
  <si>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</si>
  <si>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</si>
  <si>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</si>
  <si>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</si>
  <si>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</si>
  <si>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</si>
  <si>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</si>
  <si>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</si>
  <si>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</si>
  <si>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</si>
  <si>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</si>
  <si>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</si>
  <si>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</si>
  <si>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</si>
  <si>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</si>
  <si>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</si>
  <si>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</si>
  <si>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</si>
  <si>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</si>
  <si>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</si>
  <si>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</si>
  <si>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</si>
  <si>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</si>
  <si>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</si>
  <si>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</si>
  <si>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</si>
  <si>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</si>
  <si>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</si>
  <si>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</si>
  <si>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</si>
  <si>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</si>
  <si>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</si>
  <si>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</si>
  <si>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</si>
  <si>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</si>
  <si>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</si>
  <si>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</si>
  <si>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</si>
  <si>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</si>
  <si>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</si>
  <si>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</si>
  <si>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</si>
  <si>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</si>
  <si>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</si>
  <si>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</si>
  <si>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</si>
  <si>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</si>
  <si>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</si>
  <si>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</si>
  <si>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</si>
  <si>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</si>
  <si>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</si>
  <si>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</si>
  <si>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</si>
  <si>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</si>
  <si>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</si>
  <si>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</si>
  <si>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</si>
  <si>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</si>
  <si>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</si>
  <si>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</si>
  <si>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</si>
  <si>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</si>
  <si>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</si>
  <si>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</si>
  <si>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</si>
  <si>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</si>
  <si>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</si>
  <si>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</si>
  <si>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</si>
  <si>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</si>
  <si>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</si>
  <si>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</si>
  <si>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</si>
  <si>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</si>
  <si>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</si>
  <si>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</si>
  <si>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</si>
  <si>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</si>
  <si>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</si>
  <si>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</si>
  <si>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</si>
  <si>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</si>
  <si>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</si>
  <si>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</si>
  <si>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</si>
  <si>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</si>
  <si>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</si>
  <si>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</si>
  <si>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</si>
  <si>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</si>
  <si>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</si>
  <si>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</si>
  <si>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</si>
  <si>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</si>
  <si>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</si>
  <si>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</si>
  <si>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</si>
  <si>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</si>
  <si>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</si>
  <si>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</si>
  <si>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</si>
  <si>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</si>
  <si>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</si>
  <si>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</si>
  <si>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</si>
  <si>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</si>
  <si>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</si>
  <si>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</si>
  <si>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</si>
  <si>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</si>
  <si>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</si>
  <si>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</si>
  <si>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</si>
  <si>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</si>
  <si>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</si>
  <si>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</si>
  <si>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</si>
  <si>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</si>
  <si>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</si>
  <si>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</si>
  <si>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</si>
  <si>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</si>
  <si>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</si>
  <si>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</si>
  <si>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</si>
  <si>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</si>
  <si>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</si>
  <si>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</si>
  <si>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</si>
  <si>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</si>
  <si>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</si>
  <si>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</si>
  <si>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</si>
  <si>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</si>
  <si>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</si>
  <si>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</si>
  <si>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</si>
  <si>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</si>
  <si>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</si>
  <si>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</si>
  <si>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</si>
  <si>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</si>
  <si>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</si>
  <si>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</si>
  <si>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</si>
  <si>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</si>
  <si>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</si>
  <si>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</si>
  <si>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</si>
  <si>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</si>
  <si>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</si>
  <si>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</si>
  <si>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</si>
  <si>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</si>
  <si>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</si>
  <si>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</si>
  <si>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</si>
  <si>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</si>
  <si>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</si>
  <si>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</si>
  <si>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</si>
  <si>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</si>
  <si>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</si>
  <si>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</si>
  <si>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</si>
  <si>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</si>
  <si>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</si>
  <si>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</si>
  <si>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</si>
  <si>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</si>
  <si>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</si>
  <si>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</si>
  <si>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</si>
  <si>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</si>
  <si>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</si>
  <si>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</si>
  <si>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</si>
  <si>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</si>
  <si>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</si>
  <si>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</si>
  <si>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</si>
  <si>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</si>
  <si>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</si>
  <si>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</si>
  <si>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</si>
  <si>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</si>
  <si>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</si>
  <si>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</si>
  <si>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</si>
  <si>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</si>
  <si>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</si>
  <si>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</si>
  <si>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</si>
  <si>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</si>
  <si>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</si>
  <si>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</si>
  <si>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</si>
  <si>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</si>
  <si>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</si>
  <si>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</si>
  <si>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</si>
  <si>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</si>
  <si>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</si>
  <si>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</si>
  <si>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</si>
  <si>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</si>
  <si>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</si>
  <si>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</si>
  <si>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</si>
  <si>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</si>
  <si>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</si>
  <si>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</si>
  <si>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</si>
  <si>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</si>
  <si>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</si>
  <si>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</si>
  <si>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</si>
  <si>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</si>
  <si>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</si>
  <si>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</si>
  <si>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</si>
  <si>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</si>
  <si>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</si>
  <si>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</si>
  <si>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</si>
  <si>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</si>
  <si>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</si>
  <si>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</si>
  <si>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</si>
  <si>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</si>
  <si>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</si>
  <si>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</si>
  <si>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</si>
  <si>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</si>
  <si>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</si>
  <si>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</si>
  <si>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</si>
  <si>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</si>
  <si>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</si>
  <si>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</si>
  <si>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</si>
  <si>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</si>
  <si>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</si>
  <si>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</si>
  <si>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</si>
  <si>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</si>
  <si>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</si>
  <si>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</si>
  <si>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</si>
  <si>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</si>
  <si>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</si>
  <si>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</si>
  <si>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</si>
  <si>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</si>
  <si>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</si>
  <si>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</si>
  <si>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</si>
  <si>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</si>
  <si>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</si>
  <si>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</si>
  <si>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</si>
  <si>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</si>
  <si>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</si>
  <si>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</si>
  <si>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</si>
  <si>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</si>
  <si>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</si>
  <si>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</si>
  <si>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</si>
  <si>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</si>
  <si>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</si>
  <si>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</si>
  <si>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</si>
  <si>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</si>
  <si>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</si>
  <si>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</si>
  <si>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</si>
  <si>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</si>
  <si>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</si>
  <si>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</si>
  <si>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</si>
  <si>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</si>
  <si>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</si>
  <si>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</si>
  <si>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</si>
  <si>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</si>
  <si>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</si>
  <si>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</si>
  <si>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</si>
  <si>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</si>
  <si>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</si>
  <si>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</si>
  <si>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</si>
  <si>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</si>
  <si>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</si>
  <si>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</si>
  <si>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</si>
  <si>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</si>
  <si>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</si>
  <si>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</si>
  <si>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</si>
  <si>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</si>
  <si>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</si>
  <si>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</si>
  <si>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</si>
  <si>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</si>
  <si>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</si>
  <si>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</si>
  <si>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</si>
  <si>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</si>
  <si>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</si>
  <si>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</si>
  <si>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</si>
  <si>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</si>
  <si>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</si>
  <si>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</si>
  <si>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</si>
  <si>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</si>
  <si>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</si>
  <si>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</si>
  <si>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</si>
  <si>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</si>
  <si>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</si>
  <si>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</si>
  <si>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</si>
  <si>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</si>
  <si>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</si>
  <si>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</si>
  <si>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</si>
  <si>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</si>
  <si>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</si>
  <si>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</si>
  <si>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</si>
  <si>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</si>
  <si>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</si>
  <si>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</si>
  <si>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</si>
  <si>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</si>
  <si>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</si>
  <si>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</si>
  <si>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</si>
  <si>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</si>
  <si>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</si>
  <si>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</si>
  <si>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</si>
  <si>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</si>
  <si>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</si>
  <si>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</si>
  <si>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</si>
  <si>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</si>
  <si>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</si>
  <si>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</si>
  <si>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</si>
  <si>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</si>
  <si>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</si>
  <si>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</si>
  <si>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</si>
  <si>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</si>
  <si>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</si>
  <si>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</si>
  <si>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</si>
  <si>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</si>
  <si>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</si>
  <si>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</si>
  <si>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</si>
  <si>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</si>
  <si>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</si>
  <si>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</si>
  <si>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</si>
  <si>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</si>
  <si>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</si>
  <si>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</si>
  <si>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</si>
  <si>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</si>
  <si>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</si>
  <si>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</si>
  <si>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</si>
  <si>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</si>
  <si>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</si>
  <si>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</si>
  <si>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</si>
  <si>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</si>
  <si>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</si>
  <si>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</si>
  <si>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</si>
  <si>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</si>
  <si>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</si>
  <si>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</si>
  <si>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</si>
  <si>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</si>
  <si>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</si>
  <si>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</si>
  <si>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</si>
  <si>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</si>
  <si>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</si>
  <si>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</si>
  <si>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</si>
  <si>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</si>
  <si>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</si>
  <si>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</si>
  <si>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</si>
  <si>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</si>
  <si>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</si>
  <si>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</si>
  <si>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</si>
  <si>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</si>
  <si>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</si>
  <si>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</si>
  <si>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</si>
  <si>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</si>
  <si>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</si>
  <si>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</si>
  <si>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</si>
  <si>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</si>
  <si>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</si>
  <si>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</si>
  <si>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</si>
  <si>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</si>
  <si>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</si>
  <si>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</si>
  <si>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</si>
  <si>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</si>
  <si>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</si>
  <si>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</si>
  <si>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</si>
  <si>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</si>
  <si>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</si>
  <si>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</si>
  <si>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</si>
  <si>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</si>
  <si>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</si>
  <si>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</si>
  <si>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</si>
  <si>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</si>
  <si>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</si>
  <si>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</si>
  <si>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</si>
  <si>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</si>
  <si>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</si>
  <si>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</si>
  <si>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</si>
  <si>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</si>
  <si>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</si>
  <si>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</si>
  <si>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</si>
  <si>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</si>
  <si>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</si>
  <si>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</si>
  <si>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</si>
  <si>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</si>
  <si>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</si>
  <si>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</si>
  <si>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</si>
  <si>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</si>
  <si>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</si>
  <si>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</si>
  <si>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</si>
  <si>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</si>
  <si>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</si>
  <si>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</si>
  <si>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</si>
  <si>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</si>
  <si>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</si>
  <si>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</si>
  <si>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</si>
  <si>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</si>
  <si>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</si>
  <si>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</si>
  <si>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</si>
  <si>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</si>
  <si>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</si>
  <si>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</si>
  <si>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</si>
  <si>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</si>
  <si>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</si>
  <si>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</si>
  <si>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</si>
  <si>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</si>
  <si>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</si>
  <si>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</si>
  <si>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</si>
  <si>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</si>
  <si>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</si>
  <si>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</si>
  <si>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</si>
  <si>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</si>
  <si>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</si>
  <si>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</si>
  <si>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</si>
  <si>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</si>
  <si>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</si>
  <si>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</si>
  <si>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</si>
  <si>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</si>
  <si>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</si>
  <si>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</si>
  <si>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</si>
  <si>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</si>
  <si>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</si>
  <si>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</si>
  <si>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</si>
  <si>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</si>
  <si>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</si>
  <si>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</si>
  <si>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</si>
  <si>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</si>
  <si>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</si>
  <si>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</si>
  <si>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</si>
  <si>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</si>
  <si>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</si>
  <si>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</si>
  <si>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</si>
  <si>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</si>
  <si>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</si>
  <si>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</si>
  <si>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</si>
  <si>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</si>
  <si>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</si>
  <si>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</si>
  <si>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</si>
  <si>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</si>
  <si>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</si>
  <si>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</si>
  <si>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</si>
  <si>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</si>
  <si>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</si>
  <si>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</si>
  <si>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</si>
  <si>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</si>
  <si>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</si>
  <si>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</si>
  <si>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</si>
  <si>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</si>
  <si>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</si>
  <si>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</si>
  <si>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</si>
  <si>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</si>
  <si>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</si>
  <si>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</si>
  <si>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</si>
  <si>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</si>
  <si>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</si>
  <si>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</si>
  <si>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</si>
  <si>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</si>
  <si>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</si>
  <si>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</si>
  <si>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</si>
  <si>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</si>
  <si>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</si>
  <si>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</si>
  <si>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</si>
  <si>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</si>
  <si>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</si>
  <si>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</si>
  <si>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</si>
  <si>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</si>
  <si>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</si>
  <si>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</si>
  <si>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</si>
  <si>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</si>
  <si>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</si>
  <si>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</si>
  <si>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</si>
  <si>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</si>
  <si>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</si>
  <si>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</si>
  <si>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</si>
  <si>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</si>
  <si>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</si>
  <si>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</si>
  <si>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</si>
  <si>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</si>
  <si>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</si>
  <si>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</si>
  <si>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</si>
  <si>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</si>
  <si>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</si>
  <si>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</si>
  <si>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</si>
  <si>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</si>
  <si>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</si>
  <si>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</si>
  <si>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</si>
  <si>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</si>
  <si>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</si>
  <si>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</si>
  <si>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</si>
  <si>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</si>
  <si>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</si>
  <si>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</si>
  <si>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</si>
  <si>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</si>
  <si>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</si>
  <si>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</si>
  <si>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</si>
  <si>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</si>
  <si>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</si>
  <si>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</si>
  <si>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</si>
  <si>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</si>
  <si>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</si>
  <si>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</si>
  <si>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</si>
  <si>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</si>
  <si>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</si>
  <si>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</si>
  <si>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</si>
  <si>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</si>
  <si>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</si>
  <si>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</si>
  <si>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</si>
  <si>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</si>
  <si>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</si>
  <si>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</si>
  <si>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</si>
  <si>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</si>
  <si>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</si>
  <si>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</si>
  <si>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</si>
  <si>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</si>
  <si>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</si>
  <si>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</si>
  <si>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</si>
  <si>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</si>
  <si>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</si>
  <si>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</si>
  <si>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</si>
  <si>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</si>
  <si>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</si>
  <si>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</si>
  <si>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</si>
  <si>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</si>
  <si>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</si>
  <si>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</si>
  <si>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</si>
  <si>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</si>
  <si>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</si>
  <si>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</si>
  <si>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</si>
  <si>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</si>
  <si>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</si>
  <si>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</si>
  <si>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</si>
  <si>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</si>
  <si>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</si>
  <si>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</si>
  <si>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</si>
  <si>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</si>
  <si>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</si>
  <si>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</si>
  <si>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</si>
  <si>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</si>
  <si>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</si>
  <si>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</si>
  <si>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</si>
  <si>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</si>
  <si>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</si>
  <si>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</si>
  <si>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</si>
  <si>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</si>
  <si>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</si>
  <si>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</si>
  <si>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</si>
  <si>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</si>
  <si>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</si>
  <si>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</si>
  <si>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</si>
  <si>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</si>
  <si>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</si>
  <si>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</si>
  <si>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</si>
  <si>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</si>
  <si>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</si>
  <si>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</si>
  <si>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</si>
  <si>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</si>
  <si>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</si>
  <si>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</si>
  <si>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</si>
  <si>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</si>
  <si>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</si>
  <si>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</si>
  <si>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</si>
  <si>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</si>
  <si>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</si>
  <si>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</si>
  <si>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</si>
  <si>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</si>
  <si>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</si>
  <si>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</si>
  <si>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</si>
  <si>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</si>
  <si>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</si>
  <si>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</si>
  <si>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</si>
  <si>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</si>
  <si>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</si>
  <si>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</si>
  <si>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</si>
  <si>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</si>
  <si>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</si>
  <si>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</si>
  <si>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</si>
  <si>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</si>
  <si>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</si>
  <si>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</si>
  <si>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</si>
  <si>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</si>
  <si>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</si>
  <si>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</si>
  <si>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</si>
  <si>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</si>
  <si>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</si>
  <si>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</si>
  <si>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</si>
  <si>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</si>
  <si>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</si>
  <si>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</si>
  <si>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</si>
  <si>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</si>
  <si>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</si>
  <si>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</si>
  <si>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</si>
  <si>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</si>
  <si>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</si>
  <si>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</si>
  <si>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</si>
  <si>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</si>
  <si>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</si>
  <si>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</si>
  <si>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</si>
  <si>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</si>
  <si>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</si>
  <si>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</si>
  <si>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</si>
  <si>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</si>
  <si>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</si>
  <si>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</si>
  <si>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</si>
  <si>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</si>
  <si>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</si>
  <si>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</si>
  <si>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</si>
  <si>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</si>
  <si>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</si>
  <si>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</si>
  <si>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</si>
  <si>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</si>
  <si>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</si>
  <si>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</si>
  <si>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</si>
  <si>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</si>
  <si>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</si>
  <si>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</si>
  <si>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</si>
  <si>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</si>
  <si>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</si>
  <si>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</si>
  <si>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</si>
  <si>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</si>
  <si>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</si>
  <si>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</si>
  <si>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</si>
  <si>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</si>
  <si>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</si>
  <si>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</si>
  <si>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</si>
  <si>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</si>
  <si>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</si>
  <si>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</si>
  <si>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</si>
  <si>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</si>
  <si>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</si>
  <si>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</si>
  <si>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</si>
  <si>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</si>
  <si>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</si>
  <si>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</si>
  <si>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</si>
  <si>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</si>
  <si>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</si>
  <si>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</si>
  <si>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</si>
  <si>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</si>
  <si>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</si>
  <si>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</si>
  <si>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</si>
  <si>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</si>
  <si>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</si>
  <si>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</si>
  <si>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</si>
  <si>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</si>
  <si>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</si>
  <si>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</si>
  <si>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</si>
  <si>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</si>
  <si>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</si>
  <si>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</si>
  <si>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</si>
  <si>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</si>
  <si>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</si>
  <si>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</si>
  <si>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</si>
  <si>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</si>
  <si>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</si>
  <si>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</si>
  <si>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</si>
  <si>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</si>
  <si>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</si>
  <si>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</si>
  <si>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</si>
  <si>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</si>
  <si>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</si>
  <si>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</si>
  <si>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</si>
  <si>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</si>
  <si>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</si>
  <si>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</si>
  <si>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</si>
  <si>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</si>
  <si>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</si>
  <si>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</si>
  <si>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</si>
  <si>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</si>
  <si>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</si>
  <si>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</si>
  <si>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</si>
  <si>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</si>
  <si>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</si>
  <si>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</si>
  <si>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</si>
  <si>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</si>
  <si>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</si>
  <si>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</si>
  <si>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</si>
  <si>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</si>
  <si>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</si>
  <si>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</si>
  <si>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</si>
  <si>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</si>
  <si>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</si>
  <si>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</si>
  <si>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</si>
  <si>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</si>
  <si>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</si>
  <si>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</si>
  <si>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</si>
  <si>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</si>
  <si>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</si>
  <si>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</si>
  <si>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</si>
  <si>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</si>
  <si>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</si>
  <si>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</si>
  <si>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</si>
  <si>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</si>
  <si>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</si>
  <si>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</si>
  <si>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</si>
  <si>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</si>
  <si>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</si>
  <si>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</si>
  <si>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</si>
  <si>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</si>
  <si>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</si>
  <si>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</si>
  <si>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</si>
  <si>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</si>
  <si>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</si>
  <si>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</si>
  <si>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</si>
  <si>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</si>
  <si>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</si>
  <si>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</si>
  <si>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</si>
  <si>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</si>
  <si>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</si>
  <si>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</si>
  <si>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</si>
  <si>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</si>
  <si>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</si>
  <si>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</si>
  <si>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</si>
  <si>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</si>
  <si>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</si>
  <si>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</si>
  <si>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</si>
  <si>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</si>
  <si>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</si>
  <si>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</si>
  <si>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</si>
  <si>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</si>
  <si>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</si>
  <si>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</si>
  <si>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</si>
  <si>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</si>
  <si>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</si>
  <si>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</si>
  <si>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</si>
  <si>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</si>
  <si>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</si>
  <si>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</si>
  <si>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</si>
  <si>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</si>
  <si>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</si>
  <si>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</si>
  <si>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</si>
  <si>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</si>
  <si>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</si>
  <si>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</si>
  <si>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</si>
  <si>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</si>
  <si>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</si>
  <si>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</si>
  <si>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</si>
  <si>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</si>
  <si>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</si>
  <si>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</si>
  <si>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</si>
  <si>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</si>
  <si>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</si>
  <si>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</si>
  <si>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</si>
  <si>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</si>
  <si>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</si>
  <si>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</si>
  <si>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</si>
  <si>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</si>
  <si>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</si>
  <si>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</si>
  <si>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</si>
  <si>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</si>
  <si>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</si>
  <si>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</si>
  <si>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</si>
  <si>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</si>
  <si>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</si>
  <si>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</si>
  <si>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</si>
  <si>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</si>
  <si>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</si>
  <si>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</si>
  <si>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</si>
  <si>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</si>
  <si>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</si>
  <si>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</si>
  <si>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</si>
  <si>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</si>
  <si>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</si>
  <si>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</si>
  <si>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</si>
  <si>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</si>
  <si>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</si>
  <si>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</si>
  <si>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</si>
  <si>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</si>
  <si>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</si>
  <si>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</si>
  <si>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</si>
  <si>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</si>
  <si>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</si>
  <si>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</si>
  <si>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</si>
  <si>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</si>
  <si>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</si>
  <si>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</si>
  <si>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</si>
  <si>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</si>
  <si>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</si>
  <si>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</si>
  <si>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</si>
  <si>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</si>
  <si>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</si>
  <si>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</si>
  <si>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</si>
  <si>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</si>
  <si>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</si>
  <si>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</si>
  <si>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</si>
  <si>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</si>
  <si>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</si>
  <si>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</si>
  <si>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</si>
  <si>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</si>
  <si>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</si>
  <si>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</si>
  <si>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</si>
  <si>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</si>
  <si>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</si>
  <si>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</si>
  <si>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</si>
  <si>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</si>
  <si>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</si>
  <si>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</si>
  <si>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</si>
  <si>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</si>
  <si>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</si>
  <si>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</si>
  <si>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</si>
  <si>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</si>
  <si>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</si>
  <si>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</si>
  <si>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</si>
  <si>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</si>
  <si>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</si>
  <si>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</si>
  <si>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</si>
  <si>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</si>
  <si>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</si>
  <si>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</si>
  <si>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</si>
  <si>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</si>
  <si>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</si>
  <si>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</si>
  <si>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</si>
  <si>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</si>
  <si>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</si>
  <si>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</si>
  <si>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</si>
  <si>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</si>
  <si>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</si>
  <si>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</si>
  <si>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</si>
  <si>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</si>
  <si>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</si>
  <si>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</si>
  <si>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</si>
  <si>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</si>
  <si>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</si>
  <si>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</si>
  <si>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</si>
  <si>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</si>
  <si>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</si>
  <si>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</si>
  <si>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</si>
  <si>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</si>
  <si>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</si>
  <si>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</si>
  <si>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</si>
  <si>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</si>
  <si>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</si>
  <si>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</si>
  <si>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</si>
  <si>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</si>
  <si>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</si>
  <si>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</si>
  <si>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</si>
  <si>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</si>
  <si>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</si>
  <si>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</si>
  <si>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</si>
  <si>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</si>
  <si>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</si>
  <si>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</si>
  <si>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</si>
  <si>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</si>
  <si>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</si>
  <si>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</si>
  <si>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</si>
  <si>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</si>
  <si>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</si>
  <si>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</si>
  <si>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</si>
  <si>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</si>
  <si>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</si>
  <si>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</si>
  <si>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</si>
  <si>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</si>
  <si>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</si>
  <si>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</si>
  <si>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</si>
  <si>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</si>
  <si>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</si>
  <si>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</si>
  <si>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</si>
  <si>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</si>
  <si>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</si>
  <si>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</si>
  <si>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</si>
  <si>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</si>
  <si>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</si>
  <si>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</si>
  <si>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</si>
  <si>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</si>
  <si>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</si>
  <si>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</si>
  <si>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</si>
  <si>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</si>
  <si>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</si>
  <si>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</si>
  <si>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</si>
  <si>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</si>
  <si>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</si>
  <si>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</si>
  <si>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</si>
  <si>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</si>
  <si>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</si>
  <si>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</si>
  <si>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</si>
  <si>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</si>
  <si>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</si>
  <si>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</si>
  <si>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</si>
  <si>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</si>
  <si>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</si>
  <si>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</si>
  <si>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</si>
  <si>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</si>
  <si>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</si>
  <si>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</si>
  <si>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</si>
  <si>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</si>
  <si>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</si>
  <si>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</si>
  <si>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</si>
  <si>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</si>
  <si>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</si>
  <si>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</si>
  <si>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</si>
  <si>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</si>
  <si>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</si>
  <si>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</si>
  <si>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</si>
  <si>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</si>
  <si>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</si>
  <si>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</si>
  <si>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</si>
  <si>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</si>
  <si>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</si>
  <si>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</si>
  <si>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</si>
  <si>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</si>
  <si>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</si>
  <si>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</si>
  <si>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</si>
  <si>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</si>
  <si>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</si>
  <si>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</si>
  <si>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</si>
  <si>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</si>
  <si>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</si>
  <si>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</si>
  <si>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</si>
  <si>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</si>
  <si>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</si>
  <si>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</si>
  <si>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</si>
  <si>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</si>
  <si>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</si>
  <si>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</si>
  <si>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</si>
  <si>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</si>
  <si>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</si>
  <si>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</si>
  <si>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</si>
  <si>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</si>
  <si>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</si>
  <si>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</si>
  <si>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</si>
  <si>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</si>
  <si>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</si>
  <si>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</si>
  <si>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</si>
  <si>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</si>
  <si>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</si>
  <si>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</si>
  <si>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</si>
  <si>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</si>
  <si>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</si>
  <si>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</si>
  <si>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</si>
  <si>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</si>
  <si>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</si>
  <si>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</si>
  <si>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</si>
  <si>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</si>
  <si>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</si>
  <si>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</si>
  <si>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</si>
  <si>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</si>
  <si>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</si>
  <si>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</si>
  <si>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</si>
  <si>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</si>
  <si>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</si>
  <si>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</si>
  <si>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</si>
  <si>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</si>
  <si>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</si>
  <si>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</si>
  <si>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</si>
  <si>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</si>
  <si>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</si>
  <si>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</si>
  <si>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</si>
  <si>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</si>
  <si>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</si>
  <si>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</si>
  <si>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</si>
  <si>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</si>
  <si>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</si>
  <si>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</si>
  <si>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</si>
  <si>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</si>
  <si>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</si>
  <si>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</si>
  <si>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</si>
  <si>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</si>
  <si>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</si>
  <si>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</si>
  <si>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</si>
  <si>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</si>
  <si>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</si>
  <si>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</si>
  <si>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</si>
  <si>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</si>
  <si>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</si>
  <si>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</si>
  <si>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</si>
  <si>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</si>
  <si>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</si>
  <si>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</si>
  <si>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</si>
  <si>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</si>
  <si>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</si>
  <si>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</si>
  <si>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</si>
  <si>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</si>
  <si>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</si>
  <si>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</si>
  <si>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</si>
  <si>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</si>
  <si>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</si>
  <si>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</si>
  <si>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</si>
  <si>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</si>
  <si>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</si>
  <si>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</si>
  <si>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</si>
  <si>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</si>
  <si>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</si>
  <si>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</si>
  <si>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</si>
  <si>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</si>
  <si>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</si>
  <si>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</si>
  <si>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</si>
  <si>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</si>
  <si>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</si>
  <si>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</si>
  <si>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</si>
  <si>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</si>
  <si>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</si>
  <si>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</si>
  <si>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</si>
  <si>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</si>
  <si>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</si>
  <si>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</si>
  <si>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</si>
  <si>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</si>
  <si>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</si>
  <si>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</si>
  <si>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</si>
  <si>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</si>
  <si>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</si>
  <si>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</si>
  <si>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</si>
  <si>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</si>
  <si>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</si>
  <si>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</si>
  <si>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</si>
  <si>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</si>
  <si>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</si>
  <si>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</si>
  <si>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</si>
  <si>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</si>
  <si>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</si>
  <si>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</si>
  <si>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</si>
  <si>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</si>
  <si>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</si>
  <si>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</si>
  <si>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</si>
  <si>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</si>
  <si>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</si>
  <si>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</si>
  <si>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</si>
  <si>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</si>
  <si>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</si>
  <si>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</si>
  <si>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</si>
  <si>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</si>
  <si>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</si>
  <si>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</si>
  <si>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</si>
  <si>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</si>
  <si>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</si>
  <si>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</si>
  <si>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</si>
  <si>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</si>
  <si>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</si>
  <si>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</si>
  <si>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</si>
  <si>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</si>
  <si>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</si>
  <si>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</si>
  <si>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</si>
  <si>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</si>
  <si>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</si>
  <si>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</si>
  <si>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</si>
  <si>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</si>
  <si>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</si>
  <si>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</si>
  <si>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</si>
  <si>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</si>
  <si>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</si>
  <si>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</si>
  <si>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</si>
  <si>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</si>
  <si>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</si>
  <si>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</si>
  <si>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</si>
  <si>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</si>
  <si>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</si>
  <si>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</si>
  <si>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</si>
  <si>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</si>
  <si>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</si>
  <si>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</si>
  <si>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</si>
  <si>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</si>
  <si>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</si>
  <si>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</si>
  <si>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</si>
  <si>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</si>
  <si>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</si>
  <si>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</si>
  <si>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</si>
  <si>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</si>
  <si>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</si>
  <si>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</si>
  <si>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</si>
  <si>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</si>
  <si>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</si>
  <si>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</si>
  <si>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</si>
  <si>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</si>
  <si>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</si>
  <si>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</si>
  <si>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</si>
  <si>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</si>
  <si>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</si>
  <si>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</si>
  <si>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</si>
  <si>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</si>
  <si>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</si>
  <si>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</si>
  <si>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</si>
  <si>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</si>
  <si>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</si>
  <si>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</si>
  <si>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</si>
  <si>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</si>
  <si>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</si>
  <si>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</si>
  <si>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</si>
  <si>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</si>
  <si>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</si>
  <si>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</si>
  <si>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</si>
  <si>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</si>
  <si>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</si>
  <si>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</si>
  <si>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</si>
  <si>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</si>
  <si>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</si>
  <si>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</si>
  <si>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</si>
  <si>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</si>
  <si>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</si>
  <si>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</si>
  <si>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</si>
  <si>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</si>
  <si>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</si>
  <si>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</si>
  <si>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</si>
  <si>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</si>
  <si>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</si>
  <si>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</si>
  <si>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</si>
  <si>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</si>
  <si>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</si>
  <si>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</si>
  <si>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</si>
  <si>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</si>
  <si>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</si>
  <si>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</si>
  <si>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</si>
  <si>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</si>
  <si>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</si>
  <si>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</si>
  <si>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</si>
  <si>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</si>
  <si>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</si>
  <si>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</si>
  <si>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</si>
  <si>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</si>
  <si>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</si>
  <si>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</si>
  <si>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</si>
  <si>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</si>
  <si>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</si>
  <si>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</si>
  <si>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</si>
  <si>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</si>
  <si>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</si>
  <si>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</si>
  <si>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</si>
  <si>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</si>
  <si>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</si>
  <si>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</si>
  <si>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</si>
  <si>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</si>
  <si>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</si>
  <si>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</si>
  <si>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</si>
  <si>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</si>
  <si>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</si>
  <si>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</si>
  <si>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</si>
  <si>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</si>
  <si>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</si>
  <si>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</si>
  <si>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</si>
  <si>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</si>
  <si>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</si>
  <si>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</si>
  <si>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</si>
  <si>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</si>
  <si>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</si>
  <si>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</si>
  <si>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</si>
  <si>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</si>
  <si>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</si>
  <si>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</si>
  <si>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</si>
  <si>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</si>
  <si>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</si>
  <si>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</si>
  <si>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</si>
  <si>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</si>
  <si>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</si>
  <si>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</si>
  <si>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</si>
  <si>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</si>
  <si>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</si>
  <si>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</si>
  <si>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</si>
  <si>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</si>
  <si>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</si>
  <si>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</si>
  <si>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</si>
  <si>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</si>
  <si>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</si>
  <si>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</si>
  <si>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</si>
  <si>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</si>
  <si>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</si>
  <si>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</si>
  <si>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</si>
  <si>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</si>
  <si>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</si>
  <si>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</si>
  <si>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</si>
  <si>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</si>
  <si>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</si>
  <si>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</si>
  <si>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</si>
  <si>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</si>
  <si>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</si>
  <si>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</si>
  <si>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</si>
  <si>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</si>
  <si>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</si>
  <si>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</si>
  <si>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</si>
  <si>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</si>
  <si>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</si>
  <si>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</si>
  <si>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</si>
  <si>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</si>
  <si>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</si>
  <si>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</si>
  <si>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</si>
  <si>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</si>
  <si>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</si>
  <si>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</si>
  <si>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</si>
  <si>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</si>
  <si>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</si>
  <si>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</si>
  <si>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</si>
  <si>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</si>
  <si>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</si>
  <si>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</si>
  <si>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</si>
  <si>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</si>
  <si>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</si>
  <si>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</si>
  <si>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</si>
  <si>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</si>
  <si>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</si>
  <si>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</si>
  <si>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</si>
  <si>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</si>
  <si>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</si>
  <si>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</si>
  <si>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</si>
  <si>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</si>
  <si>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</si>
  <si>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</si>
  <si>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</si>
  <si>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</si>
  <si>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</si>
  <si>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</si>
  <si>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</si>
  <si>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</si>
  <si>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</si>
  <si>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</si>
  <si>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</si>
  <si>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</si>
  <si>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</si>
  <si>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</si>
  <si>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</si>
  <si>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</si>
  <si>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</si>
  <si>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</si>
  <si>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</si>
  <si>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</si>
  <si>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</si>
  <si>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</si>
  <si>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</si>
  <si>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</si>
  <si>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</si>
  <si>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</si>
  <si>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</si>
  <si>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</si>
  <si>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</si>
  <si>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</si>
  <si>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</si>
  <si>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</si>
  <si>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</si>
  <si>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</si>
  <si>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</si>
  <si>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</si>
  <si>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</si>
  <si>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</si>
  <si>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</si>
  <si>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</si>
  <si>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</si>
  <si>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</si>
  <si>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</si>
  <si>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</si>
  <si>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</si>
  <si>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</si>
  <si>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</si>
  <si>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</si>
  <si>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</si>
  <si>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</si>
  <si>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</si>
  <si>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</si>
  <si>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</si>
  <si>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</si>
  <si>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</si>
  <si>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</si>
  <si>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</si>
  <si>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</si>
  <si>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</si>
  <si>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</si>
  <si>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</si>
  <si>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</si>
  <si>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</si>
  <si>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</si>
  <si>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</si>
  <si>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</si>
  <si>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</si>
  <si>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</si>
  <si>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</si>
  <si>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</si>
  <si>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</si>
  <si>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</si>
  <si>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</si>
  <si>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</si>
  <si>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</si>
  <si>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</si>
  <si>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</si>
  <si>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</si>
  <si>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</si>
  <si>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</si>
  <si>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</si>
  <si>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</si>
  <si>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</si>
  <si>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</si>
  <si>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</si>
  <si>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</si>
  <si>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</si>
  <si>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</si>
  <si>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</si>
  <si>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</si>
  <si>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</si>
  <si>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</si>
  <si>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</si>
  <si>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</si>
  <si>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</si>
  <si>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</si>
  <si>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</si>
  <si>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</si>
  <si>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</si>
  <si>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</si>
  <si>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</si>
  <si>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</si>
  <si>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</si>
  <si>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</si>
  <si>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</si>
  <si>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</si>
  <si>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</si>
  <si>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</si>
  <si>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</si>
  <si>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</si>
  <si>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</si>
  <si>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</si>
  <si>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</si>
  <si>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</si>
  <si>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</si>
  <si>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</si>
  <si>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</si>
  <si>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</si>
  <si>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</si>
  <si>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</si>
  <si>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</si>
  <si>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</si>
  <si>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</si>
  <si>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</si>
  <si>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</si>
  <si>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</si>
  <si>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</si>
  <si>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</si>
  <si>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</si>
  <si>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</si>
  <si>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</si>
  <si>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</si>
  <si>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</si>
  <si>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</si>
  <si>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</si>
  <si>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</si>
  <si>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</si>
  <si>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</si>
  <si>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</si>
  <si>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</si>
  <si>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</si>
  <si>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</si>
  <si>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</si>
  <si>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</si>
  <si>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</si>
  <si>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</si>
  <si>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</si>
  <si>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</si>
  <si>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</si>
  <si>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</si>
  <si>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</si>
  <si>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</si>
  <si>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</si>
  <si>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</si>
  <si>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</si>
  <si>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</si>
  <si>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</si>
  <si>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</si>
  <si>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</si>
  <si>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</si>
  <si>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</si>
  <si>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</si>
  <si>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</si>
  <si>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</si>
  <si>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</si>
  <si>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</si>
  <si>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</si>
  <si>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</si>
  <si>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</si>
  <si>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</si>
  <si>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</si>
  <si>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</si>
  <si>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</si>
  <si>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</si>
  <si>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</si>
  <si>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</si>
  <si>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</si>
  <si>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</si>
  <si>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</si>
  <si>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</si>
  <si>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</si>
  <si>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</si>
  <si>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</si>
  <si>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</si>
  <si>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</si>
  <si>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</si>
  <si>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</si>
  <si>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</si>
  <si>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</si>
  <si>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</si>
  <si>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</si>
  <si>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</si>
  <si>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</si>
  <si>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</si>
  <si>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</si>
  <si>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</si>
  <si>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</si>
  <si>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</si>
  <si>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</si>
  <si>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</si>
  <si>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</si>
  <si>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</si>
  <si>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</si>
  <si>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</si>
  <si>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</si>
  <si>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</si>
  <si>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</si>
  <si>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</si>
  <si>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</si>
  <si>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</si>
  <si>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</si>
  <si>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</si>
  <si>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</si>
  <si>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</si>
  <si>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</si>
  <si>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</si>
  <si>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</si>
  <si>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</si>
  <si>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</si>
  <si>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</si>
  <si>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</si>
  <si>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</si>
  <si>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</si>
  <si>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</si>
  <si>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</si>
  <si>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</si>
  <si>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</si>
  <si>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</si>
  <si>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</si>
  <si>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</si>
  <si>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</si>
  <si>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</si>
  <si>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</si>
  <si>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</si>
  <si>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</si>
  <si>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</si>
  <si>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</si>
  <si>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</si>
  <si>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</si>
  <si>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</si>
  <si>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</si>
  <si>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</si>
  <si>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</si>
  <si>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</si>
  <si>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</si>
  <si>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</si>
  <si>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</si>
  <si>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</si>
  <si>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</si>
  <si>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</si>
  <si>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</si>
  <si>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</si>
  <si>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</si>
  <si>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</si>
  <si>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</si>
  <si>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</si>
  <si>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</si>
  <si>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</si>
  <si>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</si>
  <si>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</si>
  <si>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</si>
  <si>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</si>
  <si>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</si>
  <si>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</si>
  <si>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</si>
  <si>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</si>
  <si>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</si>
  <si>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</si>
  <si>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</si>
  <si>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</si>
  <si>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</si>
  <si>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</si>
  <si>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</si>
  <si>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</si>
  <si>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</si>
  <si>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</si>
  <si>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</si>
  <si>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</si>
  <si>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</si>
  <si>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</si>
  <si>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</si>
  <si>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</si>
  <si>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</si>
  <si>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</si>
  <si>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</si>
  <si>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</si>
  <si>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</si>
  <si>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</si>
  <si>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</si>
  <si>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</si>
  <si>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</si>
  <si>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</si>
  <si>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</si>
  <si>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</si>
  <si>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</si>
  <si>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</si>
  <si>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</si>
  <si>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</si>
  <si>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</si>
  <si>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</si>
  <si>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</si>
  <si>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</si>
  <si>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</si>
  <si>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</si>
  <si>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</si>
  <si>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</si>
  <si>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</si>
  <si>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</si>
  <si>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</si>
  <si>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</si>
  <si>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</si>
  <si>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</si>
  <si>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</si>
  <si>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</si>
  <si>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</si>
  <si>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</si>
  <si>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</si>
  <si>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</si>
  <si>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</si>
  <si>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</si>
  <si>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</si>
  <si>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</si>
  <si>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</si>
  <si>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</si>
  <si>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</si>
  <si>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</si>
  <si>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</si>
  <si>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</si>
  <si>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</si>
  <si>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</si>
  <si>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</si>
  <si>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</si>
  <si>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</si>
  <si>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</si>
  <si>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</si>
  <si>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</si>
  <si>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</si>
  <si>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</si>
  <si>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</si>
  <si>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</si>
  <si>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</si>
  <si>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</si>
  <si>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</si>
  <si>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</si>
  <si>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</si>
  <si>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</si>
  <si>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</si>
  <si>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</si>
  <si>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</si>
  <si>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</si>
  <si>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</si>
  <si>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</si>
  <si>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</si>
  <si>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</si>
  <si>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</si>
  <si>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</si>
  <si>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</si>
  <si>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</si>
  <si>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</si>
  <si>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</si>
  <si>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</si>
  <si>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</si>
  <si>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</si>
  <si>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</si>
  <si>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</si>
  <si>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</si>
  <si>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</si>
  <si>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</si>
  <si>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</si>
  <si>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</si>
  <si>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</si>
  <si>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</si>
  <si>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</si>
  <si>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</si>
  <si>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</si>
  <si>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</si>
  <si>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</si>
  <si>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</si>
  <si>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</si>
  <si>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</si>
  <si>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</si>
  <si>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</si>
  <si>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</si>
  <si>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</si>
  <si>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</si>
  <si>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</si>
  <si>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</si>
  <si>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</si>
  <si>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</si>
  <si>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</si>
  <si>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</si>
  <si>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</si>
  <si>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</si>
  <si>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</si>
  <si>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</si>
  <si>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</si>
  <si>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</si>
  <si>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</si>
  <si>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</si>
  <si>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</si>
  <si>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</si>
  <si>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</si>
  <si>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</si>
  <si>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</si>
  <si>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</si>
  <si>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</si>
  <si>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</si>
  <si>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</si>
  <si>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</si>
  <si>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</si>
  <si>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</si>
  <si>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</si>
  <si>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</si>
  <si>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</si>
  <si>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</si>
  <si>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</si>
  <si>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</si>
  <si>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</si>
  <si>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</si>
  <si>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</si>
  <si>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</si>
  <si>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</si>
  <si>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</si>
  <si>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</si>
  <si>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</si>
  <si>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</si>
  <si>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</si>
  <si>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</si>
  <si>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</si>
  <si>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</si>
  <si>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</si>
  <si>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</si>
  <si>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</si>
  <si>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</si>
  <si>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</si>
  <si>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</si>
  <si>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</si>
  <si>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</si>
  <si>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</si>
  <si>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</si>
  <si>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</si>
  <si>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</si>
  <si>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</si>
  <si>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</si>
  <si>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</si>
  <si>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</si>
  <si>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</si>
  <si>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</si>
  <si>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</si>
  <si>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</si>
  <si>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</si>
  <si>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</si>
  <si>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</si>
  <si>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</si>
  <si>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</si>
  <si>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</si>
  <si>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</si>
  <si>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</si>
  <si>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</si>
  <si>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</si>
  <si>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</si>
  <si>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</si>
  <si>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</si>
  <si>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</si>
  <si>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</si>
  <si>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</si>
  <si>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</si>
  <si>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</si>
  <si>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</si>
  <si>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</si>
  <si>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</si>
  <si>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</si>
  <si>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</si>
  <si>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</si>
  <si>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</si>
  <si>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</si>
  <si>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</si>
  <si>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</si>
  <si>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</si>
  <si>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</si>
  <si>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</si>
  <si>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</si>
  <si>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</si>
  <si>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</si>
  <si>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</si>
  <si>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</si>
  <si>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</si>
  <si>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</si>
  <si>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</si>
  <si>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</si>
  <si>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</si>
  <si>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</si>
  <si>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</si>
  <si>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</si>
  <si>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</si>
  <si>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</si>
  <si>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</si>
  <si>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</si>
  <si>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</si>
  <si>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</si>
  <si>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</si>
  <si>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</si>
  <si>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</si>
  <si>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</si>
  <si>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</si>
  <si>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</si>
  <si>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</si>
  <si>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</si>
  <si>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</si>
  <si>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</si>
  <si>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</si>
  <si>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</si>
  <si>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</si>
  <si>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</si>
  <si>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</si>
  <si>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</si>
  <si>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</si>
  <si>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</si>
  <si>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</si>
  <si>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</si>
  <si>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</si>
  <si>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</si>
  <si>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</si>
  <si>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</si>
  <si>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</si>
  <si>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</si>
  <si>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</si>
  <si>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</si>
  <si>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</si>
  <si>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</si>
  <si>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</si>
  <si>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</si>
  <si>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</si>
  <si>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</si>
  <si>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</si>
  <si>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</si>
  <si>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</si>
  <si>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</si>
  <si>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</si>
  <si>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</si>
  <si>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</si>
  <si>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</si>
  <si>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</si>
  <si>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</si>
  <si>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</si>
  <si>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</si>
  <si>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</si>
  <si>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</si>
  <si>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</si>
  <si>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</si>
  <si>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</si>
  <si>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</si>
  <si>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</si>
  <si>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</si>
  <si>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</si>
  <si>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</si>
  <si>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</si>
  <si>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</si>
  <si>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</si>
  <si>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</si>
  <si>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</si>
  <si>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</si>
  <si>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</si>
  <si>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</si>
  <si>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</si>
  <si>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</si>
  <si>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</si>
  <si>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</si>
  <si>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</si>
  <si>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</si>
  <si>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</si>
  <si>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</si>
  <si>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</si>
  <si>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</si>
  <si>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</si>
  <si>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</si>
  <si>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</si>
  <si>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</si>
  <si>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</si>
  <si>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</si>
  <si>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</si>
  <si>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</si>
  <si>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</si>
  <si>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</si>
  <si>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</si>
  <si>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</si>
  <si>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</si>
  <si>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</si>
  <si>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</si>
  <si>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</si>
  <si>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</si>
  <si>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</si>
  <si>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</si>
  <si>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</si>
  <si>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</si>
  <si>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</si>
  <si>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</si>
  <si>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</si>
  <si>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</si>
  <si>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</si>
  <si>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</si>
  <si>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</si>
  <si>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</si>
  <si>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</si>
  <si>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</si>
  <si>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</si>
  <si>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</si>
  <si>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</si>
  <si>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</si>
  <si>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</si>
  <si>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</si>
  <si>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</si>
  <si>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</si>
  <si>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</si>
  <si>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</si>
  <si>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</si>
  <si>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</si>
  <si>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</si>
  <si>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</si>
  <si>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</si>
  <si>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</si>
  <si>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</si>
  <si>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</si>
  <si>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</si>
  <si>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</si>
  <si>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</si>
  <si>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</si>
  <si>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</si>
  <si>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</si>
  <si>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</si>
  <si>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</si>
  <si>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</si>
  <si>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</si>
  <si>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</si>
  <si>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</si>
  <si>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</si>
  <si>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</si>
  <si>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</si>
  <si>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</si>
  <si>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</si>
  <si>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</si>
  <si>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</si>
  <si>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</si>
  <si>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</si>
  <si>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</si>
  <si>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</si>
  <si>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</si>
  <si>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</si>
  <si>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</si>
  <si>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</si>
  <si>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</si>
  <si>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</si>
  <si>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</si>
  <si>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</si>
  <si>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</si>
  <si>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</si>
  <si>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</si>
  <si>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</si>
  <si>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</si>
  <si>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</si>
  <si>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</si>
  <si>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</si>
  <si>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</si>
  <si>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</si>
  <si>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</si>
  <si>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</si>
  <si>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</si>
  <si>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</si>
  <si>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</si>
  <si>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</si>
  <si>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</si>
  <si>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</si>
  <si>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</si>
  <si>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</si>
  <si>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</si>
  <si>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</si>
  <si>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</si>
  <si>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</si>
  <si>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</si>
  <si>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</si>
  <si>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</si>
  <si>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</si>
  <si>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</si>
  <si>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</si>
  <si>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</si>
  <si>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</si>
  <si>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</si>
  <si>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</si>
  <si>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</si>
  <si>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</si>
  <si>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</si>
  <si>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</si>
  <si>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</si>
  <si>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</si>
  <si>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</si>
  <si>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</si>
  <si>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</si>
  <si>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</si>
  <si>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</si>
  <si>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</si>
  <si>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</si>
  <si>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</si>
  <si>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</si>
  <si>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</si>
  <si>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</si>
  <si>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</si>
  <si>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</si>
  <si>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</si>
  <si>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</si>
  <si>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</si>
  <si>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</si>
  <si>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</si>
  <si>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</si>
  <si>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</si>
  <si>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</si>
  <si>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</si>
  <si>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</si>
  <si>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</si>
  <si>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</si>
  <si>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</si>
  <si>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</si>
  <si>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</si>
  <si>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</si>
  <si>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</si>
  <si>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</si>
  <si>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</si>
  <si>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</si>
  <si>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</si>
  <si>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</si>
  <si>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</si>
  <si>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</si>
  <si>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</si>
  <si>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</si>
  <si>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</si>
  <si>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</si>
  <si>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</si>
  <si>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</si>
  <si>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</si>
  <si>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</si>
  <si>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</si>
  <si>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</si>
  <si>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</si>
  <si>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</si>
  <si>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</si>
  <si>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</si>
  <si>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</si>
  <si>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</si>
  <si>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</si>
  <si>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</si>
  <si>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</si>
  <si>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</si>
  <si>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</si>
  <si>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</si>
  <si>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</si>
  <si>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</si>
  <si>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</si>
  <si>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</si>
  <si>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</si>
  <si>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</si>
  <si>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</si>
  <si>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</si>
  <si>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</si>
  <si>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</si>
  <si>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</si>
  <si>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</si>
  <si>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</si>
  <si>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</si>
  <si>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</si>
  <si>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</si>
  <si>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</si>
  <si>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</si>
  <si>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</si>
  <si>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</si>
  <si>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</si>
  <si>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</si>
  <si>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</si>
  <si>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</si>
  <si>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</si>
  <si>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</si>
  <si>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</si>
  <si>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</si>
  <si>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</si>
  <si>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</si>
  <si>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</si>
  <si>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</si>
  <si>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</si>
  <si>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</si>
  <si>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</si>
  <si>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</si>
  <si>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</si>
  <si>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</si>
  <si>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</si>
  <si>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</si>
  <si>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</si>
  <si>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</si>
  <si>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</si>
  <si>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</si>
  <si>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</si>
  <si>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</si>
  <si>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</si>
  <si>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</si>
  <si>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</si>
  <si>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</si>
  <si>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</si>
  <si>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</si>
  <si>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</si>
  <si>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</si>
  <si>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</si>
  <si>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</si>
  <si>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</si>
  <si>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</si>
  <si>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</si>
  <si>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</si>
  <si>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</si>
  <si>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</si>
  <si>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</si>
  <si>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</si>
  <si>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</si>
  <si>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</si>
  <si>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</si>
  <si>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</si>
  <si>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</si>
  <si>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</si>
  <si>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</si>
  <si>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</si>
  <si>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</si>
  <si>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</si>
  <si>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</si>
  <si>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</si>
  <si>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</si>
  <si>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</si>
  <si>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</si>
  <si>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</si>
  <si>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</si>
  <si>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</si>
  <si>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</si>
  <si>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</si>
  <si>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</si>
  <si>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</si>
  <si>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</si>
  <si>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</si>
  <si>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</si>
  <si>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</si>
  <si>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</si>
  <si>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</si>
  <si>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</si>
  <si>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</si>
  <si>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</si>
  <si>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</si>
  <si>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</si>
  <si>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</si>
  <si>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</si>
  <si>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</si>
  <si>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</si>
  <si>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</si>
  <si>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</si>
  <si>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</si>
  <si>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</si>
  <si>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</si>
  <si>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</si>
  <si>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</si>
  <si>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</si>
  <si>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</si>
  <si>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</si>
  <si>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</si>
  <si>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</si>
  <si>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</si>
  <si>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</si>
  <si>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</si>
  <si>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</si>
  <si>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</si>
  <si>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</si>
  <si>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</si>
  <si>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</si>
  <si>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</si>
  <si>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</si>
  <si>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</si>
  <si>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</si>
  <si>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</si>
  <si>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</si>
  <si>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</si>
  <si>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</si>
  <si>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</si>
  <si>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</si>
  <si>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</si>
  <si>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</si>
  <si>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</si>
  <si>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</si>
  <si>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</si>
  <si>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</si>
  <si>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</si>
  <si>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</si>
  <si>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</si>
  <si>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</si>
  <si>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</si>
  <si>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</si>
  <si>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</si>
  <si>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</si>
  <si>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</si>
  <si>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</si>
  <si>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</si>
  <si>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</si>
  <si>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</si>
  <si>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</si>
  <si>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</si>
  <si>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</si>
  <si>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</si>
  <si>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</si>
  <si>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</si>
  <si>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</si>
  <si>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</si>
  <si>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</si>
  <si>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</si>
  <si>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</si>
  <si>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</si>
  <si>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</si>
  <si>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</si>
  <si>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</si>
  <si>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</si>
  <si>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</si>
  <si>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</si>
  <si>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</si>
  <si>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</si>
  <si>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</si>
  <si>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</si>
  <si>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</si>
  <si>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</si>
  <si>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</si>
  <si>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</si>
  <si>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</si>
  <si>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</si>
  <si>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</si>
  <si>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</si>
  <si>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</si>
  <si>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</si>
  <si>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</si>
  <si>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</si>
  <si>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</si>
  <si>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</si>
  <si>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</si>
  <si>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</si>
  <si>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</si>
  <si>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</si>
  <si>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</si>
  <si>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</si>
  <si>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</si>
  <si>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</si>
  <si>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</si>
  <si>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</si>
  <si>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</si>
  <si>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</si>
  <si>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</si>
  <si>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</si>
  <si>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</si>
  <si>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</si>
  <si>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</si>
  <si>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</si>
  <si>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</si>
  <si>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</si>
  <si>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</si>
  <si>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</si>
  <si>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</si>
  <si>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</si>
  <si>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</si>
  <si>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</si>
  <si>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</si>
  <si>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</si>
  <si>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</si>
  <si>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</si>
  <si>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</si>
  <si>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</si>
  <si>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</si>
  <si>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</si>
  <si>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</si>
  <si>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</si>
  <si>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</si>
  <si>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</si>
  <si>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</si>
  <si>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</si>
  <si>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</si>
  <si>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</si>
  <si>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</si>
  <si>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</si>
  <si>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</si>
  <si>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</si>
  <si>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</si>
  <si>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</si>
  <si>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</si>
  <si>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</si>
  <si>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</si>
  <si>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</si>
  <si>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</si>
  <si>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</si>
  <si>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</si>
  <si>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</si>
  <si>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</si>
  <si>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</si>
  <si>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</si>
  <si>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</si>
  <si>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</si>
  <si>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</si>
  <si>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</si>
  <si>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</si>
  <si>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</si>
  <si>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</si>
  <si>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</si>
  <si>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</si>
  <si>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</si>
  <si>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</si>
  <si>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</si>
  <si>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</si>
  <si>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</si>
  <si>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</si>
  <si>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</si>
  <si>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</si>
  <si>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</si>
  <si>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</si>
  <si>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</si>
  <si>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</si>
  <si>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</si>
  <si>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</si>
  <si>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</si>
  <si>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</si>
  <si>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</si>
  <si>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</si>
  <si>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</si>
  <si>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</si>
  <si>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</si>
  <si>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</si>
  <si>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</si>
  <si>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</si>
  <si>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</si>
  <si>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</si>
  <si>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</si>
  <si>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</si>
  <si>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</si>
  <si>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</si>
  <si>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</si>
  <si>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</si>
  <si>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</si>
  <si>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</si>
  <si>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</si>
  <si>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</si>
  <si>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</si>
  <si>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</si>
  <si>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</si>
  <si>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</si>
  <si>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</si>
  <si>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</si>
  <si>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</si>
  <si>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</si>
  <si>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</si>
  <si>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</si>
  <si>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</si>
  <si>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</si>
  <si>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</si>
  <si>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</si>
  <si>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</si>
  <si>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</si>
  <si>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</si>
  <si>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</si>
  <si>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</si>
  <si>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</si>
  <si>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</si>
  <si>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</si>
  <si>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</si>
  <si>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</si>
  <si>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</si>
  <si>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</si>
  <si>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</si>
  <si>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</si>
  <si>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</si>
  <si>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</si>
  <si>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</si>
  <si>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</si>
  <si>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</si>
  <si>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</si>
  <si>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</si>
  <si>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</si>
  <si>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</si>
  <si>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</si>
  <si>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</si>
  <si>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</si>
  <si>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</si>
  <si>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</si>
  <si>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</si>
  <si>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</si>
  <si>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</si>
  <si>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</si>
  <si>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</si>
  <si>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</si>
  <si>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</si>
  <si>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</si>
  <si>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</si>
  <si>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</si>
  <si>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</si>
  <si>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</si>
  <si>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</si>
  <si>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</si>
  <si>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</si>
  <si>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</si>
  <si>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</si>
  <si>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</si>
  <si>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</si>
  <si>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</si>
  <si>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</si>
  <si>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</si>
  <si>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</si>
  <si>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</si>
  <si>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</si>
  <si>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</si>
  <si>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</si>
  <si>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</si>
  <si>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</si>
  <si>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</si>
  <si>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</si>
  <si>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</si>
  <si>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</si>
  <si>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</si>
  <si>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</si>
  <si>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</si>
  <si>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</si>
  <si>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</si>
  <si>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</si>
  <si>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</si>
  <si>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</si>
  <si>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</si>
  <si>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</si>
  <si>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</si>
  <si>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</si>
  <si>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</si>
  <si>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</si>
  <si>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</si>
  <si>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</si>
  <si>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</si>
  <si>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</si>
  <si>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</si>
  <si>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</si>
  <si>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</si>
  <si>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</si>
  <si>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</si>
  <si>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</si>
  <si>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</si>
  <si>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</si>
  <si>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</si>
  <si>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</si>
  <si>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</si>
  <si>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</si>
  <si>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</si>
  <si>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</si>
  <si>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</si>
  <si>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</si>
  <si>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</si>
  <si>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</si>
  <si>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</si>
  <si>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</si>
  <si>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</si>
  <si>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</si>
  <si>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</si>
  <si>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</si>
  <si>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</si>
  <si>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</si>
  <si>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</si>
  <si>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</si>
  <si>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</si>
  <si>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</si>
  <si>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</si>
  <si>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</si>
  <si>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</si>
  <si>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</si>
  <si>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</si>
  <si>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</si>
  <si>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</si>
  <si>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</si>
  <si>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</si>
  <si>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</si>
  <si>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</si>
  <si>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</si>
  <si>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</si>
  <si>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</si>
  <si>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</si>
  <si>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</si>
  <si>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</si>
  <si>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</si>
  <si>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</si>
  <si>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</si>
  <si>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</si>
  <si>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</si>
  <si>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</si>
  <si>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</si>
  <si>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</si>
  <si>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</si>
  <si>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</si>
  <si>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</si>
  <si>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</si>
  <si>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</si>
  <si>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</si>
  <si>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</si>
  <si>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</si>
  <si>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</si>
  <si>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</si>
  <si>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</si>
  <si>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</si>
  <si>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</si>
  <si>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</si>
  <si>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</si>
  <si>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</si>
  <si>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</si>
  <si>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</si>
  <si>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</si>
  <si>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</si>
  <si>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</si>
  <si>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</si>
  <si>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</si>
  <si>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</si>
  <si>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</si>
  <si>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</si>
  <si>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</si>
  <si>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</si>
  <si>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</si>
  <si>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</si>
  <si>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</si>
  <si>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</si>
  <si>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</si>
  <si>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</si>
  <si>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</si>
  <si>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</si>
  <si>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</si>
  <si>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</si>
  <si>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</si>
  <si>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</si>
  <si>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</si>
  <si>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</si>
  <si>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</si>
  <si>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</si>
  <si>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</si>
  <si>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</si>
  <si>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</si>
  <si>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</si>
  <si>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</si>
  <si>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</si>
  <si>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</si>
  <si>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</si>
  <si>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</si>
  <si>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</si>
  <si>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</si>
  <si>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</si>
  <si>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</si>
  <si>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</si>
  <si>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</si>
  <si>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</si>
  <si>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</si>
  <si>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</si>
  <si>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</si>
  <si>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</si>
  <si>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</si>
  <si>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</si>
  <si>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</si>
  <si>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</si>
  <si>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</si>
  <si>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</si>
  <si>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</si>
  <si>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</si>
  <si>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</si>
  <si>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</si>
  <si>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</si>
  <si>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</si>
  <si>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</si>
  <si>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</si>
  <si>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</si>
  <si>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</si>
  <si>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</si>
  <si>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</si>
  <si>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</si>
  <si>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</si>
  <si>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</si>
  <si>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</si>
  <si>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</si>
  <si>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</si>
  <si>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</si>
  <si>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</si>
  <si>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</si>
  <si>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</si>
  <si>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</si>
  <si>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</si>
  <si>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</si>
  <si>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</si>
  <si>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</si>
  <si>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</si>
  <si>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</si>
  <si>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</si>
  <si>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</si>
  <si>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</si>
  <si>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</si>
  <si>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</si>
  <si>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</si>
  <si>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</si>
  <si>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</si>
  <si>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</si>
  <si>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</si>
  <si>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</si>
  <si>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</si>
  <si>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</si>
  <si>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</si>
  <si>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</si>
  <si>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</si>
  <si>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</si>
  <si>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</si>
  <si>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</si>
  <si>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</si>
  <si>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</si>
  <si>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</si>
  <si>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</si>
  <si>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</si>
  <si>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</si>
  <si>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</si>
  <si>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</si>
  <si>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</si>
  <si>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</si>
  <si>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</si>
  <si>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</si>
  <si>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</si>
  <si>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</si>
  <si>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</si>
  <si>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</si>
  <si>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</si>
  <si>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</si>
  <si>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</si>
  <si>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</si>
  <si>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</si>
  <si>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</si>
  <si>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</si>
  <si>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</si>
  <si>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</si>
  <si>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</si>
  <si>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</si>
  <si>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</si>
  <si>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</si>
  <si>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</si>
  <si>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</si>
  <si>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</si>
  <si>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</si>
  <si>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</si>
  <si>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</si>
  <si>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</si>
  <si>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</si>
  <si>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</si>
  <si>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</si>
  <si>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</si>
  <si>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</si>
  <si>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</si>
  <si>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</si>
  <si>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</si>
  <si>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</si>
  <si>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</si>
  <si>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</si>
  <si>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</si>
  <si>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</si>
  <si>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</si>
  <si>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</si>
  <si>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</si>
  <si>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</si>
  <si>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</si>
  <si>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</si>
  <si>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</si>
  <si>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</si>
  <si>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</si>
  <si>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</si>
  <si>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</si>
  <si>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</si>
  <si>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</si>
  <si>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</si>
  <si>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</si>
  <si>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</si>
  <si>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</si>
  <si>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</si>
  <si>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</si>
  <si>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</si>
  <si>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</si>
  <si>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</si>
  <si>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</si>
  <si>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</si>
  <si>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</si>
  <si>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</si>
  <si>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</si>
  <si>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</si>
  <si>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</si>
  <si>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</si>
  <si>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</si>
  <si>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</si>
  <si>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</si>
  <si>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</si>
  <si>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</si>
  <si>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</si>
  <si>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</si>
  <si>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</si>
  <si>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</si>
  <si>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</si>
  <si>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</si>
  <si>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</si>
  <si>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</si>
  <si>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</si>
  <si>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</si>
  <si>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</si>
  <si>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</si>
  <si>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</si>
  <si>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</si>
  <si>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</si>
  <si>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</si>
  <si>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</si>
  <si>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</si>
  <si>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</si>
  <si>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</si>
  <si>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</si>
  <si>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</si>
  <si>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</si>
  <si>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</si>
  <si>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</si>
  <si>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</si>
  <si>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</si>
  <si>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</si>
  <si>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</si>
  <si>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</si>
  <si>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</si>
  <si>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</si>
  <si>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</si>
  <si>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</si>
  <si>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</si>
  <si>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</si>
  <si>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</si>
  <si>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</si>
  <si>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</si>
  <si>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</si>
  <si>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</si>
  <si>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</si>
  <si>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</si>
  <si>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</si>
  <si>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</si>
  <si>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</si>
  <si>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</si>
  <si>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</si>
  <si>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</si>
  <si>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</si>
  <si>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</si>
  <si>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</si>
  <si>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</si>
  <si>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</si>
  <si>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</si>
  <si>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</si>
  <si>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</si>
  <si>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</si>
  <si>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</si>
  <si>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</si>
  <si>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</si>
  <si>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</si>
  <si>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</si>
  <si>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</si>
  <si>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</si>
  <si>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</si>
  <si>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</si>
  <si>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</si>
  <si>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</si>
  <si>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</si>
  <si>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</si>
  <si>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</si>
  <si>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</si>
  <si>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</si>
  <si>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</si>
  <si>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</si>
  <si>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</si>
  <si>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</si>
  <si>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</si>
  <si>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</si>
  <si>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</si>
  <si>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</si>
  <si>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</si>
  <si>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</si>
  <si>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</si>
  <si>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</si>
  <si>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</si>
  <si>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</si>
  <si>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</si>
  <si>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</si>
  <si>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</si>
  <si>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</si>
  <si>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</si>
  <si>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</si>
  <si>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</si>
  <si>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</si>
  <si>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</si>
  <si>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</si>
  <si>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</si>
  <si>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</si>
  <si>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</si>
  <si>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</si>
  <si>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</si>
  <si>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</si>
  <si>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</si>
  <si>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</si>
  <si>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</si>
  <si>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</si>
  <si>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</si>
  <si>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</si>
  <si>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</si>
  <si>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</si>
  <si>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</si>
  <si>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</si>
  <si>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</si>
  <si>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</si>
  <si>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</si>
  <si>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</si>
  <si>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</si>
  <si>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</si>
  <si>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</si>
  <si>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</si>
  <si>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</si>
  <si>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</si>
  <si>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</si>
  <si>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</si>
  <si>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</si>
  <si>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</si>
  <si>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</si>
  <si>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</si>
  <si>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</si>
  <si>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</si>
  <si>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</si>
  <si>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</si>
  <si>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</si>
  <si>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</si>
  <si>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</si>
  <si>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</si>
  <si>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</si>
  <si>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</si>
  <si>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</si>
  <si>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</si>
  <si>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</si>
  <si>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</si>
  <si>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</si>
  <si>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</si>
  <si>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</si>
  <si>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</si>
  <si>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</si>
  <si>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</si>
  <si>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</si>
  <si>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</si>
  <si>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</si>
  <si>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</si>
  <si>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</si>
  <si>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</si>
  <si>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</si>
  <si>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</si>
  <si>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</si>
  <si>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</si>
  <si>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</si>
  <si>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</si>
  <si>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</si>
  <si>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</si>
  <si>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</si>
  <si>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</si>
  <si>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</si>
  <si>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</si>
  <si>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</si>
  <si>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</si>
  <si>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</si>
  <si>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</si>
  <si>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</si>
  <si>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</si>
  <si>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</si>
  <si>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</si>
  <si>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</si>
  <si>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</si>
  <si>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</si>
  <si>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</si>
  <si>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</si>
  <si>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</si>
  <si>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</si>
  <si>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</si>
  <si>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</si>
  <si>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</si>
  <si>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</si>
  <si>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</si>
  <si>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</si>
  <si>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</si>
  <si>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</si>
  <si>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</si>
  <si>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</si>
  <si>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</si>
  <si>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</si>
  <si>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</si>
  <si>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</si>
  <si>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</si>
  <si>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</si>
  <si>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</si>
  <si>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</si>
  <si>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</si>
  <si>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</si>
  <si>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</si>
  <si>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</si>
  <si>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</si>
  <si>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</si>
  <si>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</si>
  <si>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</si>
  <si>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</si>
  <si>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</si>
  <si>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</si>
  <si>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</si>
  <si>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</si>
  <si>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</si>
  <si>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</si>
  <si>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</si>
  <si>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</si>
  <si>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</si>
  <si>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</si>
  <si>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</si>
  <si>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</si>
  <si>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</si>
  <si>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</si>
  <si>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</si>
  <si>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</si>
  <si>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</si>
  <si>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</si>
  <si>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</si>
  <si>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</si>
  <si>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</si>
  <si>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</si>
  <si>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</si>
  <si>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</si>
  <si>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</si>
  <si>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</si>
  <si>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</si>
  <si>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</si>
  <si>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</si>
  <si>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</si>
  <si>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</si>
  <si>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</si>
  <si>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</si>
  <si>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</si>
  <si>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</si>
  <si>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</si>
  <si>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</si>
  <si>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</si>
  <si>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</si>
  <si>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</si>
  <si>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</si>
  <si>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</si>
  <si>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</si>
  <si>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</si>
  <si>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</si>
  <si>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</si>
  <si>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</si>
  <si>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</si>
  <si>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</si>
  <si>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</si>
  <si>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</si>
  <si>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</si>
  <si>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</si>
  <si>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</si>
  <si>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</si>
  <si>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</si>
  <si>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</si>
  <si>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</si>
  <si>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</si>
  <si>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</si>
  <si>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</si>
  <si>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</si>
  <si>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</si>
  <si>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</si>
  <si>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</si>
  <si>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</si>
  <si>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</si>
  <si>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</si>
  <si>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</si>
  <si>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</si>
  <si>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</si>
  <si>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</si>
  <si>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</si>
  <si>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</si>
  <si>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</si>
  <si>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</si>
  <si>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</si>
  <si>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</si>
  <si>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</si>
  <si>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</si>
  <si>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</si>
  <si>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</si>
  <si>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</si>
  <si>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</si>
  <si>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</si>
  <si>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</si>
  <si>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</si>
  <si>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</si>
  <si>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</si>
  <si>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</si>
  <si>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</si>
  <si>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</si>
  <si>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</si>
  <si>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</si>
  <si>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</si>
  <si>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</si>
  <si>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</si>
  <si>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</si>
  <si>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</si>
  <si>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</si>
  <si>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</si>
  <si>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</si>
  <si>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</si>
  <si>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</si>
  <si>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</si>
  <si>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</si>
  <si>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</si>
  <si>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</si>
  <si>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</si>
  <si>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</si>
  <si>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</si>
  <si>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</si>
  <si>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</si>
  <si>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</si>
  <si>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</si>
  <si>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</si>
  <si>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</si>
  <si>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</si>
  <si>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</si>
  <si>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</si>
  <si>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</si>
  <si>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</si>
  <si>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</si>
  <si>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</si>
  <si>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</si>
  <si>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</si>
  <si>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</si>
  <si>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</si>
  <si>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</si>
  <si>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</si>
  <si>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</si>
  <si>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</si>
  <si>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</si>
  <si>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</si>
  <si>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</si>
  <si>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</si>
  <si>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</si>
  <si>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</si>
  <si>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</si>
  <si>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</si>
  <si>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</si>
  <si>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</si>
  <si>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</si>
  <si>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</si>
  <si>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</si>
  <si>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</si>
  <si>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</si>
  <si>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</si>
  <si>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</si>
  <si>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</si>
  <si>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</si>
  <si>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</si>
  <si>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</si>
  <si>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</si>
  <si>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</si>
  <si>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</si>
  <si>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</si>
  <si>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</si>
  <si>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</si>
  <si>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</si>
  <si>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</si>
  <si>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</si>
  <si>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</si>
  <si>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</si>
  <si>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</si>
  <si>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</si>
  <si>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</si>
  <si>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</si>
  <si>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</si>
  <si>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</si>
  <si>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</si>
  <si>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</si>
  <si>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</si>
  <si>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</si>
  <si>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</si>
  <si>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</si>
  <si>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</si>
  <si>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</si>
  <si>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</si>
  <si>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</si>
  <si>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</si>
  <si>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</si>
  <si>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</si>
  <si>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</si>
  <si>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</si>
  <si>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</si>
  <si>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</si>
  <si>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</si>
  <si>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</si>
  <si>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</si>
  <si>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</si>
  <si>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</si>
  <si>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</si>
  <si>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</si>
  <si>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</si>
  <si>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</si>
  <si>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</si>
  <si>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</si>
  <si>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</si>
  <si>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</si>
  <si>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</si>
  <si>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</si>
  <si>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</si>
  <si>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</si>
  <si>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</si>
  <si>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</si>
  <si>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</si>
  <si>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</si>
  <si>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</si>
  <si>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</si>
  <si>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</si>
  <si>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</si>
  <si>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</si>
  <si>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</si>
  <si>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</si>
  <si>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</si>
  <si>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</si>
  <si>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</si>
  <si>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</si>
  <si>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</si>
  <si>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</si>
  <si>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</si>
  <si>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</si>
  <si>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</si>
  <si>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</si>
  <si>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</si>
  <si>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</si>
  <si>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</si>
  <si>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</si>
  <si>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</si>
  <si>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</si>
  <si>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</si>
  <si>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</si>
  <si>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</si>
  <si>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</si>
  <si>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</si>
  <si>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</si>
  <si>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</si>
  <si>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</si>
  <si>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</si>
  <si>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</si>
  <si>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</si>
  <si>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</si>
  <si>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</si>
  <si>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</si>
  <si>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</si>
  <si>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</si>
  <si>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</si>
  <si>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</si>
  <si>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</si>
  <si>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</si>
  <si>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</si>
  <si>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</si>
  <si>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</si>
  <si>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</si>
  <si>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</si>
  <si>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</si>
  <si>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</si>
  <si>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</si>
  <si>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</si>
  <si>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</si>
  <si>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</si>
  <si>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</si>
  <si>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</si>
  <si>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</si>
  <si>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</si>
  <si>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</si>
  <si>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</si>
  <si>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</si>
  <si>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</si>
  <si>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</si>
  <si>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</si>
  <si>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</si>
  <si>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</si>
  <si>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</si>
  <si>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</si>
  <si>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</si>
  <si>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</si>
  <si>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</si>
  <si>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</si>
  <si>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</si>
  <si>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</si>
  <si>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</si>
  <si>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</si>
  <si>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</si>
  <si>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</si>
  <si>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</si>
  <si>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</si>
  <si>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</si>
  <si>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</si>
  <si>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</si>
  <si>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</si>
  <si>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</si>
  <si>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</si>
  <si>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</si>
  <si>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</si>
  <si>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</si>
  <si>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</si>
  <si>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</si>
  <si>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</si>
  <si>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</si>
  <si>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</si>
  <si>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</si>
  <si>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</si>
  <si>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</si>
  <si>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</si>
  <si>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</si>
  <si>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</si>
  <si>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</si>
  <si>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</si>
  <si>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</si>
  <si>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</si>
  <si>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</si>
  <si>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</si>
  <si>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</si>
  <si>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</si>
  <si>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</si>
  <si>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</si>
  <si>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</si>
  <si>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</si>
  <si>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</si>
  <si>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</si>
  <si>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</si>
  <si>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</si>
  <si>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</si>
  <si>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</si>
  <si>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</si>
  <si>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</si>
  <si>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</si>
  <si>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</si>
  <si>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</si>
  <si>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</si>
  <si>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</si>
  <si>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</si>
  <si>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</si>
  <si>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</si>
  <si>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</si>
  <si>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</si>
  <si>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</si>
  <si>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</si>
  <si>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</si>
  <si>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</si>
  <si>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</si>
  <si>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</si>
  <si>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</si>
  <si>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</si>
  <si>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</si>
  <si>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</si>
  <si>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</si>
  <si>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</si>
  <si>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</si>
  <si>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</si>
  <si>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</si>
  <si>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</si>
  <si>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</si>
  <si>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</si>
  <si>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</si>
  <si>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</si>
  <si>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</si>
  <si>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</si>
  <si>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</si>
  <si>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</si>
  <si>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</si>
  <si>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</si>
  <si>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</si>
  <si>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</si>
  <si>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</si>
  <si>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</si>
  <si>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</si>
  <si>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</si>
  <si>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</si>
  <si>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</si>
  <si>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</si>
  <si>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</si>
  <si>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</si>
  <si>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</si>
  <si>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</si>
  <si>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</si>
  <si>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</si>
  <si>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</si>
  <si>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</si>
  <si>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</si>
  <si>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</si>
  <si>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</si>
  <si>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</si>
  <si>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</si>
  <si>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</si>
  <si>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</si>
  <si>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</si>
  <si>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</si>
  <si>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</si>
  <si>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</si>
  <si>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</si>
  <si>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</si>
  <si>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</si>
  <si>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</si>
  <si>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</si>
  <si>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</si>
  <si>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</si>
  <si>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</si>
  <si>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</si>
  <si>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</si>
  <si>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</si>
  <si>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</si>
  <si>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</si>
  <si>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</si>
  <si>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</si>
  <si>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</si>
  <si>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</si>
  <si>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</si>
  <si>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</si>
  <si>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</si>
  <si>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</si>
  <si>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</si>
  <si>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</si>
  <si>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</si>
  <si>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</si>
  <si>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</si>
  <si>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</si>
  <si>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</si>
  <si>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</si>
  <si>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</si>
  <si>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</si>
  <si>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</si>
  <si>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</si>
  <si>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</si>
  <si>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</si>
  <si>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</si>
  <si>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</si>
  <si>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</si>
  <si>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</si>
  <si>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</si>
  <si>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</si>
  <si>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</si>
  <si>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</si>
  <si>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</si>
  <si>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</si>
  <si>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</si>
  <si>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</si>
  <si>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</si>
  <si>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</si>
  <si>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</si>
  <si>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</si>
  <si>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</si>
  <si>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</si>
  <si>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</si>
  <si>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</si>
  <si>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</si>
  <si>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</si>
  <si>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</si>
  <si>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</si>
  <si>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</si>
  <si>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</si>
  <si>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</si>
  <si>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</si>
  <si>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</si>
  <si>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</si>
  <si>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</si>
  <si>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</si>
  <si>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</si>
  <si>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</si>
  <si>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</si>
  <si>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</si>
  <si>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</si>
  <si>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</si>
  <si>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</si>
  <si>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</si>
  <si>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</si>
  <si>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</si>
  <si>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</si>
  <si>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</si>
  <si>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</si>
  <si>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</si>
  <si>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</si>
  <si>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</si>
  <si>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</si>
  <si>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</si>
  <si>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</si>
  <si>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</si>
  <si>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</si>
  <si>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</si>
  <si>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</si>
  <si>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</si>
  <si>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</si>
  <si>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</si>
  <si>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</si>
  <si>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</si>
  <si>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</si>
  <si>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</si>
  <si>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</si>
  <si>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</si>
  <si>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</si>
  <si>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</si>
  <si>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</si>
  <si>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</si>
  <si>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</si>
  <si>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</si>
  <si>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</si>
  <si>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</si>
  <si>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</si>
  <si>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</si>
  <si>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</si>
  <si>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</si>
  <si>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</si>
  <si>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</si>
  <si>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</si>
  <si>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</si>
  <si>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</si>
  <si>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</si>
  <si>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</si>
  <si>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</si>
  <si>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</si>
  <si>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</si>
  <si>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</si>
  <si>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</si>
  <si>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</si>
  <si>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</si>
  <si>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</si>
  <si>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</si>
  <si>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</si>
  <si>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</si>
  <si>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</si>
  <si>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</si>
  <si>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</si>
  <si>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</si>
  <si>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</si>
  <si>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</si>
  <si>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</si>
  <si>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</si>
  <si>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</si>
  <si>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</si>
  <si>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</si>
  <si>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</si>
  <si>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</si>
  <si>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</si>
  <si>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</si>
  <si>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</si>
  <si>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</si>
  <si>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</si>
  <si>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</si>
  <si>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</si>
  <si>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</si>
  <si>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</si>
  <si>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</si>
  <si>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</si>
  <si>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</si>
  <si>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</si>
  <si>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</si>
  <si>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</si>
  <si>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</si>
  <si>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</si>
  <si>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</si>
  <si>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</si>
  <si>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</si>
  <si>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</si>
  <si>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</si>
  <si>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</si>
  <si>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</si>
  <si>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</si>
  <si>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</si>
  <si>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</si>
  <si>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</si>
  <si>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</si>
  <si>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</si>
  <si>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</si>
  <si>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</si>
  <si>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</si>
  <si>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</si>
  <si>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</si>
  <si>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</si>
  <si>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</si>
  <si>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</si>
  <si>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</si>
  <si>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</si>
  <si>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</si>
  <si>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</si>
  <si>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</si>
  <si>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</si>
  <si>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</si>
  <si>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</si>
  <si>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</si>
  <si>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</si>
  <si>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</si>
  <si>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</si>
  <si>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</si>
  <si>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</si>
  <si>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</si>
  <si>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</si>
  <si>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</si>
  <si>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</si>
  <si>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</si>
  <si>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</si>
  <si>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</si>
  <si>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</si>
  <si>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</si>
  <si>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</si>
  <si>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</si>
  <si>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</si>
  <si>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</si>
  <si>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</si>
  <si>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</si>
  <si>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</si>
  <si>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</si>
  <si>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</si>
  <si>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</si>
  <si>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</si>
  <si>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</si>
  <si>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</si>
  <si>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</si>
  <si>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</si>
  <si>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</si>
  <si>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</si>
  <si>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</si>
  <si>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</si>
  <si>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</si>
  <si>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</si>
  <si>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</si>
  <si>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</si>
  <si>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</si>
  <si>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</si>
  <si>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</si>
  <si>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</si>
  <si>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</si>
  <si>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</si>
  <si>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</si>
  <si>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</si>
  <si>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</si>
  <si>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</si>
  <si>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</si>
  <si>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</si>
  <si>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</si>
  <si>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</si>
  <si>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</si>
  <si>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</si>
  <si>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</si>
  <si>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</si>
  <si>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</si>
  <si>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</si>
  <si>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</si>
  <si>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</si>
  <si>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</si>
  <si>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</si>
  <si>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</si>
  <si>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</si>
  <si>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</si>
  <si>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</si>
  <si>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</si>
  <si>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</si>
  <si>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</si>
  <si>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</si>
  <si>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</si>
  <si>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</si>
  <si>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</si>
  <si>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</si>
  <si>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</si>
  <si>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</si>
  <si>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</si>
  <si>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</si>
  <si>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</si>
  <si>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</si>
  <si>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</si>
  <si>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</si>
  <si>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</si>
  <si>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</si>
  <si>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</si>
  <si>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</si>
  <si>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</si>
  <si>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</si>
  <si>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</si>
  <si>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</si>
  <si>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</si>
  <si>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</si>
  <si>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</si>
  <si>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</si>
  <si>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</si>
  <si>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</si>
  <si>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</si>
  <si>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</si>
  <si>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</si>
  <si>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</si>
  <si>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</si>
  <si>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</si>
  <si>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</si>
  <si>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</si>
  <si>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</si>
  <si>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</si>
  <si>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</si>
  <si>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</si>
  <si>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</si>
  <si>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</si>
  <si>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</si>
  <si>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</si>
  <si>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</si>
  <si>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</si>
  <si>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</si>
  <si>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</si>
  <si>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</si>
  <si>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</si>
  <si>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</si>
  <si>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</si>
  <si>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</si>
  <si>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</si>
  <si>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</si>
  <si>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</si>
  <si>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</si>
  <si>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</si>
  <si>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</si>
  <si>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</si>
  <si>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</si>
  <si>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</si>
  <si>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</si>
  <si>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</si>
  <si>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</si>
  <si>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</si>
  <si>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</si>
  <si>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</si>
  <si>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</si>
  <si>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</si>
  <si>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</si>
  <si>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</si>
  <si>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</si>
  <si>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</si>
  <si>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</si>
  <si>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</si>
  <si>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</si>
  <si>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</si>
  <si>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</si>
  <si>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</si>
  <si>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</si>
  <si>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</si>
  <si>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</si>
  <si>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</si>
  <si>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</si>
  <si>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</si>
  <si>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</si>
  <si>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</si>
  <si>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</si>
  <si>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</si>
  <si>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</si>
  <si>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</si>
  <si>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</si>
  <si>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</si>
  <si>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</si>
  <si>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</si>
  <si>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</si>
  <si>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</si>
  <si>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</si>
  <si>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</si>
  <si>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</si>
  <si>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</si>
  <si>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</si>
  <si>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</si>
  <si>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</si>
  <si>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</si>
  <si>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</si>
  <si>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</si>
  <si>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</si>
  <si>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</si>
  <si>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</si>
  <si>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</si>
  <si>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</si>
  <si>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</si>
  <si>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</si>
  <si>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</si>
  <si>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</si>
  <si>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</si>
  <si>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</si>
  <si>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</si>
  <si>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</si>
  <si>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</si>
  <si>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</si>
  <si>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</si>
  <si>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</si>
  <si>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</si>
  <si>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</si>
  <si>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</si>
  <si>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</si>
  <si>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</si>
  <si>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</si>
  <si>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</si>
  <si>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</si>
  <si>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</si>
  <si>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</si>
  <si>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</si>
  <si>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</si>
  <si>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</si>
  <si>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</si>
  <si>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</si>
  <si>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</si>
  <si>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</si>
  <si>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</si>
  <si>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</si>
  <si>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</si>
  <si>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</si>
  <si>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</si>
  <si>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</si>
  <si>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</si>
  <si>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</si>
  <si>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</si>
  <si>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</si>
  <si>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</si>
  <si>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</si>
  <si>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</si>
  <si>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</si>
  <si>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</si>
  <si>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</si>
  <si>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</si>
  <si>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</si>
  <si>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</si>
  <si>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</si>
  <si>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</si>
  <si>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</si>
  <si>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</si>
  <si>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</si>
  <si>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</si>
  <si>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</si>
  <si>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</si>
  <si>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</si>
  <si>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</si>
  <si>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</si>
  <si>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</si>
  <si>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</si>
  <si>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</si>
  <si>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</si>
  <si>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</si>
  <si>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</si>
  <si>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</si>
  <si>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</si>
  <si>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</si>
  <si>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</si>
  <si>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</si>
  <si>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</si>
  <si>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</si>
  <si>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</si>
  <si>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</si>
  <si>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</si>
  <si>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</si>
  <si>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</si>
  <si>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</si>
  <si>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</si>
  <si>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</si>
  <si>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</si>
  <si>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</si>
  <si>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</si>
  <si>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</si>
  <si>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</si>
  <si>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</si>
  <si>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</si>
  <si>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</si>
  <si>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</si>
  <si>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</si>
  <si>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</si>
  <si>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</si>
  <si>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</si>
  <si>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</si>
  <si>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</si>
  <si>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</si>
  <si>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</si>
  <si>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</si>
  <si>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</si>
  <si>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</si>
  <si>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</si>
  <si>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</si>
  <si>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</si>
  <si>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</si>
  <si>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</si>
  <si>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</si>
  <si>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</si>
  <si>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</si>
  <si>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</si>
  <si>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</si>
  <si>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</si>
  <si>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</si>
  <si>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</si>
  <si>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</si>
  <si>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</si>
  <si>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</si>
  <si>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</si>
  <si>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</si>
  <si>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</si>
  <si>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</si>
  <si>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</si>
  <si>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</si>
  <si>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</si>
  <si>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</si>
  <si>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</si>
  <si>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</si>
  <si>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</si>
  <si>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</si>
  <si>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</si>
  <si>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</si>
  <si>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</si>
  <si>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</si>
  <si>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</si>
  <si>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</si>
  <si>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</si>
  <si>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</si>
  <si>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</si>
  <si>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</si>
  <si>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</si>
  <si>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</si>
  <si>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</si>
  <si>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</si>
  <si>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</si>
  <si>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</si>
  <si>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</si>
  <si>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</si>
  <si>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</si>
  <si>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</si>
  <si>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</si>
  <si>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</si>
  <si>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</si>
  <si>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</si>
  <si>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</si>
  <si>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</si>
  <si>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</si>
  <si>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</si>
  <si>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</si>
  <si>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</si>
  <si>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</si>
  <si>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</si>
  <si>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</si>
  <si>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</si>
  <si>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</si>
  <si>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</si>
  <si>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</si>
  <si>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</si>
  <si>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</si>
  <si>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</si>
  <si>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</si>
  <si>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</si>
  <si>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</si>
  <si>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</si>
  <si>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</si>
  <si>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</si>
  <si>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</si>
  <si>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</si>
  <si>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</si>
  <si>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</si>
  <si>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</si>
  <si>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</si>
  <si>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</si>
  <si>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</si>
  <si>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</si>
  <si>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</si>
  <si>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</si>
  <si>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</si>
  <si>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</si>
  <si>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</si>
  <si>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</si>
  <si>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</si>
  <si>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</si>
  <si>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</si>
  <si>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</si>
  <si>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</si>
  <si>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</si>
  <si>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</si>
  <si>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</si>
  <si>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</si>
  <si>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</si>
  <si>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</si>
  <si>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</si>
  <si>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</si>
  <si>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</si>
  <si>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</si>
  <si>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</si>
  <si>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</si>
  <si>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</si>
  <si>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</si>
  <si>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</si>
  <si>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</si>
  <si>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</si>
  <si>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</si>
  <si>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</si>
  <si>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</si>
  <si>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</si>
  <si>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</si>
  <si>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</si>
  <si>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</si>
  <si>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</si>
  <si>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</si>
  <si>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</si>
  <si>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</si>
  <si>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</si>
  <si>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</si>
  <si>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</si>
  <si>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</si>
  <si>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</si>
  <si>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</si>
  <si>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</si>
  <si>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</si>
  <si>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</si>
  <si>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</si>
  <si>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</si>
  <si>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</si>
  <si>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</si>
  <si>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</si>
  <si>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</si>
  <si>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</si>
  <si>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</si>
  <si>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</si>
  <si>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</si>
  <si>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</si>
  <si>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</si>
  <si>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</si>
  <si>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</si>
  <si>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</si>
  <si>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</si>
  <si>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</si>
  <si>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</si>
  <si>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</si>
  <si>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</si>
  <si>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</si>
  <si>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</si>
  <si>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</si>
  <si>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</si>
  <si>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</si>
  <si>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</si>
  <si>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</si>
  <si>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</si>
  <si>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</si>
  <si>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</si>
  <si>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</si>
  <si>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</si>
  <si>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</si>
  <si>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</si>
  <si>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</si>
  <si>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</si>
  <si>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</si>
  <si>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</si>
  <si>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</si>
  <si>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</si>
  <si>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</si>
  <si>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</si>
  <si>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</si>
  <si>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</si>
  <si>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</si>
  <si>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</si>
  <si>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</si>
  <si>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</si>
  <si>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</si>
  <si>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</si>
  <si>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</si>
  <si>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</si>
  <si>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</si>
  <si>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</si>
  <si>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</si>
  <si>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</si>
  <si>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</si>
  <si>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</si>
  <si>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</si>
  <si>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</si>
  <si>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</si>
  <si>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</si>
  <si>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</si>
  <si>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</si>
  <si>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</si>
  <si>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</si>
  <si>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</si>
  <si>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</si>
  <si>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</si>
  <si>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</si>
  <si>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</si>
  <si>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</si>
  <si>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</si>
  <si>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</si>
  <si>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</si>
  <si>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</si>
  <si>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</si>
  <si>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</si>
  <si>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</si>
  <si>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</si>
  <si>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</si>
  <si>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</si>
  <si>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</si>
  <si>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</si>
  <si>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</si>
  <si>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</si>
  <si>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</si>
  <si>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</si>
  <si>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</si>
  <si>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</si>
  <si>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</si>
  <si>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</si>
  <si>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</si>
  <si>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</si>
  <si>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</si>
  <si>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</si>
  <si>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</si>
  <si>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</si>
  <si>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</si>
  <si>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</si>
  <si>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</si>
  <si>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</si>
  <si>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</si>
  <si>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</si>
  <si>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</si>
  <si>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</si>
  <si>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</si>
  <si>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</si>
  <si>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</si>
  <si>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</si>
  <si>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</si>
  <si>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</si>
  <si>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</si>
  <si>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</si>
  <si>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</si>
  <si>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</si>
  <si>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</si>
  <si>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</si>
  <si>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</si>
  <si>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</si>
  <si>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</si>
  <si>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</si>
  <si>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</si>
  <si>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</si>
  <si>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</si>
  <si>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</si>
  <si>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</si>
  <si>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</si>
  <si>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</si>
  <si>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</si>
  <si>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</si>
  <si>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</si>
  <si>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</si>
  <si>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</si>
  <si>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</si>
  <si>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</si>
  <si>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</si>
  <si>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</si>
  <si>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</si>
  <si>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</si>
  <si>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</si>
  <si>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</si>
  <si>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</si>
  <si>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</si>
  <si>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</si>
  <si>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</si>
  <si>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</si>
  <si>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</si>
  <si>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</si>
  <si>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</si>
  <si>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</si>
  <si>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</si>
  <si>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</si>
  <si>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</si>
  <si>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</si>
  <si>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</si>
  <si>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</si>
  <si>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</si>
  <si>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</si>
  <si>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</si>
  <si>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</si>
  <si>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</si>
  <si>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</si>
  <si>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</si>
  <si>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</si>
  <si>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</si>
  <si>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</si>
  <si>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</si>
  <si>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</si>
  <si>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</si>
  <si>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</si>
  <si>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</si>
  <si>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</si>
  <si>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</si>
  <si>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</si>
  <si>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</si>
  <si>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</si>
  <si>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</si>
  <si>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</si>
  <si>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</si>
  <si>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</si>
  <si>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</si>
  <si>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</si>
  <si>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</si>
  <si>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</si>
  <si>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</si>
  <si>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</si>
  <si>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</si>
  <si>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</si>
  <si>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</si>
  <si>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</si>
  <si>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</si>
  <si>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</si>
  <si>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</si>
  <si>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</si>
  <si>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</si>
  <si>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</si>
  <si>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</si>
  <si>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</si>
  <si>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</si>
  <si>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</si>
  <si>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</si>
  <si>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</si>
  <si>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</si>
  <si>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</si>
  <si>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</si>
  <si>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</si>
  <si>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</si>
  <si>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</si>
  <si>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</si>
  <si>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</si>
  <si>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</si>
  <si>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</si>
  <si>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</si>
  <si>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</si>
  <si>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</si>
  <si>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</si>
  <si>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</si>
  <si>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</si>
  <si>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</si>
  <si>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</si>
  <si>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</si>
  <si>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</si>
  <si>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</si>
  <si>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</si>
  <si>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</si>
  <si>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</si>
  <si>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</si>
  <si>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</si>
  <si>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</si>
  <si>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</si>
  <si>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</si>
  <si>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</si>
  <si>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</si>
  <si>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</si>
  <si>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</si>
  <si>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</si>
  <si>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</si>
  <si>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</si>
  <si>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</si>
  <si>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</si>
  <si>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</si>
  <si>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</si>
  <si>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</si>
  <si>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</si>
  <si>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</si>
  <si>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</si>
  <si>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</si>
  <si>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</si>
  <si>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</si>
  <si>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</si>
  <si>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</si>
  <si>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</si>
  <si>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</si>
  <si>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</si>
  <si>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</si>
  <si>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</si>
  <si>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</si>
  <si>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</si>
  <si>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</si>
  <si>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</si>
  <si>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</si>
  <si>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</si>
  <si>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</si>
  <si>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</si>
  <si>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</si>
  <si>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</si>
  <si>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</si>
  <si>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</si>
  <si>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</si>
  <si>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</si>
  <si>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</si>
  <si>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</si>
  <si>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</si>
  <si>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</si>
  <si>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</si>
  <si>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</si>
  <si>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</si>
  <si>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</si>
  <si>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</si>
  <si>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</si>
  <si>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</si>
  <si>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</si>
  <si>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</si>
  <si>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</si>
  <si>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</si>
  <si>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</si>
  <si>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</si>
  <si>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</si>
  <si>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</si>
  <si>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</si>
  <si>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</si>
  <si>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</si>
  <si>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</si>
  <si>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</si>
  <si>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</si>
  <si>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</si>
  <si>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</si>
  <si>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</si>
  <si>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</si>
  <si>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</si>
  <si>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</si>
  <si>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</si>
  <si>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</si>
  <si>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</si>
  <si>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</si>
  <si>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</si>
  <si>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</si>
  <si>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</si>
  <si>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</si>
  <si>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</si>
  <si>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</si>
  <si>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</si>
  <si>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</si>
  <si>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</si>
  <si>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</si>
  <si>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</si>
  <si>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</si>
  <si>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</si>
  <si>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</si>
  <si>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</si>
  <si>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</si>
  <si>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</si>
  <si>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</si>
  <si>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</si>
  <si>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</si>
  <si>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</si>
  <si>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</si>
  <si>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</si>
  <si>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</si>
  <si>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</si>
  <si>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</si>
  <si>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</si>
  <si>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</si>
  <si>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</si>
  <si>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</si>
  <si>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</si>
  <si>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</si>
  <si>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</si>
  <si>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</si>
  <si>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</si>
  <si>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</si>
  <si>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</si>
  <si>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</si>
  <si>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</si>
  <si>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</si>
  <si>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</si>
  <si>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</si>
  <si>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</si>
  <si>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</si>
  <si>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</si>
  <si>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</si>
  <si>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</si>
  <si>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</si>
  <si>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</si>
  <si>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</si>
  <si>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</si>
  <si>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</si>
  <si>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</si>
  <si>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</si>
  <si>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</si>
  <si>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</si>
  <si>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</si>
  <si>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</si>
  <si>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</si>
  <si>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</si>
  <si>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</si>
  <si>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</si>
  <si>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</si>
  <si>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</si>
  <si>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</si>
  <si>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</si>
  <si>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</si>
  <si>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</si>
  <si>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</si>
  <si>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</si>
  <si>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</si>
  <si>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</si>
  <si>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</si>
  <si>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</si>
  <si>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</si>
  <si>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</si>
  <si>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</si>
  <si>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</si>
  <si>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</si>
  <si>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</si>
  <si>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</si>
  <si>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</si>
  <si>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</si>
  <si>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</si>
  <si>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</si>
  <si>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</si>
  <si>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</si>
  <si>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</si>
  <si>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</si>
  <si>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</si>
  <si>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</si>
  <si>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</si>
  <si>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</si>
  <si>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</si>
  <si>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</si>
  <si>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</si>
  <si>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</si>
  <si>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</si>
  <si>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</si>
  <si>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</si>
  <si>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</si>
  <si>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</si>
  <si>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</si>
  <si>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</si>
  <si>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</si>
  <si>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</si>
  <si>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</si>
  <si>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</si>
  <si>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</si>
  <si>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</si>
  <si>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</si>
  <si>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</si>
  <si>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</si>
  <si>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</si>
  <si>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</si>
  <si>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</si>
  <si>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</si>
  <si>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</si>
  <si>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</si>
  <si>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</si>
  <si>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</si>
  <si>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</si>
  <si>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</si>
  <si>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</si>
  <si>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</si>
  <si>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</si>
  <si>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</si>
  <si>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</si>
  <si>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</si>
  <si>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</si>
  <si>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</si>
  <si>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</si>
  <si>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</si>
  <si>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</si>
  <si>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</si>
  <si>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</si>
  <si>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</si>
  <si>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</si>
  <si>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</si>
  <si>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</si>
  <si>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</si>
  <si>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</si>
  <si>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</si>
  <si>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</si>
  <si>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</si>
  <si>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</si>
  <si>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</si>
  <si>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</si>
  <si>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</si>
  <si>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</si>
  <si>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</si>
  <si>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</si>
  <si>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</si>
  <si>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</si>
  <si>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</si>
  <si>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</si>
  <si>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</si>
  <si>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</si>
  <si>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</si>
  <si>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</si>
  <si>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</si>
  <si>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</si>
  <si>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</si>
  <si>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</si>
  <si>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</si>
  <si>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</si>
  <si>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</si>
  <si>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</si>
  <si>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</si>
  <si>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</si>
  <si>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</si>
  <si>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</si>
  <si>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</si>
  <si>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</si>
  <si>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</si>
  <si>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</si>
  <si>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</si>
  <si>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</si>
  <si>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</si>
  <si>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</si>
  <si>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</si>
  <si>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</si>
  <si>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</si>
  <si>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</si>
  <si>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</si>
  <si>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</si>
  <si>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</si>
  <si>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</si>
  <si>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</si>
  <si>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</si>
  <si>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</si>
  <si>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</si>
  <si>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</si>
  <si>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</si>
  <si>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</si>
  <si>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</si>
  <si>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</si>
  <si>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</si>
  <si>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</si>
  <si>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</si>
  <si>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</si>
  <si>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</si>
  <si>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</si>
  <si>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</si>
  <si>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</si>
  <si>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</si>
  <si>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</si>
  <si>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</si>
  <si>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</si>
  <si>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</si>
  <si>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</si>
  <si>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</si>
  <si>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</si>
  <si>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</si>
  <si>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</si>
  <si>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</si>
  <si>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</si>
  <si>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</si>
  <si>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</si>
  <si>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</si>
  <si>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</si>
  <si>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</si>
  <si>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</si>
  <si>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</si>
  <si>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</si>
  <si>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</si>
  <si>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</si>
  <si>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</si>
  <si>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</si>
  <si>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</si>
  <si>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</si>
  <si>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</si>
  <si>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</si>
  <si>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</si>
  <si>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</si>
  <si>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</si>
  <si>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</si>
  <si>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</si>
  <si>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</si>
  <si>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</si>
  <si>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</si>
  <si>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</si>
  <si>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</si>
  <si>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</si>
  <si>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</si>
  <si>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</si>
  <si>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</si>
  <si>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</si>
  <si>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</si>
  <si>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</si>
  <si>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</si>
  <si>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</si>
  <si>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</si>
  <si>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</si>
  <si>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</si>
  <si>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</si>
  <si>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</si>
  <si>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</si>
  <si>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</si>
  <si>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</si>
  <si>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</si>
  <si>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</si>
  <si>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</si>
  <si>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</si>
  <si>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</si>
  <si>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</si>
  <si>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</si>
  <si>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</si>
  <si>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</si>
  <si>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</si>
  <si>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</si>
  <si>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</si>
  <si>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</si>
  <si>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</si>
  <si>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</si>
  <si>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</si>
  <si>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</si>
  <si>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</si>
  <si>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</si>
  <si>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</si>
  <si>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</si>
  <si>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</si>
  <si>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</si>
  <si>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</si>
  <si>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</si>
  <si>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</si>
  <si>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</si>
  <si>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</si>
  <si>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</si>
  <si>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</si>
  <si>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</si>
  <si>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</si>
  <si>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</si>
  <si>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</si>
  <si>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</si>
  <si>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</si>
  <si>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</si>
  <si>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</si>
  <si>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</si>
  <si>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</si>
  <si>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</si>
  <si>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</si>
  <si>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</si>
  <si>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</si>
  <si>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</si>
  <si>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</si>
  <si>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</si>
  <si>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</si>
  <si>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</si>
  <si>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</si>
  <si>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</si>
  <si>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</si>
  <si>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</si>
  <si>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</si>
  <si>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</si>
  <si>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</si>
  <si>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</si>
  <si>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</si>
  <si>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</si>
  <si>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</si>
  <si>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</si>
  <si>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</si>
  <si>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</si>
  <si>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</si>
  <si>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</si>
  <si>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</si>
  <si>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</si>
  <si>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</si>
  <si>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</si>
  <si>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</si>
  <si>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</si>
  <si>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</si>
  <si>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</si>
  <si>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</si>
  <si>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</si>
  <si>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</si>
  <si>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</si>
  <si>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</si>
  <si>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</si>
  <si>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</si>
  <si>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</si>
  <si>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</si>
  <si>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</si>
  <si>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</si>
  <si>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</si>
  <si>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</si>
  <si>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</si>
  <si>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</si>
  <si>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</si>
  <si>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</si>
  <si>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</si>
  <si>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</si>
  <si>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</si>
  <si>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</si>
  <si>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</si>
  <si>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</si>
  <si>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</si>
  <si>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</si>
  <si>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</si>
  <si>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</si>
  <si>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</si>
  <si>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</si>
  <si>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</si>
  <si>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</si>
  <si>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</si>
  <si>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</si>
  <si>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</si>
  <si>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</si>
  <si>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</si>
  <si>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</si>
  <si>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</si>
  <si>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</si>
  <si>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</si>
  <si>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</si>
  <si>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</si>
  <si>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</si>
  <si>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</si>
  <si>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</si>
  <si>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</si>
  <si>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</si>
  <si>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</si>
  <si>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</si>
  <si>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</si>
  <si>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</si>
  <si>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</si>
  <si>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</si>
  <si>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</si>
  <si>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</si>
  <si>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</si>
  <si>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</si>
  <si>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</si>
  <si>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</si>
  <si>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</si>
  <si>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</si>
  <si>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</si>
  <si>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</si>
  <si>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</si>
  <si>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</si>
  <si>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</si>
  <si>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</si>
  <si>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</si>
  <si>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</si>
  <si>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</si>
  <si>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</si>
  <si>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</si>
  <si>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</si>
  <si>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</si>
  <si>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</si>
  <si>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</si>
  <si>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</si>
  <si>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</si>
  <si>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</si>
  <si>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</si>
  <si>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</si>
  <si>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</si>
  <si>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</si>
  <si>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</si>
  <si>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</si>
  <si>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</si>
  <si>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</si>
  <si>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</si>
  <si>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</si>
  <si>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</si>
  <si>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</si>
  <si>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</si>
  <si>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</si>
  <si>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</si>
  <si>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</si>
  <si>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</si>
  <si>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</si>
  <si>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</si>
  <si>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</si>
  <si>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</si>
  <si>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</si>
  <si>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</si>
  <si>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</si>
  <si>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</si>
  <si>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</si>
  <si>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</si>
  <si>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</si>
  <si>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</si>
  <si>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</si>
  <si>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</si>
  <si>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</si>
  <si>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</si>
  <si>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</si>
  <si>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</si>
  <si>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</si>
  <si>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</si>
  <si>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</si>
  <si>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</si>
  <si>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</si>
  <si>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</si>
  <si>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</si>
  <si>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</si>
  <si>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</si>
  <si>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</si>
  <si>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</si>
  <si>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</si>
  <si>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</si>
  <si>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</si>
  <si>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</si>
  <si>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</si>
  <si>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</si>
  <si>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</si>
  <si>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</si>
  <si>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</si>
  <si>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</si>
  <si>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</si>
  <si>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</si>
  <si>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</si>
  <si>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</si>
  <si>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</si>
  <si>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</si>
  <si>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</si>
  <si>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</si>
  <si>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</si>
  <si>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</si>
  <si>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</si>
  <si>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</si>
  <si>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</si>
  <si>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</si>
  <si>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</si>
  <si>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</si>
  <si>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</si>
  <si>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</si>
  <si>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</si>
  <si>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</si>
  <si>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</si>
  <si>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</si>
  <si>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</si>
  <si>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</si>
  <si>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</si>
  <si>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</si>
  <si>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</si>
  <si>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</si>
  <si>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</si>
  <si>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</si>
  <si>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</si>
  <si>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</si>
  <si>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</si>
  <si>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</si>
  <si>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</si>
  <si>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</si>
  <si>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</si>
  <si>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</si>
  <si>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</si>
  <si>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</si>
  <si>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</si>
  <si>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</si>
  <si>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</si>
  <si>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</si>
  <si>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</si>
  <si>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</si>
  <si>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</si>
  <si>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</si>
  <si>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</si>
  <si>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</si>
  <si>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</si>
  <si>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</si>
  <si>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</si>
  <si>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</si>
  <si>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</si>
  <si>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</si>
  <si>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</si>
  <si>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</si>
  <si>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</si>
  <si>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</si>
  <si>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</si>
  <si>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</si>
  <si>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</si>
  <si>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</si>
  <si>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</si>
  <si>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</si>
  <si>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</si>
  <si>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</si>
  <si>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</si>
  <si>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</si>
  <si>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</si>
  <si>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</si>
  <si>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</si>
  <si>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</si>
  <si>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</si>
  <si>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</si>
  <si>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</si>
  <si>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</si>
  <si>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</si>
  <si>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</si>
  <si>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</si>
  <si>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</si>
  <si>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</si>
  <si>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</si>
  <si>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</si>
  <si>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</si>
  <si>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</si>
  <si>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</si>
  <si>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</si>
  <si>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</si>
  <si>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</si>
  <si>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</si>
  <si>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</si>
  <si>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</si>
  <si>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</si>
  <si>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</si>
  <si>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</si>
  <si>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</si>
  <si>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</si>
  <si>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</si>
  <si>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</si>
  <si>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</si>
  <si>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</si>
  <si>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</si>
  <si>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</si>
  <si>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</si>
  <si>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</si>
  <si>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</si>
  <si>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</si>
  <si>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</si>
  <si>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</si>
  <si>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</si>
  <si>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</si>
  <si>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</si>
  <si>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</si>
  <si>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</si>
  <si>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</si>
  <si>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</si>
  <si>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</si>
  <si>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</si>
  <si>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</si>
  <si>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</si>
  <si>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</si>
  <si>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</si>
  <si>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</si>
  <si>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</si>
  <si>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</si>
  <si>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</si>
  <si>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</si>
  <si>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</si>
  <si>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</si>
  <si>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</si>
  <si>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</si>
  <si>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</si>
  <si>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</si>
  <si>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</si>
  <si>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</si>
  <si>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</si>
  <si>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</si>
  <si>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</si>
  <si>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</si>
  <si>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</si>
  <si>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</si>
  <si>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</si>
  <si>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</si>
  <si>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</si>
  <si>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</si>
  <si>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</si>
  <si>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</si>
  <si>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</si>
  <si>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</si>
  <si>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</si>
  <si>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</si>
  <si>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</si>
  <si>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</si>
  <si>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</si>
  <si>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</si>
  <si>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</si>
  <si>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</si>
  <si>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</si>
  <si>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</si>
  <si>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</si>
  <si>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</si>
  <si>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</si>
  <si>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</si>
  <si>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</si>
  <si>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</si>
  <si>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</si>
  <si>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</si>
  <si>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</si>
  <si>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</si>
  <si>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</si>
  <si>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</si>
  <si>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</si>
  <si>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</si>
  <si>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</si>
  <si>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</si>
  <si>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</si>
  <si>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</si>
  <si>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</si>
  <si>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</si>
  <si>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</si>
  <si>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</si>
  <si>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</si>
  <si>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</si>
  <si>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</si>
  <si>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</si>
  <si>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</si>
  <si>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</si>
  <si>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</si>
  <si>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</si>
  <si>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</si>
  <si>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</si>
  <si>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</si>
  <si>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</si>
  <si>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</si>
  <si>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</si>
  <si>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</si>
  <si>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</si>
  <si>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</si>
  <si>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</si>
  <si>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</si>
  <si>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</si>
  <si>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</si>
  <si>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</si>
  <si>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</si>
  <si>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</si>
  <si>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</si>
  <si>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</si>
  <si>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</si>
  <si>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</si>
  <si>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</si>
  <si>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</si>
  <si>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</si>
  <si>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</si>
  <si>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</si>
  <si>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</si>
  <si>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</si>
  <si>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</si>
  <si>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</si>
  <si>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</si>
  <si>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</si>
  <si>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</si>
  <si>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</si>
  <si>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</si>
  <si>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</si>
  <si>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</si>
  <si>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</si>
  <si>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</si>
  <si>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</si>
  <si>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</si>
  <si>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</si>
  <si>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</si>
  <si>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</si>
  <si>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</si>
  <si>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</si>
  <si>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</si>
  <si>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</si>
  <si>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</si>
  <si>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</si>
  <si>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</si>
  <si>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</si>
  <si>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</si>
  <si>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</si>
  <si>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</si>
  <si>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</si>
  <si>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</si>
  <si>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</si>
  <si>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</si>
  <si>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</si>
  <si>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</si>
  <si>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</si>
  <si>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</si>
  <si>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</si>
  <si>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</si>
  <si>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</si>
  <si>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</si>
  <si>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</si>
  <si>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</si>
  <si>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</si>
  <si>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</si>
  <si>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</si>
  <si>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</si>
  <si>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</si>
  <si>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</si>
  <si>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</si>
  <si>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</si>
  <si>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</si>
  <si>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</si>
  <si>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</si>
  <si>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</si>
  <si>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</si>
  <si>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</si>
  <si>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</si>
  <si>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</si>
  <si>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</si>
  <si>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</si>
  <si>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</si>
  <si>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</si>
  <si>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</si>
  <si>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</si>
  <si>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</si>
  <si>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</si>
  <si>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</si>
  <si>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</si>
  <si>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</si>
  <si>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</si>
  <si>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</si>
  <si>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</si>
  <si>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</si>
  <si>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</si>
  <si>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</si>
  <si>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</si>
  <si>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</si>
  <si>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</si>
  <si>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</si>
  <si>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</si>
  <si>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</si>
  <si>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</si>
  <si>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</si>
  <si>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</si>
  <si>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</si>
  <si>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</si>
  <si>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</si>
  <si>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</si>
  <si>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</si>
  <si>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</si>
  <si>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</si>
  <si>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</si>
  <si>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</si>
  <si>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</si>
  <si>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</si>
  <si>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</si>
  <si>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</si>
  <si>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</si>
  <si>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</si>
  <si>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</si>
  <si>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</si>
  <si>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</si>
  <si>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</si>
  <si>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</si>
  <si>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</si>
  <si>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</si>
  <si>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</si>
  <si>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</si>
  <si>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</si>
  <si>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</si>
  <si>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</si>
  <si>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</si>
  <si>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</si>
  <si>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</si>
  <si>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</si>
  <si>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</si>
  <si>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</si>
  <si>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</si>
  <si>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</si>
  <si>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</si>
  <si>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</si>
  <si>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</si>
  <si>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</si>
  <si>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</si>
  <si>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</si>
  <si>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</si>
  <si>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</si>
  <si>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</si>
  <si>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</si>
  <si>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</si>
  <si>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</si>
  <si>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</si>
  <si>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</si>
  <si>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</si>
  <si>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</si>
  <si>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</si>
  <si>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</si>
  <si>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</si>
  <si>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</si>
  <si>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</si>
  <si>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</si>
  <si>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</si>
  <si>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</si>
  <si>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</si>
  <si>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</si>
  <si>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</si>
  <si>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</si>
  <si>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</si>
  <si>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</si>
  <si>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</si>
  <si>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</si>
  <si>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</si>
  <si>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</si>
  <si>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</si>
  <si>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</si>
  <si>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</si>
  <si>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</si>
  <si>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</si>
  <si>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</si>
  <si>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</si>
  <si>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</si>
  <si>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</si>
  <si>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</si>
  <si>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</si>
  <si>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</si>
  <si>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</si>
  <si>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</si>
  <si>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</si>
  <si>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</si>
  <si>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</si>
  <si>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</si>
  <si>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</si>
  <si>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</si>
  <si>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</si>
  <si>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</si>
  <si>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</si>
  <si>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</si>
  <si>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</si>
  <si>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</si>
  <si>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</si>
  <si>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</si>
  <si>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</si>
  <si>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</si>
  <si>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</si>
  <si>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</si>
  <si>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</si>
  <si>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</si>
  <si>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</si>
  <si>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</si>
  <si>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</si>
  <si>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</si>
  <si>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</si>
  <si>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</si>
  <si>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</si>
  <si>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</si>
  <si>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</si>
  <si>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</si>
  <si>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</si>
  <si>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</si>
  <si>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</si>
  <si>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</si>
  <si>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</si>
  <si>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</si>
  <si>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</si>
  <si>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</si>
  <si>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</si>
  <si>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</si>
  <si>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</si>
  <si>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</si>
  <si>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</si>
  <si>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</si>
  <si>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</si>
  <si>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</si>
  <si>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</si>
  <si>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</si>
  <si>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</si>
  <si>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</si>
  <si>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</si>
  <si>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</si>
  <si>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</si>
  <si>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</si>
  <si>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</si>
  <si>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</si>
  <si>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</si>
  <si>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</si>
  <si>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</si>
  <si>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</si>
  <si>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</si>
  <si>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</si>
  <si>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</si>
  <si>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</si>
  <si>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</si>
  <si>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</si>
  <si>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</si>
  <si>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</si>
  <si>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</si>
  <si>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</si>
  <si>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</si>
  <si>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</si>
  <si>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</si>
  <si>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</si>
  <si>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</si>
  <si>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</si>
  <si>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</si>
  <si>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</si>
  <si>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</si>
  <si>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</si>
  <si>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</si>
  <si>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</si>
  <si>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</si>
  <si>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</si>
  <si>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</si>
  <si>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</si>
  <si>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</si>
  <si>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</si>
  <si>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</si>
  <si>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</si>
  <si>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</si>
  <si>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</si>
  <si>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</si>
  <si>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</si>
  <si>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</si>
  <si>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</si>
  <si>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</si>
  <si>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</si>
  <si>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</si>
  <si>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</si>
  <si>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</si>
  <si>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</si>
  <si>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</si>
  <si>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</si>
  <si>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</si>
  <si>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</si>
  <si>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</si>
  <si>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</si>
  <si>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</si>
  <si>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</si>
  <si>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</si>
  <si>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</si>
  <si>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</si>
  <si>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</si>
  <si>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</si>
  <si>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</si>
  <si>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</si>
  <si>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</si>
  <si>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</si>
  <si>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</si>
  <si>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</si>
  <si>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</si>
  <si>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</si>
  <si>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</si>
  <si>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</si>
  <si>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</si>
  <si>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</si>
  <si>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</si>
  <si>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</si>
  <si>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</si>
  <si>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</si>
  <si>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</si>
  <si>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</si>
  <si>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</si>
  <si>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</si>
  <si>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</si>
  <si>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</si>
  <si>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</si>
  <si>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</si>
  <si>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</si>
  <si>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</si>
  <si>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</si>
  <si>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</si>
  <si>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</si>
  <si>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</si>
  <si>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</si>
  <si>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</si>
  <si>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</si>
  <si>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</si>
  <si>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</si>
  <si>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</si>
  <si>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</si>
  <si>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</si>
  <si>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</si>
  <si>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</si>
  <si>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</si>
  <si>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</si>
  <si>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</si>
  <si>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</si>
  <si>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</si>
  <si>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</si>
  <si>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</si>
  <si>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</si>
  <si>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</si>
  <si>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</si>
  <si>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</si>
  <si>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</si>
  <si>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</si>
  <si>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</si>
  <si>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</si>
  <si>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</si>
  <si>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</si>
  <si>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</si>
  <si>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</si>
  <si>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</si>
  <si>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</si>
  <si>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</si>
  <si>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</si>
  <si>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</si>
  <si>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</si>
  <si>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</si>
  <si>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</si>
  <si>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</si>
  <si>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</si>
  <si>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</si>
  <si>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</si>
  <si>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</si>
  <si>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</si>
  <si>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</si>
  <si>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</si>
  <si>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</si>
  <si>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</si>
  <si>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</si>
  <si>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</si>
  <si>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</si>
  <si>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</si>
  <si>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</si>
  <si>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</si>
  <si>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</si>
  <si>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</si>
  <si>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</si>
  <si>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</si>
  <si>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</si>
  <si>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</si>
  <si>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</si>
  <si>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</si>
  <si>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</si>
  <si>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</si>
  <si>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</si>
  <si>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</si>
  <si>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</si>
  <si>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</si>
  <si>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</si>
  <si>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</si>
  <si>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</si>
  <si>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</si>
  <si>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</si>
  <si>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</si>
  <si>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</si>
  <si>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</si>
  <si>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</si>
  <si>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</si>
  <si>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</si>
  <si>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</si>
  <si>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</si>
  <si>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</si>
  <si>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</si>
  <si>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</si>
  <si>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</si>
  <si>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</si>
  <si>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</si>
  <si>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</si>
  <si>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</si>
  <si>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</si>
  <si>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</si>
  <si>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</si>
  <si>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</si>
  <si>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</si>
  <si>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</si>
  <si>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</si>
  <si>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</si>
  <si>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</si>
  <si>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</si>
  <si>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</si>
  <si>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</si>
  <si>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</si>
  <si>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</si>
  <si>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</si>
  <si>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</si>
  <si>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</si>
  <si>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</si>
  <si>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</si>
  <si>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</si>
  <si>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</si>
  <si>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</si>
  <si>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</si>
  <si>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</si>
  <si>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</si>
  <si>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</si>
  <si>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</si>
  <si>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</si>
  <si>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</si>
  <si>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</si>
  <si>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</si>
  <si>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</si>
  <si>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</si>
  <si>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</si>
  <si>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</si>
  <si>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</si>
  <si>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</si>
  <si>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</si>
  <si>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</si>
  <si>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</si>
  <si>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</si>
  <si>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</si>
  <si>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</si>
  <si>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</si>
  <si>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</si>
  <si>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</si>
  <si>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</si>
  <si>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</si>
  <si>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</si>
  <si>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</si>
  <si>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</si>
  <si>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</si>
  <si>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</si>
  <si>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</si>
  <si>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</si>
  <si>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</si>
  <si>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</si>
  <si>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</si>
  <si>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</si>
  <si>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</si>
  <si>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</si>
  <si>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</si>
  <si>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</si>
  <si>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</si>
  <si>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</si>
  <si>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</si>
  <si>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</si>
  <si>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</si>
  <si>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</si>
  <si>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</si>
  <si>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</si>
  <si>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</si>
  <si>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</si>
  <si>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</si>
  <si>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</si>
  <si>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</si>
  <si>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</si>
  <si>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</si>
  <si>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</si>
  <si>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</si>
  <si>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</si>
  <si>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</si>
  <si>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</si>
  <si>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</si>
  <si>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</si>
  <si>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</si>
  <si>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</si>
  <si>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</si>
  <si>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</si>
  <si>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</si>
  <si>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</si>
  <si>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</si>
  <si>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</si>
  <si>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</si>
  <si>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</si>
  <si>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</si>
  <si>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</si>
  <si>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</si>
  <si>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</si>
  <si>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</si>
  <si>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</si>
  <si>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</si>
  <si>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</si>
  <si>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</si>
  <si>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</si>
  <si>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</si>
  <si>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</si>
  <si>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</si>
  <si>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</si>
  <si>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</si>
  <si>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</si>
  <si>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</si>
  <si>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</si>
  <si>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</si>
  <si>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</si>
  <si>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</si>
  <si>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</si>
  <si>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</si>
  <si>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</si>
  <si>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</si>
  <si>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</si>
  <si>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</si>
  <si>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</si>
  <si>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</si>
  <si>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</si>
  <si>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</si>
  <si>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</si>
  <si>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</si>
  <si>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</si>
  <si>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</si>
  <si>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</si>
  <si>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</si>
  <si>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</si>
  <si>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</si>
  <si>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</si>
  <si>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</si>
  <si>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</si>
  <si>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</si>
  <si>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</si>
  <si>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</si>
  <si>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</si>
  <si>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</si>
  <si>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</si>
  <si>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</si>
  <si>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</si>
  <si>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</si>
  <si>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</si>
  <si>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</si>
  <si>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</si>
  <si>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</si>
  <si>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</si>
  <si>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</si>
  <si>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</si>
  <si>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</si>
  <si>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</si>
  <si>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</si>
  <si>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</si>
  <si>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</si>
  <si>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</si>
  <si>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</si>
  <si>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</si>
  <si>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</si>
  <si>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</si>
  <si>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</si>
  <si>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</si>
  <si>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</si>
  <si>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</si>
  <si>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</si>
  <si>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</si>
  <si>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</si>
  <si>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</si>
  <si>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</si>
  <si>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</si>
  <si>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</si>
  <si>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</si>
  <si>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</si>
  <si>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</si>
  <si>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</si>
  <si>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</si>
  <si>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</si>
  <si>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</si>
  <si>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</si>
  <si>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</si>
  <si>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</si>
  <si>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</si>
  <si>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</si>
  <si>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</si>
  <si>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</si>
  <si>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</si>
  <si>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</si>
  <si>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</si>
  <si>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</si>
  <si>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</si>
  <si>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</si>
  <si>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</si>
  <si>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</si>
  <si>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</si>
  <si>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</si>
  <si>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</si>
  <si>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</si>
  <si>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</si>
  <si>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</si>
  <si>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</si>
  <si>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</si>
  <si>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</si>
  <si>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</si>
  <si>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</si>
  <si>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</si>
  <si>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</si>
  <si>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</si>
  <si>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</si>
  <si>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</si>
  <si>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</si>
  <si>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</si>
  <si>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</si>
  <si>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</si>
  <si>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</si>
  <si>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</si>
  <si>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</si>
  <si>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</si>
  <si>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</si>
  <si>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</si>
  <si>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</si>
  <si>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</si>
  <si>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</si>
  <si>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</si>
  <si>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</si>
  <si>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</si>
  <si>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</si>
  <si>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</si>
  <si>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</si>
  <si>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</si>
  <si>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</si>
  <si>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</si>
  <si>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</si>
  <si>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</si>
  <si>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</si>
  <si>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</si>
  <si>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</si>
  <si>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</si>
  <si>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</si>
  <si>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</si>
  <si>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</si>
  <si>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</si>
  <si>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</si>
  <si>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</si>
  <si>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</si>
  <si>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</si>
  <si>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</si>
  <si>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</si>
  <si>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</si>
  <si>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</si>
  <si>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</si>
  <si>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</si>
  <si>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</si>
  <si>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</si>
  <si>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</si>
  <si>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</si>
  <si>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</si>
  <si>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</si>
  <si>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</si>
  <si>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</si>
  <si>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</si>
  <si>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</si>
  <si>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</si>
  <si>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</si>
  <si>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</si>
  <si>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</si>
  <si>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</si>
  <si>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</si>
  <si>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</si>
  <si>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</si>
  <si>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</si>
  <si>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</si>
  <si>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</si>
  <si>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</si>
  <si>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</si>
  <si>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</si>
  <si>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</si>
  <si>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</si>
  <si>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</si>
  <si>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</si>
  <si>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</si>
  <si>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</si>
  <si>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</si>
  <si>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</si>
  <si>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</si>
  <si>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</si>
  <si>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</si>
  <si>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</si>
  <si>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</si>
  <si>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</si>
  <si>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</si>
  <si>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</si>
  <si>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</si>
  <si>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</si>
  <si>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</si>
  <si>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</si>
  <si>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</si>
  <si>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</si>
  <si>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</si>
  <si>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</si>
  <si>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</si>
  <si>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</si>
  <si>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</si>
  <si>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</si>
  <si>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</si>
  <si>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</si>
  <si>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</si>
  <si>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</si>
  <si>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</si>
  <si>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</si>
  <si>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</si>
  <si>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</si>
  <si>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</si>
  <si>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</si>
  <si>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</si>
  <si>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</si>
  <si>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</si>
  <si>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</si>
  <si>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</si>
  <si>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</si>
  <si>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</si>
  <si>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</si>
  <si>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</si>
  <si>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</si>
  <si>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</si>
  <si>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</si>
  <si>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</si>
  <si>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</si>
  <si>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</si>
  <si>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</si>
  <si>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</si>
  <si>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</si>
  <si>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</si>
  <si>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</si>
  <si>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</si>
  <si>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</si>
  <si>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</si>
  <si>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</si>
  <si>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</si>
  <si>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</si>
  <si>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</si>
  <si>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</si>
  <si>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</si>
  <si>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</si>
  <si>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</si>
  <si>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</si>
  <si>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</si>
  <si>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</si>
  <si>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</si>
  <si>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</si>
  <si>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</si>
  <si>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</si>
  <si>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</si>
  <si>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</si>
  <si>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</si>
  <si>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</si>
  <si>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</si>
  <si>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</si>
  <si>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</si>
  <si>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</si>
  <si>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</si>
  <si>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</si>
  <si>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</si>
  <si>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</si>
  <si>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</si>
  <si>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</si>
  <si>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</si>
  <si>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</si>
  <si>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</si>
  <si>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</si>
  <si>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</si>
  <si>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</si>
  <si>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</si>
  <si>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</si>
  <si>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</si>
  <si>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</si>
  <si>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</si>
  <si>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</si>
  <si>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</si>
  <si>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</si>
  <si>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</si>
  <si>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</si>
  <si>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</si>
  <si>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</si>
  <si>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</si>
  <si>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</si>
  <si>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</si>
  <si>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</si>
  <si>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</si>
  <si>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</si>
  <si>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</si>
  <si>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</si>
  <si>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</si>
  <si>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</si>
  <si>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</si>
  <si>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</si>
  <si>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</si>
  <si>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</si>
  <si>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</si>
  <si>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</si>
  <si>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</si>
  <si>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</si>
  <si>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</si>
  <si>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</si>
  <si>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</si>
  <si>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</si>
  <si>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</si>
  <si>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</si>
  <si>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</si>
  <si>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</si>
  <si>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</si>
  <si>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</si>
  <si>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</si>
  <si>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</si>
  <si>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</si>
  <si>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</si>
  <si>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</si>
  <si>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</si>
  <si>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</si>
  <si>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</si>
  <si>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</si>
  <si>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</si>
  <si>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</si>
  <si>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</si>
  <si>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</si>
  <si>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</si>
  <si>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</si>
  <si>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</si>
  <si>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</si>
  <si>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</si>
  <si>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</si>
  <si>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</si>
  <si>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</si>
  <si>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</si>
  <si>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</si>
  <si>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</si>
  <si>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</si>
  <si>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</si>
  <si>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</si>
  <si>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</si>
  <si>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</si>
  <si>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</si>
  <si>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</si>
  <si>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</si>
  <si>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</si>
  <si>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</si>
  <si>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</si>
  <si>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</si>
  <si>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</si>
  <si>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</si>
  <si>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</si>
  <si>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</si>
  <si>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</si>
  <si>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</si>
  <si>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</si>
  <si>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</si>
  <si>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</si>
  <si>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</si>
  <si>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</si>
  <si>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</si>
  <si>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</si>
  <si>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</si>
  <si>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</si>
  <si>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</si>
  <si>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</si>
  <si>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</si>
  <si>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</si>
  <si>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</si>
  <si>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</si>
  <si>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</si>
  <si>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</si>
  <si>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</si>
  <si>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</si>
  <si>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</si>
  <si>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</si>
  <si>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</si>
  <si>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</si>
  <si>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</si>
  <si>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</si>
  <si>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</si>
  <si>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</si>
  <si>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</si>
  <si>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</si>
  <si>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</si>
  <si>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</si>
  <si>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</si>
  <si>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</si>
  <si>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</si>
  <si>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</si>
  <si>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</si>
  <si>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</si>
  <si>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</si>
  <si>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</si>
  <si>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</si>
  <si>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</si>
  <si>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</si>
  <si>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</si>
  <si>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</si>
  <si>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</si>
  <si>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</si>
  <si>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</si>
  <si>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</si>
  <si>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</si>
  <si>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</si>
  <si>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</si>
  <si>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</si>
  <si>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</si>
  <si>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</si>
  <si>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</si>
  <si>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</si>
  <si>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</si>
  <si>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</si>
  <si>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</si>
  <si>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</si>
  <si>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</si>
  <si>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</si>
  <si>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</si>
  <si>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</si>
  <si>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</si>
  <si>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</si>
  <si>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</si>
  <si>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</si>
  <si>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</si>
  <si>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</si>
  <si>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</si>
  <si>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</si>
  <si>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</si>
  <si>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</si>
  <si>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</si>
  <si>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</si>
  <si>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</si>
  <si>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</si>
  <si>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</si>
  <si>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</si>
  <si>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</si>
  <si>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</si>
  <si>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</si>
  <si>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</si>
  <si>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</si>
  <si>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</si>
  <si>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</si>
  <si>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</si>
  <si>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</si>
  <si>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</si>
  <si>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</si>
  <si>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</si>
  <si>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</si>
  <si>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</si>
  <si>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</si>
  <si>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</si>
  <si>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</si>
  <si>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</si>
  <si>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</si>
  <si>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</si>
  <si>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</si>
  <si>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</si>
  <si>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</si>
  <si>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</si>
  <si>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</si>
  <si>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</si>
  <si>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</si>
  <si>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</si>
  <si>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</si>
  <si>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</si>
  <si>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</si>
  <si>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</si>
  <si>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</si>
  <si>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</si>
  <si>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</si>
  <si>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</si>
  <si>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</si>
  <si>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</si>
  <si>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</si>
  <si>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</si>
  <si>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</si>
  <si>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</si>
  <si>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</si>
  <si>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</si>
  <si>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</si>
  <si>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</si>
  <si>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</si>
  <si>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</si>
  <si>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</si>
  <si>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</si>
  <si>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</si>
  <si>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</si>
  <si>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</si>
  <si>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</si>
  <si>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</si>
  <si>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</si>
  <si>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</si>
  <si>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</si>
  <si>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</si>
  <si>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</si>
  <si>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</si>
  <si>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</si>
  <si>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</si>
  <si>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</si>
  <si>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</si>
  <si>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</si>
  <si>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</si>
  <si>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</si>
  <si>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</si>
  <si>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</si>
  <si>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</si>
  <si>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</si>
  <si>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</si>
  <si>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</si>
  <si>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</si>
  <si>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</si>
  <si>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</si>
  <si>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</si>
  <si>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</si>
  <si>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</si>
  <si>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</si>
  <si>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</si>
  <si>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</si>
  <si>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</si>
  <si>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</si>
  <si>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</si>
  <si>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</si>
  <si>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</si>
  <si>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</si>
  <si>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</si>
  <si>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</si>
  <si>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</si>
  <si>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</si>
  <si>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</si>
  <si>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</si>
  <si>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</si>
  <si>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</si>
  <si>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</si>
  <si>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</si>
  <si>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</si>
  <si>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</si>
  <si>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</si>
  <si>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</si>
  <si>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</si>
  <si>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</si>
  <si>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</si>
  <si>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</si>
  <si>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</si>
  <si>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</si>
  <si>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</si>
  <si>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</si>
  <si>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</si>
  <si>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</si>
  <si>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</si>
  <si>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</si>
  <si>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</si>
  <si>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</si>
  <si>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</si>
  <si>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</si>
  <si>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</si>
  <si>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</si>
  <si>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</si>
  <si>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</si>
  <si>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</si>
  <si>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</si>
  <si>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</si>
  <si>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</si>
  <si>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</si>
  <si>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</si>
  <si>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</si>
  <si>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</si>
  <si>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</si>
  <si>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</si>
  <si>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</si>
  <si>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</si>
  <si>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</si>
  <si>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</si>
  <si>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</si>
  <si>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</si>
  <si>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</si>
  <si>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</si>
  <si>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</si>
  <si>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</si>
  <si>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</si>
  <si>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</si>
  <si>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</si>
  <si>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</si>
  <si>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</si>
  <si>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</si>
  <si>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</si>
  <si>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</si>
  <si>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</si>
  <si>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</si>
  <si>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</si>
  <si>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</si>
  <si>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</si>
  <si>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</si>
  <si>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</si>
  <si>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</si>
  <si>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</si>
  <si>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</si>
  <si>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</si>
  <si>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</si>
  <si>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</si>
  <si>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</si>
  <si>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</si>
  <si>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</si>
  <si>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</si>
  <si>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</si>
  <si>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</si>
  <si>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</si>
  <si>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</si>
  <si>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</si>
  <si>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</si>
  <si>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</si>
  <si>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</si>
  <si>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</si>
  <si>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</si>
  <si>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</si>
  <si>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</si>
  <si>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</si>
  <si>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</si>
  <si>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</si>
  <si>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</si>
  <si>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</si>
  <si>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</si>
  <si>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</si>
  <si>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</si>
  <si>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</si>
  <si>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</si>
  <si>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</si>
  <si>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</si>
  <si>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</si>
  <si>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</si>
  <si>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</si>
  <si>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</si>
  <si>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</si>
  <si>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</si>
  <si>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</si>
  <si>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</si>
  <si>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</si>
  <si>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</si>
  <si>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</si>
  <si>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</si>
  <si>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</si>
  <si>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</si>
  <si>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</si>
  <si>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</si>
  <si>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</si>
  <si>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</si>
  <si>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</si>
  <si>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</si>
  <si>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</si>
  <si>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</si>
  <si>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</si>
  <si>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</si>
  <si>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</si>
  <si>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</si>
  <si>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</si>
  <si>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</si>
  <si>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</si>
  <si>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</si>
  <si>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</si>
  <si>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</si>
  <si>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</si>
  <si>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</si>
  <si>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</si>
  <si>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</si>
  <si>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</si>
  <si>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</si>
  <si>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</si>
  <si>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</si>
  <si>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</si>
  <si>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</si>
  <si>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</si>
  <si>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</si>
  <si>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</si>
  <si>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</si>
  <si>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</si>
  <si>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</si>
  <si>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</si>
  <si>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</si>
  <si>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</si>
  <si>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</si>
  <si>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</si>
  <si>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</si>
  <si>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</si>
  <si>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</si>
  <si>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</si>
  <si>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</si>
  <si>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</si>
  <si>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</si>
  <si>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</si>
  <si>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</si>
  <si>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</si>
  <si>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</si>
  <si>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</si>
  <si>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</si>
  <si>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</si>
  <si>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</si>
  <si>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</si>
  <si>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</si>
  <si>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</si>
  <si>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</si>
  <si>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</si>
  <si>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</si>
  <si>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</si>
  <si>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</si>
  <si>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</si>
  <si>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</si>
  <si>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</si>
  <si>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</si>
  <si>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</si>
  <si>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</si>
  <si>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</si>
  <si>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</si>
  <si>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</si>
  <si>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</si>
  <si>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</si>
  <si>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</si>
  <si>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</si>
  <si>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</si>
  <si>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</si>
  <si>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</si>
  <si>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</si>
  <si>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</si>
  <si>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</si>
  <si>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</si>
  <si>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</si>
  <si>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</si>
  <si>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</si>
  <si>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</si>
  <si>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</si>
  <si>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</si>
  <si>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</si>
  <si>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</si>
  <si>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</si>
  <si>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</si>
  <si>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</si>
  <si>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</si>
  <si>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</si>
  <si>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</si>
  <si>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</si>
  <si>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</si>
  <si>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</si>
  <si>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</si>
  <si>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</si>
  <si>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</si>
  <si>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</si>
  <si>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</si>
  <si>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</si>
  <si>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</si>
  <si>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</si>
  <si>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</si>
  <si>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</si>
  <si>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</si>
  <si>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</si>
  <si>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</si>
  <si>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</si>
  <si>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</si>
  <si>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</si>
  <si>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</si>
  <si>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</si>
  <si>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</si>
  <si>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</si>
  <si>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</si>
  <si>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</si>
  <si>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</si>
  <si>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</si>
  <si>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</si>
  <si>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</si>
  <si>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</si>
  <si>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</si>
  <si>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</si>
  <si>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</si>
  <si>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</si>
  <si>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</si>
  <si>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</si>
  <si>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</si>
  <si>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</si>
  <si>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</si>
  <si>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</si>
  <si>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</si>
  <si>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</si>
  <si>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</si>
  <si>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</si>
  <si>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</si>
  <si>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</si>
  <si>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</si>
  <si>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</si>
  <si>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</si>
  <si>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</si>
  <si>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</si>
  <si>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</si>
  <si>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</si>
  <si>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</si>
  <si>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</si>
  <si>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</si>
  <si>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</si>
  <si>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</si>
  <si>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</si>
  <si>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</si>
  <si>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</si>
  <si>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</si>
  <si>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</si>
  <si>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</si>
  <si>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</si>
  <si>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</si>
  <si>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</si>
  <si>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</si>
  <si>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</si>
  <si>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</si>
  <si>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</si>
  <si>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</si>
  <si>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</si>
  <si>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</si>
  <si>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</si>
  <si>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</si>
  <si>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</si>
  <si>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</si>
  <si>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</si>
  <si>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</si>
  <si>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</si>
  <si>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</si>
  <si>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</si>
  <si>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</si>
  <si>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</si>
  <si>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</si>
  <si>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</si>
  <si>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</si>
  <si>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</si>
  <si>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</si>
  <si>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</si>
  <si>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</si>
  <si>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</si>
  <si>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</si>
  <si>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</si>
  <si>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</si>
  <si>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</si>
  <si>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</si>
  <si>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</si>
  <si>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</si>
  <si>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</si>
  <si>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</si>
  <si>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</si>
  <si>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</si>
  <si>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</si>
  <si>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</si>
  <si>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</si>
  <si>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</si>
  <si>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</si>
  <si>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</si>
  <si>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</si>
  <si>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</si>
  <si>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</si>
  <si>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</si>
  <si>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</si>
  <si>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</si>
  <si>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</si>
  <si>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</si>
  <si>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</si>
  <si>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</si>
  <si>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</si>
  <si>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</si>
  <si>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</si>
  <si>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</si>
  <si>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</si>
  <si>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</si>
  <si>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</si>
  <si>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</si>
  <si>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</si>
  <si>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</si>
  <si>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</si>
  <si>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</si>
  <si>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</si>
  <si>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</si>
  <si>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</si>
  <si>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</si>
  <si>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</si>
  <si>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</si>
  <si>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</si>
  <si>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</si>
  <si>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</si>
  <si>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</si>
  <si>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</si>
  <si>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</si>
  <si>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</si>
  <si>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</si>
  <si>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</si>
  <si>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</si>
  <si>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</si>
  <si>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</si>
  <si>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</si>
  <si>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</si>
  <si>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</si>
  <si>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</si>
  <si>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</si>
  <si>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</si>
  <si>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</si>
  <si>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</si>
  <si>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</si>
  <si>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</si>
  <si>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</si>
  <si>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</si>
  <si>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</si>
  <si>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</si>
  <si>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</si>
  <si>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</si>
  <si>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</si>
  <si>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</si>
  <si>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</si>
  <si>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</si>
  <si>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</si>
  <si>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</si>
  <si>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</si>
  <si>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</si>
  <si>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</si>
  <si>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</si>
  <si>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</si>
  <si>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</si>
  <si>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</si>
  <si>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</si>
  <si>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</si>
  <si>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</si>
  <si>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</si>
  <si>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</si>
  <si>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</si>
  <si>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</si>
  <si>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</si>
  <si>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</si>
  <si>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</si>
  <si>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</si>
  <si>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</si>
  <si>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</si>
  <si>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</si>
  <si>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</si>
  <si>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</si>
  <si>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</si>
  <si>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</si>
  <si>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</si>
  <si>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</si>
  <si>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</si>
  <si>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</si>
  <si>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</si>
  <si>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</si>
  <si>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</si>
  <si>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</si>
  <si>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</si>
  <si>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</si>
  <si>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</si>
  <si>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</si>
  <si>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</si>
  <si>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</si>
  <si>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</si>
  <si>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</si>
  <si>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</si>
  <si>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</si>
  <si>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</si>
  <si>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</si>
  <si>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</si>
  <si>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</si>
  <si>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</si>
  <si>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</si>
  <si>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</si>
  <si>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</si>
  <si>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</si>
  <si>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</si>
  <si>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</si>
  <si>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</si>
  <si>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</si>
  <si>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</si>
  <si>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</si>
  <si>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</si>
  <si>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</si>
  <si>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</si>
  <si>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</si>
  <si>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</si>
  <si>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</si>
  <si>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</si>
  <si>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</si>
  <si>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</si>
  <si>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</si>
  <si>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</si>
  <si>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</si>
  <si>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</si>
  <si>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</si>
  <si>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</si>
  <si>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</si>
  <si>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</si>
  <si>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</si>
  <si>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</si>
  <si>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</si>
  <si>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</si>
  <si>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</si>
  <si>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</si>
  <si>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</si>
  <si>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</si>
  <si>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</si>
  <si>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</si>
  <si>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</si>
  <si>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</si>
  <si>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</si>
  <si>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</si>
  <si>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</si>
  <si>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</si>
  <si>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</si>
  <si>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</si>
  <si>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</si>
  <si>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</si>
  <si>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</si>
  <si>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</si>
  <si>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</si>
  <si>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</si>
  <si>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</si>
  <si>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</si>
  <si>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</si>
  <si>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</si>
  <si>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</si>
  <si>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</si>
  <si>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</si>
  <si>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</si>
  <si>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</si>
  <si>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</si>
  <si>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</si>
  <si>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</si>
  <si>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</si>
  <si>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</si>
  <si>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</si>
  <si>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</si>
  <si>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</si>
  <si>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</si>
  <si>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</si>
  <si>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</si>
  <si>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</si>
  <si>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</si>
  <si>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</si>
  <si>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</si>
  <si>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</si>
  <si>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</si>
  <si>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</si>
  <si>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</si>
  <si>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</si>
  <si>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</si>
  <si>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</si>
  <si>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</si>
  <si>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</si>
  <si>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</si>
  <si>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</si>
  <si>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</si>
  <si>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</si>
  <si>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</si>
  <si>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</si>
  <si>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</si>
  <si>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</si>
  <si>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</si>
  <si>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</si>
  <si>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</si>
  <si>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</si>
  <si>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</si>
  <si>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</si>
  <si>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</si>
  <si>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</si>
  <si>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</si>
  <si>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</si>
  <si>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</si>
  <si>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</si>
  <si>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</si>
  <si>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</si>
  <si>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</si>
  <si>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</si>
  <si>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</si>
  <si>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</si>
  <si>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</si>
  <si>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</si>
  <si>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</si>
  <si>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</si>
  <si>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</si>
  <si>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</si>
  <si>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</si>
  <si>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</si>
  <si>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</si>
  <si>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</si>
  <si>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</si>
  <si>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</si>
  <si>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</si>
  <si>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</si>
  <si>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</si>
  <si>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</si>
  <si>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</si>
  <si>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</si>
  <si>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</si>
  <si>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</si>
  <si>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</si>
  <si>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</si>
  <si>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</si>
  <si>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</si>
  <si>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</si>
  <si>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</si>
  <si>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</si>
  <si>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</si>
  <si>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</si>
  <si>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</si>
  <si>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</si>
  <si>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</si>
  <si>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</si>
  <si>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</si>
  <si>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</si>
  <si>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</si>
  <si>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</si>
  <si>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</si>
  <si>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</si>
  <si>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</si>
  <si>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</si>
  <si>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</si>
  <si>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</si>
  <si>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</si>
  <si>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</si>
  <si>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</si>
  <si>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</si>
  <si>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</si>
  <si>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</si>
  <si>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</si>
  <si>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</si>
  <si>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</si>
  <si>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</si>
  <si>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</si>
  <si>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</si>
  <si>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</si>
  <si>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</si>
  <si>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</si>
  <si>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</si>
  <si>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</si>
  <si>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</si>
  <si>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</si>
  <si>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</si>
  <si>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</si>
  <si>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</si>
  <si>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</si>
  <si>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</si>
  <si>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</si>
  <si>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</si>
  <si>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</si>
  <si>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</si>
  <si>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</si>
  <si>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</si>
  <si>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</si>
  <si>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</si>
  <si>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</si>
  <si>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</si>
  <si>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</si>
  <si>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</si>
  <si>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</si>
  <si>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</si>
  <si>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</si>
  <si>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</si>
  <si>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</si>
  <si>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</si>
  <si>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</si>
  <si>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</si>
  <si>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</si>
  <si>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</si>
  <si>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</si>
  <si>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</si>
  <si>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</si>
  <si>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</si>
  <si>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</si>
  <si>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</si>
  <si>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</si>
  <si>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</si>
  <si>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</si>
  <si>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</si>
  <si>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</si>
  <si>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</si>
  <si>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</si>
  <si>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</si>
  <si>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</si>
  <si>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</si>
  <si>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</si>
  <si>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</si>
  <si>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</si>
  <si>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</si>
  <si>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</si>
  <si>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</si>
  <si>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</si>
  <si>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</si>
  <si>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</si>
  <si>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</si>
  <si>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</si>
  <si>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</si>
  <si>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</si>
  <si>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</si>
  <si>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</si>
  <si>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</si>
  <si>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</si>
  <si>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</si>
  <si>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</si>
  <si>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</si>
  <si>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</si>
  <si>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</si>
  <si>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</si>
  <si>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</si>
  <si>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</si>
  <si>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</si>
  <si>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</si>
  <si>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</si>
  <si>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</si>
  <si>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</si>
  <si>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</si>
  <si>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</si>
  <si>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</si>
  <si>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</si>
  <si>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</si>
  <si>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</si>
  <si>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</si>
  <si>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</si>
  <si>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</si>
  <si>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</si>
  <si>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</si>
  <si>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</si>
  <si>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</si>
  <si>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</si>
  <si>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</si>
  <si>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</si>
  <si>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</si>
  <si>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</si>
  <si>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</si>
  <si>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</si>
  <si>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</si>
  <si>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</si>
  <si>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</si>
  <si>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</si>
  <si>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</si>
  <si>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</si>
  <si>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</si>
  <si>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</si>
  <si>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</si>
  <si>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</si>
  <si>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</si>
  <si>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</si>
  <si>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</si>
  <si>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</si>
  <si>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</si>
  <si>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</si>
  <si>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</si>
  <si>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</si>
  <si>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</si>
  <si>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</si>
  <si>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</si>
  <si>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</si>
  <si>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</si>
  <si>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</si>
  <si>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</si>
  <si>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</si>
  <si>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</si>
  <si>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</si>
  <si>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</si>
  <si>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</si>
  <si>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</si>
  <si>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</si>
  <si>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</si>
  <si>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</si>
  <si>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</si>
  <si>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</si>
  <si>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</si>
  <si>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</si>
  <si>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</si>
  <si>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</si>
  <si>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</si>
  <si>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</si>
  <si>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</si>
  <si>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</si>
  <si>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</si>
  <si>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</si>
  <si>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</si>
  <si>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</si>
  <si>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</si>
  <si>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</si>
  <si>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</si>
  <si>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</si>
  <si>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</si>
  <si>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</si>
  <si>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</si>
  <si>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</si>
  <si>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</si>
  <si>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</si>
  <si>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</si>
  <si>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</si>
  <si>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</si>
  <si>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</si>
  <si>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</si>
  <si>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</si>
  <si>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</si>
  <si>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</si>
  <si>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</si>
  <si>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</si>
  <si>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</si>
  <si>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</si>
  <si>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</si>
  <si>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</si>
  <si>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</si>
  <si>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</si>
  <si>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</si>
  <si>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</si>
  <si>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</si>
  <si>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</si>
  <si>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</si>
  <si>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</si>
  <si>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</si>
  <si>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</si>
  <si>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</si>
  <si>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</si>
  <si>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</si>
  <si>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</si>
  <si>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</si>
  <si>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</si>
  <si>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</si>
  <si>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</si>
  <si>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</si>
  <si>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</si>
  <si>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</si>
  <si>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</si>
  <si>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</si>
  <si>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</si>
  <si>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</si>
  <si>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</si>
  <si>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</si>
  <si>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</si>
  <si>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</si>
  <si>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</si>
  <si>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</si>
  <si>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</si>
  <si>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</si>
  <si>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</si>
  <si>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</si>
  <si>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</si>
  <si>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</si>
  <si>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</si>
  <si>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</si>
  <si>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</si>
  <si>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</si>
  <si>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</si>
  <si>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</si>
  <si>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</si>
  <si>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</si>
  <si>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</si>
  <si>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</si>
  <si>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</si>
  <si>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</si>
  <si>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</si>
  <si>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</si>
  <si>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</si>
  <si>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</si>
  <si>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</si>
  <si>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</si>
  <si>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</si>
  <si>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</si>
  <si>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</si>
  <si>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</si>
  <si>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</si>
  <si>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</si>
  <si>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</si>
  <si>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</si>
  <si>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</si>
  <si>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</si>
  <si>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</si>
  <si>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</si>
  <si>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</si>
  <si>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</si>
  <si>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</si>
  <si>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</si>
  <si>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</si>
  <si>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</si>
  <si>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</si>
  <si>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</si>
  <si>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</si>
  <si>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</si>
  <si>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</si>
  <si>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</si>
  <si>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</si>
  <si>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</si>
  <si>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</si>
  <si>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</si>
  <si>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</si>
  <si>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</si>
  <si>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</si>
  <si>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</si>
  <si>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</si>
  <si>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</si>
  <si>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</si>
  <si>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</si>
  <si>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</si>
  <si>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</si>
  <si>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</si>
  <si>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</si>
  <si>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</si>
  <si>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</si>
  <si>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</si>
  <si>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</si>
  <si>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</si>
  <si>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</si>
  <si>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</si>
  <si>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</si>
  <si>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</si>
  <si>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</si>
  <si>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</si>
  <si>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</si>
  <si>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</si>
  <si>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</si>
  <si>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</si>
  <si>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</si>
  <si>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</si>
  <si>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</si>
  <si>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</si>
  <si>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</si>
  <si>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</si>
  <si>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</si>
  <si>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</si>
  <si>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</si>
  <si>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</si>
  <si>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</si>
  <si>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</si>
  <si>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</si>
  <si>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</si>
  <si>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</si>
  <si>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</si>
  <si>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</si>
  <si>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</si>
  <si>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</si>
  <si>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</si>
  <si>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</si>
  <si>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</si>
  <si>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</si>
  <si>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</si>
  <si>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</si>
  <si>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</si>
  <si>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</si>
  <si>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</si>
  <si>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</si>
  <si>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</si>
  <si>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</si>
  <si>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</si>
  <si>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</si>
  <si>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</si>
  <si>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</si>
  <si>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</si>
  <si>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</si>
  <si>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</si>
  <si>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</si>
  <si>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</si>
  <si>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</si>
  <si>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</si>
  <si>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</si>
  <si>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</si>
  <si>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</si>
  <si>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</si>
  <si>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</si>
  <si>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</si>
  <si>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</si>
  <si>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</si>
  <si>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</si>
  <si>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</si>
  <si>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</si>
  <si>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</si>
  <si>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</si>
  <si>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</si>
  <si>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</si>
  <si>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</si>
  <si>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</si>
  <si>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</si>
  <si>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</si>
  <si>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</si>
  <si>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</si>
  <si>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</si>
  <si>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</si>
  <si>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</si>
  <si>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</si>
  <si>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</si>
  <si>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</si>
  <si>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</si>
  <si>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</si>
  <si>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</si>
  <si>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</si>
  <si>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</si>
  <si>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</si>
  <si>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</si>
  <si>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</si>
  <si>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</si>
  <si>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</si>
  <si>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</si>
  <si>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</si>
  <si>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</si>
  <si>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</si>
  <si>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</si>
  <si>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</si>
  <si>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</si>
  <si>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</si>
  <si>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</si>
  <si>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</si>
  <si>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</si>
  <si>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</si>
  <si>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</si>
  <si>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</si>
  <si>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</si>
  <si>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</si>
  <si>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</si>
  <si>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</si>
  <si>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</si>
  <si>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</si>
  <si>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</si>
  <si>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</si>
  <si>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</si>
  <si>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</si>
  <si>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</si>
  <si>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</si>
  <si>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</si>
  <si>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</si>
  <si>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</si>
  <si>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</si>
  <si>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</si>
  <si>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</si>
  <si>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</si>
  <si>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</si>
  <si>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</si>
  <si>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</si>
  <si>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</si>
  <si>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</si>
  <si>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</si>
  <si>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</si>
  <si>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</si>
  <si>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</si>
  <si>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</si>
  <si>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</si>
  <si>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</si>
  <si>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</si>
  <si>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</si>
  <si>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</si>
  <si>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</si>
  <si>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</si>
  <si>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</si>
  <si>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</si>
  <si>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</si>
  <si>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</si>
  <si>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</si>
  <si>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</si>
  <si>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</si>
  <si>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</si>
  <si>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</si>
  <si>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</si>
  <si>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</si>
  <si>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</si>
  <si>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</si>
  <si>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</si>
  <si>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</si>
  <si>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</si>
  <si>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</si>
  <si>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</si>
  <si>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</si>
  <si>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</si>
  <si>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</si>
  <si>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</si>
  <si>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</si>
  <si>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</si>
  <si>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</si>
  <si>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</si>
  <si>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</si>
  <si>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</si>
  <si>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</si>
  <si>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</si>
  <si>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</si>
  <si>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</si>
  <si>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</si>
  <si>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</si>
  <si>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</si>
  <si>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</si>
  <si>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</si>
  <si>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</si>
  <si>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</si>
  <si>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</si>
  <si>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</si>
  <si>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</si>
  <si>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</si>
  <si>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</si>
  <si>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</si>
  <si>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</si>
  <si>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</si>
  <si>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</si>
  <si>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</si>
  <si>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</si>
  <si>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</si>
  <si>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</si>
  <si>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</si>
  <si>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</si>
  <si>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</si>
  <si>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</si>
  <si>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</si>
  <si>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</si>
  <si>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</si>
  <si>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</si>
  <si>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</si>
  <si>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</si>
  <si>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</si>
  <si>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</si>
  <si>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</si>
  <si>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</si>
  <si>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</si>
  <si>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</si>
  <si>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</si>
  <si>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</si>
  <si>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</si>
  <si>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</si>
  <si>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</si>
  <si>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</si>
  <si>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</si>
  <si>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</si>
  <si>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</si>
  <si>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</si>
  <si>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</si>
  <si>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</si>
  <si>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</si>
  <si>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</si>
  <si>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</si>
  <si>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</si>
  <si>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</si>
  <si>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</si>
  <si>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</si>
  <si>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</si>
  <si>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</si>
  <si>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</si>
  <si>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</si>
  <si>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</si>
  <si>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</si>
  <si>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</si>
  <si>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</si>
  <si>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</si>
  <si>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</si>
  <si>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</si>
  <si>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</si>
  <si>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</si>
  <si>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</si>
  <si>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</si>
  <si>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</si>
  <si>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</si>
  <si>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</si>
  <si>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</si>
  <si>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</si>
  <si>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</si>
  <si>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</si>
  <si>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</si>
  <si>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</si>
  <si>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</si>
  <si>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</si>
  <si>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</si>
  <si>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</si>
  <si>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</si>
  <si>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</si>
  <si>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</si>
  <si>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</si>
  <si>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</si>
  <si>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</si>
  <si>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</si>
  <si>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</si>
  <si>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</si>
  <si>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</si>
  <si>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</si>
  <si>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</si>
  <si>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</si>
  <si>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</si>
  <si>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</si>
  <si>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</si>
  <si>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</si>
  <si>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</si>
  <si>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</si>
  <si>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</si>
  <si>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</si>
  <si>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</si>
  <si>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</si>
  <si>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</si>
  <si>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</si>
  <si>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</si>
  <si>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</si>
  <si>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</si>
  <si>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</si>
  <si>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</si>
  <si>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</si>
  <si>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</si>
  <si>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</si>
  <si>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</si>
  <si>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</si>
  <si>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</si>
  <si>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</si>
  <si>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</si>
  <si>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</si>
  <si>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</si>
  <si>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</si>
  <si>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</si>
  <si>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</si>
  <si>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</si>
  <si>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</si>
  <si>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</si>
  <si>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</si>
  <si>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</si>
  <si>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</si>
  <si>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</si>
  <si>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</si>
  <si>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</si>
  <si>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</si>
  <si>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</si>
  <si>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</si>
  <si>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</si>
  <si>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</si>
  <si>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</si>
  <si>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</si>
  <si>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</si>
  <si>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</si>
  <si>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</si>
  <si>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</si>
  <si>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</si>
  <si>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</si>
  <si>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</si>
  <si>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</si>
  <si>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</si>
  <si>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</si>
  <si>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</si>
  <si>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</si>
  <si>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</si>
  <si>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</si>
  <si>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</si>
  <si>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</si>
  <si>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</si>
  <si>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</si>
  <si>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</si>
  <si>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</si>
  <si>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</si>
  <si>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</si>
  <si>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</si>
  <si>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</si>
  <si>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</si>
  <si>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</si>
  <si>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</si>
  <si>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</si>
  <si>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</si>
  <si>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</si>
  <si>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</si>
  <si>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</si>
  <si>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</si>
  <si>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</si>
  <si>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</si>
  <si>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</si>
  <si>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</si>
  <si>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</si>
  <si>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</si>
  <si>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</si>
  <si>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</si>
  <si>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</si>
  <si>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</si>
  <si>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</si>
  <si>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</si>
  <si>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</si>
  <si>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</si>
  <si>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</si>
  <si>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</si>
  <si>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</si>
  <si>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</si>
  <si>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</si>
  <si>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</si>
  <si>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</si>
  <si>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</si>
  <si>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</si>
  <si>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</si>
  <si>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</si>
  <si>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</si>
  <si>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</si>
  <si>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</si>
  <si>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</si>
  <si>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</si>
  <si>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</si>
  <si>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</si>
  <si>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</si>
  <si>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</si>
  <si>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</si>
  <si>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</si>
  <si>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</si>
  <si>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</si>
  <si>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</si>
  <si>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</si>
  <si>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</si>
  <si>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</si>
  <si>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</si>
  <si>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</si>
  <si>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</si>
  <si>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</si>
  <si>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</si>
  <si>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</si>
  <si>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</si>
  <si>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</si>
  <si>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</si>
  <si>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</si>
  <si>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</si>
  <si>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</si>
  <si>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</si>
  <si>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</si>
  <si>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</si>
  <si>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</si>
  <si>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</si>
  <si>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</si>
  <si>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</si>
  <si>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</si>
  <si>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</si>
  <si>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</si>
  <si>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</si>
  <si>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</si>
  <si>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</si>
  <si>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</si>
  <si>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</si>
  <si>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</si>
  <si>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</si>
  <si>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</si>
  <si>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</si>
  <si>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</si>
  <si>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</si>
  <si>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</si>
  <si>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</si>
  <si>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</si>
  <si>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</si>
  <si>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</si>
  <si>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</si>
  <si>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</si>
  <si>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</si>
  <si>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</si>
  <si>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</si>
  <si>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</si>
  <si>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</si>
  <si>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</si>
  <si>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</si>
  <si>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</si>
  <si>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</si>
  <si>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</si>
  <si>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</si>
  <si>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</si>
  <si>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</si>
  <si>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</si>
  <si>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</si>
  <si>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</si>
  <si>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</si>
  <si>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</si>
  <si>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</si>
  <si>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</si>
  <si>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</si>
  <si>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</si>
  <si>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</si>
  <si>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</si>
  <si>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</si>
  <si>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</si>
  <si>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</si>
  <si>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</si>
  <si>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</si>
  <si>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</si>
  <si>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</si>
  <si>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</si>
  <si>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</si>
  <si>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</si>
  <si>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</si>
  <si>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</si>
  <si>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</si>
  <si>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</si>
  <si>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</si>
  <si>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</si>
  <si>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</si>
  <si>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</si>
  <si>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</si>
  <si>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</si>
  <si>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</si>
  <si>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</si>
  <si>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</si>
  <si>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</si>
  <si>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</si>
  <si>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</si>
  <si>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</si>
  <si>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</si>
  <si>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</si>
  <si>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</si>
  <si>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</si>
  <si>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</si>
  <si>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</si>
  <si>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</si>
  <si>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</si>
  <si>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</si>
  <si>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</si>
  <si>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</si>
  <si>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</si>
  <si>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</si>
  <si>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</si>
  <si>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</si>
  <si>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</si>
  <si>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</si>
  <si>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</si>
  <si>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</si>
  <si>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</si>
  <si>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</si>
  <si>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</si>
  <si>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</si>
  <si>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</si>
  <si>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</si>
  <si>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</si>
  <si>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</si>
  <si>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</si>
  <si>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</si>
  <si>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</si>
  <si>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</si>
  <si>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</si>
  <si>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</si>
  <si>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</si>
  <si>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</si>
  <si>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</si>
  <si>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</si>
  <si>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</si>
  <si>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</si>
  <si>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</si>
  <si>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</si>
  <si>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</si>
  <si>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</si>
  <si>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</si>
  <si>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</si>
  <si>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</si>
  <si>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</si>
  <si>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</si>
  <si>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</si>
  <si>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</si>
  <si>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</si>
  <si>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</si>
  <si>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</si>
  <si>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</si>
  <si>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</si>
  <si>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</si>
  <si>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</si>
  <si>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</si>
  <si>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</si>
  <si>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</si>
  <si>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</si>
  <si>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</si>
  <si>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</si>
  <si>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</si>
  <si>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</si>
  <si>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</si>
  <si>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</si>
  <si>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</si>
  <si>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</si>
  <si>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</si>
  <si>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</si>
  <si>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</si>
  <si>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</si>
  <si>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</si>
  <si>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</si>
  <si>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</si>
  <si>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</si>
  <si>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</si>
  <si>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</si>
  <si>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</si>
  <si>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</si>
  <si>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</si>
  <si>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</si>
  <si>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</si>
  <si>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</si>
  <si>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</si>
  <si>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</si>
  <si>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</si>
  <si>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</si>
  <si>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</si>
  <si>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</si>
  <si>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</si>
  <si>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</si>
  <si>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</si>
  <si>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</si>
  <si>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</si>
  <si>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</si>
  <si>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</si>
  <si>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</si>
  <si>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</si>
  <si>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</si>
  <si>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</si>
  <si>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</si>
  <si>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</si>
  <si>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</si>
  <si>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</si>
  <si>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</si>
  <si>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</si>
  <si>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</si>
  <si>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</si>
  <si>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</si>
  <si>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</si>
  <si>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</si>
  <si>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</si>
  <si>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</si>
  <si>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</si>
  <si>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</si>
  <si>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</si>
  <si>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</si>
  <si>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</si>
  <si>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</si>
  <si>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</si>
  <si>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</si>
  <si>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</si>
  <si>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</si>
  <si>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</si>
  <si>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</si>
  <si>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</si>
  <si>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</si>
  <si>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</si>
  <si>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</si>
  <si>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</si>
  <si>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</si>
  <si>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</si>
  <si>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</si>
  <si>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</si>
  <si>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</si>
  <si>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</si>
  <si>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</si>
  <si>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</si>
  <si>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</si>
  <si>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</si>
  <si>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</si>
  <si>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</si>
  <si>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</si>
  <si>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</si>
  <si>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</si>
  <si>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</si>
  <si>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</si>
  <si>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</si>
  <si>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</si>
  <si>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</si>
  <si>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</si>
  <si>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</si>
  <si>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</si>
  <si>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</si>
  <si>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</si>
  <si>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</si>
  <si>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</si>
  <si>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</si>
  <si>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</si>
  <si>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</si>
  <si>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</si>
  <si>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</si>
  <si>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</si>
  <si>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</si>
  <si>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</si>
  <si>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</si>
  <si>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</si>
  <si>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</si>
  <si>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</si>
  <si>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</si>
  <si>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</si>
  <si>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</si>
  <si>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</si>
  <si>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</si>
  <si>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</si>
  <si>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</si>
  <si>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</si>
  <si>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</si>
  <si>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</si>
  <si>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</si>
  <si>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</si>
  <si>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</si>
  <si>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</si>
  <si>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</si>
  <si>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</si>
  <si>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</si>
  <si>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</si>
  <si>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</si>
  <si>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</si>
  <si>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</si>
  <si>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</si>
  <si>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</si>
  <si>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</si>
  <si>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</si>
  <si>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</si>
  <si>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</si>
  <si>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</si>
  <si>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</si>
  <si>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</si>
  <si>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</si>
  <si>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</si>
  <si>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</si>
  <si>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</si>
  <si>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</si>
  <si>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</si>
  <si>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</si>
  <si>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</si>
  <si>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</si>
  <si>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</si>
  <si>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</si>
  <si>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</si>
  <si>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</si>
  <si>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</si>
  <si>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</si>
  <si>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</si>
  <si>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</si>
  <si>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</si>
  <si>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</si>
  <si>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</si>
  <si>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</si>
  <si>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</si>
  <si>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</si>
  <si>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</si>
  <si>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</si>
  <si>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</si>
  <si>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</si>
  <si>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</si>
  <si>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</si>
  <si>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</si>
  <si>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</si>
  <si>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</si>
  <si>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</si>
  <si>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</si>
  <si>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</si>
  <si>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</si>
  <si>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</si>
  <si>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</si>
  <si>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</si>
  <si>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</si>
  <si>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</si>
  <si>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</si>
  <si>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</si>
  <si>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</si>
  <si>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</si>
  <si>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</si>
  <si>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</si>
  <si>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</si>
  <si>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</si>
  <si>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</si>
  <si>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</si>
  <si>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</si>
  <si>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</si>
  <si>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</si>
  <si>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</si>
  <si>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</si>
  <si>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</si>
  <si>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</si>
  <si>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</si>
  <si>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</si>
  <si>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</si>
  <si>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</si>
  <si>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</si>
  <si>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</si>
  <si>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</si>
  <si>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</si>
  <si>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</si>
  <si>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</si>
  <si>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</si>
  <si>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</si>
  <si>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</si>
  <si>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</si>
  <si>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</si>
  <si>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</si>
  <si>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</si>
  <si>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</si>
  <si>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</si>
  <si>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</si>
  <si>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</si>
  <si>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</si>
  <si>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</si>
  <si>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</si>
  <si>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</si>
  <si>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</si>
  <si>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</si>
  <si>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</si>
  <si>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</si>
  <si>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</si>
  <si>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</si>
  <si>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</si>
  <si>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</si>
  <si>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</si>
  <si>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</si>
  <si>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</si>
  <si>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</si>
  <si>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</si>
  <si>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</si>
  <si>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</si>
  <si>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</si>
  <si>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</si>
  <si>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</si>
  <si>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</si>
  <si>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</si>
  <si>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</si>
  <si>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</si>
  <si>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</si>
  <si>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</si>
  <si>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</si>
  <si>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</si>
  <si>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</si>
  <si>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</si>
  <si>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</si>
  <si>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</si>
  <si>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</si>
  <si>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</si>
  <si>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</si>
  <si>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</si>
  <si>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</si>
  <si>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</si>
  <si>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</si>
  <si>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</si>
  <si>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</si>
  <si>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</si>
  <si>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</si>
  <si>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</si>
  <si>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</si>
  <si>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</si>
  <si>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</si>
  <si>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</si>
  <si>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</si>
  <si>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</si>
  <si>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</si>
  <si>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</si>
  <si>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</si>
  <si>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</si>
  <si>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</si>
  <si>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</si>
  <si>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</si>
  <si>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</si>
  <si>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</si>
  <si>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</si>
  <si>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</si>
  <si>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</si>
  <si>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</si>
  <si>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</si>
  <si>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</si>
  <si>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</si>
  <si>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</si>
  <si>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</si>
  <si>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</si>
  <si>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</si>
  <si>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</si>
  <si>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</si>
  <si>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</si>
  <si>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</si>
  <si>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</si>
  <si>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</si>
  <si>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</si>
  <si>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</si>
  <si>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</si>
  <si>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</si>
  <si>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</si>
  <si>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</si>
  <si>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</si>
  <si>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</si>
  <si>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</si>
  <si>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</si>
  <si>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</si>
  <si>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</si>
  <si>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</si>
  <si>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</si>
  <si>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</si>
  <si>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</si>
  <si>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</si>
  <si>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</si>
  <si>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</si>
  <si>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</si>
  <si>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</si>
  <si>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</si>
  <si>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</si>
  <si>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</si>
  <si>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</si>
  <si>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</si>
  <si>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</si>
  <si>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</si>
  <si>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</si>
  <si>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</si>
  <si>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</si>
  <si>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</si>
  <si>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</si>
  <si>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</si>
  <si>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</si>
  <si>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</si>
  <si>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</si>
  <si>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</si>
  <si>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</si>
  <si>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</si>
  <si>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</si>
  <si>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</si>
  <si>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</si>
  <si>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</si>
  <si>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</si>
  <si>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</si>
  <si>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</si>
  <si>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</si>
  <si>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</si>
  <si>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</si>
  <si>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</si>
  <si>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</si>
  <si>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</si>
  <si>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</si>
  <si>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</si>
  <si>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</si>
  <si>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</si>
  <si>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</si>
  <si>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</si>
  <si>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</si>
  <si>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</si>
  <si>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</si>
  <si>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</si>
  <si>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</si>
  <si>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</si>
  <si>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</si>
  <si>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</si>
  <si>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</si>
  <si>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</si>
  <si>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</si>
  <si>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</si>
  <si>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</si>
  <si>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</si>
  <si>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</si>
  <si>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</si>
  <si>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</si>
  <si>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</si>
  <si>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</si>
  <si>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</si>
  <si>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</si>
  <si>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</si>
  <si>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</si>
  <si>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</si>
  <si>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</si>
  <si>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</si>
  <si>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</si>
  <si>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</si>
  <si>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</si>
  <si>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</si>
  <si>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</si>
  <si>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</si>
  <si>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</si>
  <si>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</si>
  <si>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</si>
  <si>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</si>
  <si>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</si>
  <si>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</si>
  <si>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</si>
  <si>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</si>
  <si>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</si>
  <si>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</si>
  <si>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</si>
  <si>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</si>
  <si>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</si>
  <si>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</si>
  <si>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</si>
  <si>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</si>
  <si>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</si>
  <si>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</si>
  <si>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</si>
  <si>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</si>
  <si>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</si>
  <si>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</si>
  <si>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</si>
  <si>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</si>
  <si>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</si>
  <si>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</si>
  <si>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</si>
  <si>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</si>
  <si>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</si>
  <si>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</si>
  <si>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</si>
  <si>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</si>
  <si>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</si>
  <si>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</si>
  <si>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</si>
  <si>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</si>
  <si>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</si>
  <si>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</si>
  <si>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</si>
  <si>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</si>
  <si>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</si>
  <si>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</si>
  <si>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</si>
  <si>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</si>
  <si>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</si>
  <si>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</si>
  <si>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</si>
  <si>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</si>
  <si>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</si>
  <si>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</si>
  <si>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</si>
  <si>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</si>
  <si>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</si>
  <si>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</si>
  <si>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</si>
  <si>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</si>
  <si>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</si>
  <si>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</si>
  <si>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</si>
  <si>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</si>
  <si>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</si>
  <si>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</si>
  <si>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</si>
  <si>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</si>
  <si>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</si>
  <si>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</si>
  <si>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</si>
  <si>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</si>
  <si>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</si>
  <si>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</si>
  <si>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</si>
  <si>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</si>
  <si>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</si>
  <si>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</si>
  <si>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</si>
  <si>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</si>
  <si>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</si>
  <si>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</si>
  <si>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</si>
  <si>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</si>
  <si>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</si>
  <si>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</si>
  <si>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</si>
  <si>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</si>
  <si>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</si>
  <si>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</si>
  <si>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</si>
  <si>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</si>
  <si>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</si>
  <si>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</si>
  <si>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</si>
  <si>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</si>
  <si>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</si>
  <si>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</si>
  <si>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</si>
  <si>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</si>
  <si>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</si>
  <si>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</si>
  <si>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</si>
  <si>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</si>
  <si>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</si>
  <si>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</si>
  <si>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</si>
  <si>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</si>
  <si>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</si>
  <si>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</si>
  <si>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</si>
  <si>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</si>
  <si>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</si>
  <si>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</si>
  <si>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</si>
  <si>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</si>
  <si>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</si>
  <si>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</si>
  <si>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</si>
  <si>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</si>
  <si>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</si>
  <si>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</si>
  <si>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</si>
  <si>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</si>
  <si>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</si>
  <si>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</si>
  <si>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</si>
  <si>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</si>
  <si>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</si>
  <si>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</si>
  <si>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</si>
  <si>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</si>
  <si>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</si>
  <si>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</si>
  <si>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</si>
  <si>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</si>
  <si>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</si>
  <si>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</si>
  <si>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</si>
  <si>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</si>
  <si>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</si>
  <si>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</si>
  <si>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</si>
  <si>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</si>
  <si>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</si>
  <si>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</si>
  <si>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</si>
  <si>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</si>
  <si>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</si>
  <si>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</si>
  <si>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</si>
  <si>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</si>
  <si>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</si>
  <si>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</si>
  <si>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</si>
  <si>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</si>
  <si>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</si>
  <si>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</si>
  <si>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</si>
  <si>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</si>
  <si>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</si>
  <si>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</si>
  <si>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</si>
  <si>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</si>
  <si>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</si>
  <si>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</si>
  <si>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</si>
  <si>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</si>
  <si>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</si>
  <si>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</si>
  <si>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</si>
  <si>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</si>
  <si>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</si>
  <si>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</si>
  <si>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</si>
  <si>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</si>
  <si>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</si>
  <si>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</si>
  <si>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</si>
  <si>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</si>
  <si>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</si>
  <si>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</si>
  <si>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</si>
  <si>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</si>
  <si>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</si>
  <si>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</si>
  <si>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</si>
  <si>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</si>
  <si>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</si>
  <si>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</si>
  <si>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</si>
  <si>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</si>
  <si>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</si>
  <si>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</si>
  <si>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</si>
  <si>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</si>
  <si>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</si>
  <si>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</si>
  <si>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</si>
  <si>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</si>
  <si>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</si>
  <si>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</si>
  <si>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</si>
  <si>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</si>
  <si>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</si>
  <si>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</si>
  <si>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</si>
  <si>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</si>
  <si>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</si>
  <si>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</si>
  <si>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</si>
  <si>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</si>
  <si>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</si>
  <si>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</si>
  <si>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</si>
  <si>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</si>
  <si>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</si>
  <si>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</si>
  <si>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</si>
  <si>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</si>
  <si>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</si>
  <si>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</si>
  <si>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</si>
  <si>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</si>
  <si>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</si>
  <si>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</si>
  <si>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</si>
  <si>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</si>
  <si>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</si>
  <si>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</si>
  <si>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</si>
  <si>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</si>
  <si>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</si>
  <si>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</si>
  <si>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</si>
  <si>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</si>
  <si>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</si>
  <si>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</si>
  <si>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</si>
  <si>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</si>
  <si>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</si>
  <si>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</si>
  <si>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</si>
  <si>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</si>
  <si>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</si>
  <si>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</si>
  <si>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</si>
  <si>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</si>
  <si>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</si>
  <si>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</si>
  <si>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</si>
  <si>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</si>
  <si>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</si>
  <si>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</si>
  <si>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</si>
  <si>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</si>
  <si>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</si>
  <si>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</si>
  <si>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</si>
  <si>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</si>
  <si>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</si>
  <si>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</si>
  <si>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</si>
  <si>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</si>
  <si>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</si>
  <si>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</si>
  <si>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</si>
  <si>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</si>
  <si>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</si>
  <si>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</si>
  <si>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</si>
  <si>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</si>
  <si>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</si>
  <si>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</si>
  <si>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</si>
  <si>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</si>
  <si>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</si>
  <si>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</si>
  <si>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</si>
  <si>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</si>
  <si>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</si>
  <si>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</si>
  <si>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</si>
  <si>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</si>
  <si>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</si>
  <si>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</si>
  <si>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</si>
  <si>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</si>
  <si>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</si>
  <si>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</si>
  <si>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</si>
  <si>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</si>
  <si>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</si>
  <si>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</si>
  <si>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</si>
  <si>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</si>
  <si>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</si>
  <si>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</si>
  <si>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</si>
  <si>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</si>
  <si>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</si>
  <si>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</si>
  <si>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</si>
  <si>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</si>
  <si>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</si>
  <si>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</si>
  <si>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</si>
  <si>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</si>
  <si>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</si>
  <si>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</si>
  <si>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</si>
  <si>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</si>
  <si>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</si>
  <si>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</si>
  <si>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</si>
  <si>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</si>
  <si>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</si>
  <si>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</si>
  <si>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</si>
  <si>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</si>
  <si>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</si>
  <si>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</si>
  <si>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</si>
  <si>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</si>
  <si>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</si>
  <si>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</si>
  <si>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</si>
  <si>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</si>
  <si>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</si>
  <si>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</si>
  <si>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</si>
  <si>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</si>
  <si>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</si>
  <si>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</si>
  <si>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</si>
  <si>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</si>
  <si>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</si>
  <si>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</si>
  <si>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</si>
  <si>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</si>
  <si>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</si>
  <si>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</si>
  <si>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</si>
  <si>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</si>
  <si>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</si>
  <si>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</si>
  <si>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</si>
  <si>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</si>
  <si>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</si>
  <si>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</si>
  <si>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</si>
  <si>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</si>
  <si>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</si>
  <si>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</si>
  <si>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</si>
  <si>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</si>
  <si>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</si>
  <si>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</si>
  <si>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</si>
  <si>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</si>
  <si>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</si>
  <si>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</si>
  <si>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</si>
  <si>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</si>
  <si>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</si>
  <si>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</si>
  <si>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</si>
  <si>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</si>
  <si>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</si>
  <si>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</si>
  <si>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</si>
  <si>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</si>
  <si>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</si>
  <si>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</si>
  <si>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</si>
  <si>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</si>
  <si>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</si>
  <si>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</si>
  <si>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</si>
  <si>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</si>
  <si>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</si>
  <si>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</si>
  <si>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</si>
  <si>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</si>
  <si>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</si>
  <si>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</si>
  <si>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</si>
  <si>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</si>
  <si>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</si>
  <si>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</si>
  <si>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</si>
  <si>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</si>
  <si>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</si>
  <si>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</si>
  <si>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</si>
  <si>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</si>
  <si>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</si>
  <si>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</si>
  <si>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</si>
  <si>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</si>
  <si>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</si>
  <si>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</si>
  <si>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</si>
  <si>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</si>
  <si>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</si>
  <si>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</si>
  <si>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</si>
  <si>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</si>
  <si>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</si>
  <si>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</si>
  <si>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</si>
  <si>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</si>
  <si>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</si>
  <si>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</si>
  <si>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</si>
  <si>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</si>
  <si>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</si>
  <si>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</si>
  <si>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</si>
  <si>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</si>
  <si>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</si>
  <si>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</si>
  <si>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</si>
  <si>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</si>
  <si>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</si>
  <si>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</si>
  <si>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</si>
  <si>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</si>
  <si>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</si>
  <si>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</si>
  <si>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</si>
  <si>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</si>
  <si>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</si>
  <si>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</si>
  <si>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</si>
  <si>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</si>
  <si>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</si>
  <si>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</si>
  <si>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</si>
  <si>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</si>
  <si>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</si>
  <si>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</si>
  <si>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</si>
  <si>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</si>
  <si>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</si>
  <si>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</si>
  <si>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</si>
  <si>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</si>
  <si>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</si>
  <si>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</si>
  <si>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</si>
  <si>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</si>
  <si>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</si>
  <si>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</si>
  <si>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</si>
  <si>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</si>
  <si>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</si>
  <si>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</si>
  <si>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</si>
  <si>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</si>
  <si>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</si>
  <si>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</si>
  <si>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</si>
  <si>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</si>
  <si>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</si>
  <si>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</si>
  <si>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</si>
  <si>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</si>
  <si>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</si>
  <si>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</si>
  <si>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</si>
  <si>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</si>
  <si>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</si>
  <si>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</si>
  <si>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</si>
  <si>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</si>
  <si>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</si>
  <si>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</si>
  <si>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</si>
  <si>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</si>
  <si>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</si>
  <si>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</si>
  <si>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</si>
  <si>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</si>
  <si>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</si>
  <si>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</si>
  <si>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</si>
  <si>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</si>
  <si>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</si>
  <si>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</si>
  <si>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</si>
  <si>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</si>
  <si>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</si>
  <si>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</si>
  <si>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</si>
  <si>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</si>
  <si>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</si>
  <si>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</si>
  <si>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</si>
  <si>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</si>
  <si>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</si>
  <si>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</si>
  <si>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</si>
  <si>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</si>
  <si>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</si>
  <si>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</si>
  <si>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</si>
  <si>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</si>
  <si>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</si>
  <si>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</si>
  <si>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</si>
  <si>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</si>
  <si>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</si>
  <si>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</si>
  <si>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</si>
  <si>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</si>
  <si>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</si>
  <si>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</si>
  <si>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</si>
  <si>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</si>
  <si>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</si>
  <si>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</si>
  <si>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</si>
  <si>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</si>
  <si>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</si>
  <si>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</si>
  <si>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</si>
  <si>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</si>
  <si>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</si>
  <si>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</si>
  <si>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</si>
  <si>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</si>
  <si>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</si>
  <si>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</si>
  <si>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</si>
  <si>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</si>
  <si>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</si>
  <si>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</si>
  <si>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</si>
  <si>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</si>
  <si>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</si>
  <si>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</si>
  <si>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</si>
  <si>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</si>
  <si>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</si>
  <si>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</si>
  <si>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</si>
  <si>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</si>
  <si>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</si>
  <si>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</si>
  <si>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</si>
  <si>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</si>
  <si>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</si>
  <si>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</si>
  <si>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</si>
  <si>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</si>
  <si>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</si>
  <si>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</si>
  <si>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</si>
  <si>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</si>
  <si>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</si>
  <si>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</si>
  <si>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</si>
  <si>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</si>
  <si>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</si>
  <si>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</si>
  <si>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</si>
  <si>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</si>
  <si>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</si>
  <si>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</si>
  <si>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</si>
  <si>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</si>
  <si>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</si>
  <si>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</si>
  <si>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</si>
  <si>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</si>
  <si>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</si>
  <si>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</si>
  <si>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</si>
  <si>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</si>
  <si>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</si>
  <si>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</si>
  <si>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</si>
  <si>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</si>
  <si>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</si>
  <si>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</si>
  <si>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</si>
  <si>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</si>
  <si>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</si>
  <si>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</si>
  <si>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</si>
  <si>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</si>
  <si>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</si>
  <si>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</si>
  <si>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</si>
  <si>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</si>
  <si>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</si>
  <si>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</si>
  <si>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</si>
  <si>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</si>
  <si>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</si>
  <si>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</si>
  <si>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</si>
  <si>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</si>
  <si>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</si>
  <si>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</si>
  <si>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</si>
  <si>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</si>
  <si>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</si>
  <si>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</si>
  <si>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</si>
  <si>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</si>
  <si>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</si>
  <si>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</si>
  <si>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</si>
  <si>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</si>
  <si>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</si>
  <si>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</si>
  <si>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</si>
  <si>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</si>
  <si>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</si>
  <si>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</si>
  <si>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</si>
  <si>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</si>
  <si>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</si>
  <si>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</si>
  <si>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</si>
  <si>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</si>
  <si>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</si>
  <si>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</si>
  <si>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</si>
  <si>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</si>
  <si>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</si>
  <si>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</si>
  <si>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</si>
  <si>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</si>
  <si>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</si>
  <si>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</si>
  <si>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</si>
  <si>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</si>
  <si>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</si>
  <si>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</si>
  <si>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</si>
  <si>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</si>
  <si>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</si>
  <si>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</si>
  <si>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</si>
  <si>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</si>
  <si>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</si>
  <si>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</si>
  <si>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</si>
  <si>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</si>
  <si>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</si>
  <si>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</si>
  <si>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</si>
  <si>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</si>
  <si>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</si>
  <si>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</si>
  <si>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</si>
  <si>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</si>
  <si>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</si>
  <si>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</si>
  <si>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</si>
  <si>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</si>
  <si>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</si>
  <si>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</si>
  <si>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</si>
  <si>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</si>
  <si>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</si>
  <si>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</si>
  <si>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</si>
  <si>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</si>
  <si>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</si>
  <si>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</si>
  <si>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</si>
  <si>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</si>
  <si>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</si>
  <si>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</si>
  <si>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</si>
  <si>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</si>
  <si>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</si>
  <si>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</si>
  <si>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</si>
  <si>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</si>
  <si>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</si>
  <si>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</si>
  <si>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</si>
  <si>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</si>
  <si>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</si>
  <si>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</si>
  <si>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</si>
  <si>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</si>
  <si>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</si>
  <si>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</si>
  <si>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</si>
  <si>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</si>
  <si>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</si>
  <si>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</si>
  <si>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</si>
  <si>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</si>
  <si>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</si>
  <si>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</si>
  <si>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</si>
  <si>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</si>
  <si>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</si>
  <si>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</si>
  <si>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</si>
  <si>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</si>
  <si>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</si>
  <si>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</si>
  <si>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</si>
  <si>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</si>
  <si>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</si>
  <si>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</si>
  <si>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</si>
  <si>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</si>
  <si>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</si>
  <si>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</si>
  <si>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</si>
  <si>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</si>
  <si>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</si>
  <si>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</si>
  <si>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</si>
  <si>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</si>
  <si>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</si>
  <si>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</si>
  <si>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</si>
  <si>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</si>
  <si>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</si>
  <si>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</si>
  <si>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</si>
  <si>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</si>
  <si>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</si>
  <si>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</si>
  <si>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</si>
  <si>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</si>
  <si>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</si>
  <si>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</si>
  <si>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</si>
  <si>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</si>
  <si>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</si>
  <si>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</si>
  <si>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</si>
  <si>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</si>
  <si>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</si>
  <si>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</si>
  <si>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</si>
  <si>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</si>
  <si>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</si>
  <si>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</si>
  <si>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</si>
  <si>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</si>
  <si>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</si>
  <si>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</si>
  <si>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</si>
  <si>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</si>
  <si>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</si>
  <si>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</si>
  <si>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</si>
  <si>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</si>
  <si>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</si>
  <si>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</si>
  <si>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</si>
  <si>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</si>
  <si>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</si>
  <si>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</si>
  <si>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</si>
  <si>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</si>
  <si>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</si>
  <si>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</si>
  <si>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</si>
  <si>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</si>
  <si>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</si>
  <si>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</si>
  <si>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</si>
  <si>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</si>
  <si>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</si>
  <si>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</si>
  <si>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</si>
  <si>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</si>
  <si>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</si>
  <si>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</si>
  <si>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</si>
  <si>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</si>
  <si>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</si>
  <si>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</si>
  <si>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</si>
  <si>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</si>
  <si>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</si>
  <si>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</si>
  <si>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</si>
  <si>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</si>
  <si>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</si>
  <si>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</si>
  <si>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</si>
  <si>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</si>
  <si>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</si>
  <si>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</si>
  <si>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</si>
  <si>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</si>
  <si>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</si>
  <si>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</si>
  <si>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</si>
  <si>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</si>
  <si>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</si>
  <si>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</si>
  <si>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</si>
  <si>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</si>
  <si>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</si>
  <si>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</si>
  <si>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</si>
  <si>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</si>
  <si>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</si>
  <si>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</si>
  <si>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</si>
  <si>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</si>
  <si>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</si>
  <si>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</si>
  <si>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</si>
  <si>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</si>
  <si>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</si>
  <si>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</si>
  <si>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</si>
  <si>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</si>
  <si>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</si>
  <si>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</si>
  <si>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</si>
  <si>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</si>
  <si>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</si>
  <si>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</si>
  <si>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</si>
  <si>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</si>
  <si>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</si>
  <si>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</si>
  <si>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</si>
  <si>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</si>
  <si>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</si>
  <si>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</si>
  <si>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</si>
  <si>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</si>
  <si>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</si>
  <si>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</si>
  <si>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</si>
  <si>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</si>
  <si>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</si>
  <si>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</si>
  <si>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</si>
  <si>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</si>
  <si>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</si>
  <si>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</si>
  <si>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</si>
  <si>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</si>
  <si>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</si>
  <si>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</si>
  <si>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</si>
  <si>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</si>
  <si>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</si>
  <si>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</si>
  <si>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</si>
  <si>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</si>
  <si>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</si>
  <si>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</si>
  <si>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</si>
  <si>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</si>
  <si>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</si>
  <si>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</si>
  <si>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</si>
  <si>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</si>
  <si>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</si>
  <si>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</si>
  <si>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</si>
  <si>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</si>
  <si>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</si>
  <si>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</si>
  <si>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</si>
  <si>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</si>
  <si>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</si>
  <si>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</si>
  <si>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</si>
  <si>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</si>
  <si>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</si>
  <si>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</si>
  <si>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</si>
  <si>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</si>
  <si>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</si>
  <si>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</si>
  <si>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</si>
  <si>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</si>
  <si>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</si>
  <si>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</si>
  <si>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</si>
  <si>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</si>
  <si>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</si>
  <si>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</si>
  <si>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</si>
  <si>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</si>
  <si>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</si>
  <si>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</si>
  <si>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</si>
  <si>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</si>
  <si>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</si>
  <si>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</si>
  <si>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</si>
  <si>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</si>
  <si>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</si>
  <si>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</si>
  <si>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</si>
  <si>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</si>
  <si>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</si>
  <si>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</si>
  <si>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</si>
  <si>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</si>
  <si>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</si>
  <si>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</si>
  <si>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</si>
  <si>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</si>
  <si>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</si>
  <si>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</si>
  <si>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</si>
  <si>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</si>
  <si>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</si>
  <si>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</si>
  <si>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</si>
  <si>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</si>
  <si>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</si>
  <si>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</si>
  <si>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</si>
  <si>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</si>
  <si>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</si>
  <si>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</si>
  <si>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</si>
  <si>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</si>
  <si>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</si>
  <si>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</si>
  <si>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</si>
  <si>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</si>
  <si>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</si>
  <si>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</si>
  <si>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</si>
  <si>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</si>
  <si>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</si>
  <si>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</si>
  <si>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</si>
  <si>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</si>
  <si>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</si>
  <si>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</si>
  <si>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</si>
  <si>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</si>
  <si>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</si>
  <si>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</si>
  <si>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</si>
  <si>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</si>
  <si>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</si>
  <si>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</si>
  <si>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</si>
  <si>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</si>
  <si>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</si>
  <si>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</si>
  <si>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</si>
  <si>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</si>
  <si>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</si>
  <si>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</si>
  <si>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</si>
  <si>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</si>
  <si>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</si>
  <si>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</si>
  <si>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</si>
  <si>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</si>
  <si>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</si>
  <si>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</si>
  <si>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</si>
  <si>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</si>
  <si>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</si>
  <si>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</si>
  <si>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</si>
  <si>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</si>
  <si>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</si>
  <si>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</si>
  <si>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</si>
  <si>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</si>
  <si>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</si>
  <si>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</si>
  <si>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</si>
  <si>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</si>
  <si>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</si>
  <si>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</si>
  <si>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</si>
  <si>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</si>
  <si>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</si>
  <si>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</si>
  <si>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</si>
  <si>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</si>
  <si>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</si>
  <si>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</si>
  <si>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</si>
  <si>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</si>
  <si>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</si>
  <si>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</si>
  <si>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</si>
  <si>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</si>
  <si>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</si>
  <si>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</si>
  <si>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</si>
  <si>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</si>
  <si>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</si>
  <si>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</si>
  <si>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</si>
  <si>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</si>
  <si>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</si>
  <si>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</si>
  <si>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</si>
  <si>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</si>
  <si>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</si>
  <si>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</si>
  <si>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</si>
  <si>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</si>
  <si>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</si>
  <si>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</si>
  <si>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</si>
  <si>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</si>
  <si>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</si>
  <si>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</si>
  <si>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</si>
  <si>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</si>
  <si>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</si>
  <si>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</si>
  <si>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</si>
  <si>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</si>
  <si>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</si>
  <si>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</si>
  <si>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</si>
  <si>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</si>
  <si>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</si>
  <si>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</si>
  <si>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</si>
  <si>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</si>
  <si>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</si>
  <si>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</si>
  <si>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</si>
  <si>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</si>
  <si>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</si>
  <si>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</si>
  <si>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</si>
  <si>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</si>
  <si>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</si>
  <si>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</si>
  <si>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</si>
  <si>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</si>
  <si>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</si>
  <si>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</si>
  <si>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</si>
  <si>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</si>
  <si>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</si>
  <si>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</si>
  <si>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</si>
  <si>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</si>
  <si>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</si>
  <si>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</si>
  <si>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</si>
  <si>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</si>
  <si>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</si>
  <si>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</si>
  <si>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</si>
  <si>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</si>
  <si>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</si>
  <si>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</si>
  <si>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</si>
  <si>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</si>
  <si>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</si>
  <si>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</si>
  <si>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</si>
  <si>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</si>
  <si>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</si>
  <si>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</si>
  <si>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</si>
  <si>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</si>
  <si>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</si>
  <si>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</si>
  <si>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</si>
  <si>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</si>
  <si>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</si>
  <si>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</si>
  <si>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</si>
  <si>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</si>
  <si>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</si>
  <si>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</si>
  <si>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</si>
  <si>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</si>
  <si>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</si>
  <si>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</si>
  <si>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</si>
  <si>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</si>
  <si>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</si>
  <si>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</si>
  <si>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</si>
  <si>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</si>
  <si>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</si>
  <si>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</si>
  <si>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</si>
  <si>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</si>
  <si>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</si>
  <si>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</si>
  <si>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</si>
  <si>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</si>
  <si>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</si>
  <si>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</si>
  <si>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</si>
  <si>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</si>
  <si>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</si>
  <si>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</si>
  <si>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</si>
  <si>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</si>
  <si>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</si>
  <si>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</si>
  <si>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</si>
  <si>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</si>
  <si>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</si>
  <si>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</si>
  <si>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</si>
  <si>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</si>
  <si>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</si>
  <si>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</si>
  <si>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</si>
  <si>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</si>
  <si>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</si>
  <si>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</si>
  <si>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</si>
  <si>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</si>
  <si>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</si>
  <si>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</si>
  <si>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</si>
  <si>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</si>
  <si>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</si>
  <si>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</si>
  <si>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</si>
  <si>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</si>
  <si>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</si>
  <si>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</si>
  <si>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</si>
  <si>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</si>
  <si>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</si>
  <si>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</si>
  <si>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</si>
  <si>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</si>
  <si>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</si>
  <si>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</si>
  <si>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</si>
  <si>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</si>
  <si>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</si>
  <si>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</si>
  <si>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</si>
  <si>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</si>
  <si>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</si>
  <si>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</si>
  <si>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</si>
  <si>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</si>
  <si>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</si>
  <si>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</si>
  <si>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</si>
  <si>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</si>
  <si>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</si>
  <si>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</si>
  <si>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</si>
  <si>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</si>
  <si>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</si>
  <si>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</si>
  <si>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</si>
  <si>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</si>
  <si>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</si>
  <si>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</si>
  <si>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</si>
  <si>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</si>
  <si>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</si>
  <si>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</si>
  <si>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</si>
  <si>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</si>
  <si>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</si>
  <si>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</si>
  <si>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</si>
  <si>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</si>
  <si>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</si>
  <si>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</si>
  <si>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</si>
  <si>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</si>
  <si>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</si>
  <si>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</si>
  <si>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</si>
  <si>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</si>
  <si>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</si>
  <si>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</si>
  <si>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</si>
  <si>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</si>
  <si>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</si>
  <si>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</si>
  <si>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</si>
  <si>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</si>
  <si>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</si>
  <si>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</si>
  <si>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</si>
  <si>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</si>
  <si>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</si>
  <si>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</si>
  <si>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</si>
  <si>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</si>
  <si>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</si>
  <si>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</si>
  <si>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</si>
  <si>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</si>
  <si>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</si>
  <si>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</si>
  <si>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</si>
  <si>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</si>
  <si>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</si>
  <si>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</si>
  <si>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</si>
  <si>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</si>
  <si>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</si>
  <si>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</si>
  <si>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</si>
  <si>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</si>
  <si>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</si>
  <si>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</si>
  <si>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</si>
  <si>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</si>
  <si>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</si>
  <si>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</si>
  <si>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</si>
  <si>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</si>
  <si>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</si>
  <si>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</si>
  <si>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</si>
  <si>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</si>
  <si>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</si>
  <si>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</si>
  <si>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</si>
  <si>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</si>
  <si>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</si>
  <si>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</si>
  <si>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</si>
  <si>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</si>
  <si>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</si>
  <si>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</si>
  <si>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</si>
  <si>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</si>
  <si>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</si>
  <si>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</si>
  <si>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</si>
  <si>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</si>
  <si>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</si>
  <si>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</si>
  <si>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</si>
  <si>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</si>
  <si>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</si>
  <si>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</si>
  <si>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</si>
  <si>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</si>
  <si>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</si>
  <si>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</si>
  <si>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</si>
  <si>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</si>
  <si>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</si>
  <si>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</si>
  <si>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</si>
  <si>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</si>
  <si>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</si>
  <si>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</si>
  <si>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</si>
  <si>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</si>
  <si>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</si>
  <si>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</si>
  <si>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</si>
  <si>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</si>
  <si>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</si>
  <si>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</si>
  <si>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</si>
  <si>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</si>
  <si>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</si>
  <si>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</si>
  <si>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</si>
  <si>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</si>
  <si>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</si>
  <si>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</si>
  <si>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</si>
  <si>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</si>
  <si>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</si>
  <si>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</si>
  <si>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</si>
  <si>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</si>
  <si>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</si>
  <si>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</si>
  <si>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</si>
  <si>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</si>
  <si>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</si>
  <si>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</si>
  <si>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</si>
  <si>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</si>
  <si>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</si>
  <si>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</si>
  <si>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</si>
  <si>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</si>
  <si>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</si>
  <si>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</si>
  <si>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</si>
  <si>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</si>
  <si>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</si>
  <si>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</si>
  <si>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</si>
  <si>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</si>
  <si>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</si>
  <si>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</si>
  <si>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</si>
  <si>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</si>
  <si>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</si>
  <si>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</si>
  <si>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</si>
  <si>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</si>
  <si>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</si>
  <si>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</si>
  <si>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</si>
  <si>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</si>
  <si>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</si>
  <si>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</si>
  <si>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</si>
  <si>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</si>
  <si>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</si>
  <si>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</si>
  <si>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</si>
  <si>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</si>
  <si>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</si>
  <si>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</si>
  <si>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</si>
  <si>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</si>
  <si>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</si>
  <si>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</si>
  <si>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</si>
  <si>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</si>
  <si>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</si>
  <si>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</si>
  <si>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</si>
  <si>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</si>
  <si>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</si>
  <si>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</si>
  <si>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</si>
  <si>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</si>
  <si>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</si>
  <si>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</si>
  <si>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</si>
  <si>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</si>
  <si>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</si>
  <si>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</si>
  <si>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</si>
  <si>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</si>
  <si>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</si>
  <si>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</si>
  <si>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</si>
  <si>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</si>
  <si>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</si>
  <si>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</si>
  <si>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</si>
  <si>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</si>
  <si>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</si>
  <si>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</si>
  <si>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</si>
  <si>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</si>
  <si>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</si>
  <si>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</si>
  <si>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</si>
  <si>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</si>
  <si>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</si>
  <si>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</si>
  <si>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</si>
  <si>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</si>
  <si>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</si>
  <si>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</si>
  <si>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</si>
  <si>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</si>
  <si>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</si>
  <si>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</si>
  <si>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</si>
  <si>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</si>
  <si>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</si>
  <si>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</si>
  <si>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</si>
  <si>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</si>
  <si>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</si>
  <si>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</si>
  <si>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</si>
  <si>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</si>
  <si>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</si>
  <si>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</si>
  <si>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</si>
  <si>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</si>
  <si>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</si>
  <si>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</si>
  <si>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</si>
  <si>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</si>
  <si>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</si>
  <si>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</si>
  <si>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</si>
  <si>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</si>
  <si>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</si>
  <si>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</si>
  <si>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</si>
  <si>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</si>
  <si>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</si>
  <si>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</si>
  <si>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</si>
  <si>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</si>
  <si>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</si>
  <si>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</si>
  <si>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</si>
  <si>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</si>
  <si>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</si>
  <si>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</si>
  <si>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</si>
  <si>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</si>
  <si>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</si>
  <si>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</si>
  <si>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</si>
  <si>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</si>
  <si>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</si>
  <si>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</si>
  <si>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</si>
  <si>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</si>
  <si>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</si>
  <si>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</si>
  <si>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</si>
  <si>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</si>
  <si>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</si>
  <si>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</si>
  <si>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</si>
  <si>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</si>
  <si>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</si>
  <si>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</si>
  <si>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</si>
  <si>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</si>
  <si>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</si>
  <si>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</si>
  <si>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</si>
  <si>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</si>
  <si>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</si>
  <si>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</si>
  <si>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</si>
  <si>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</si>
  <si>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</si>
  <si>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</si>
  <si>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</si>
  <si>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</si>
  <si>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</si>
  <si>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</si>
  <si>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</si>
  <si>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</si>
  <si>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</si>
  <si>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</si>
  <si>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</si>
  <si>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</si>
  <si>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</si>
  <si>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</si>
  <si>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</si>
  <si>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</si>
  <si>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</si>
  <si>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</si>
  <si>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</si>
  <si>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</si>
  <si>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</si>
  <si>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</si>
  <si>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</si>
  <si>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</si>
  <si>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</si>
  <si>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</si>
  <si>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</si>
  <si>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</si>
  <si>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</si>
  <si>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</si>
  <si>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</si>
  <si>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</si>
  <si>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</si>
  <si>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</si>
  <si>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</si>
  <si>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</si>
  <si>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</si>
  <si>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</si>
  <si>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</si>
  <si>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</si>
  <si>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</si>
  <si>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</si>
  <si>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</si>
  <si>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</si>
  <si>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</si>
  <si>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</si>
  <si>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</si>
  <si>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</si>
  <si>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</si>
  <si>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</si>
  <si>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</si>
  <si>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</si>
  <si>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</si>
  <si>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</si>
  <si>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</si>
  <si>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</si>
  <si>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</si>
  <si>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</si>
  <si>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</si>
  <si>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</si>
  <si>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</si>
  <si>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</si>
  <si>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</si>
  <si>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</si>
  <si>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</si>
  <si>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</si>
  <si>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</si>
  <si>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</si>
  <si>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</si>
  <si>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</si>
  <si>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</si>
  <si>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</si>
  <si>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</si>
  <si>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</si>
  <si>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</si>
  <si>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</si>
  <si>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</si>
  <si>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</si>
  <si>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</si>
  <si>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</si>
  <si>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</si>
  <si>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</si>
  <si>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</si>
  <si>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</si>
  <si>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</si>
  <si>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</si>
  <si>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</si>
  <si>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</si>
  <si>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</si>
  <si>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</si>
  <si>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</si>
  <si>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</si>
  <si>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</si>
  <si>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</si>
  <si>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</si>
  <si>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</si>
  <si>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</si>
  <si>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</si>
  <si>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</si>
  <si>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</si>
  <si>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</si>
  <si>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</si>
  <si>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</si>
  <si>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</si>
  <si>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</si>
  <si>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</si>
  <si>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</si>
  <si>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</si>
  <si>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</si>
  <si>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</si>
  <si>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</si>
  <si>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</si>
  <si>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</si>
  <si>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</si>
  <si>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</si>
  <si>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</si>
  <si>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</si>
  <si>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</si>
  <si>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</si>
  <si>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</si>
  <si>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</si>
  <si>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</si>
  <si>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</si>
  <si>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</si>
  <si>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</si>
  <si>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</si>
  <si>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</si>
  <si>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</si>
  <si>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</si>
  <si>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</si>
  <si>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</si>
  <si>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</si>
  <si>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</si>
  <si>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</si>
  <si>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</si>
  <si>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</si>
  <si>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</si>
  <si>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</si>
  <si>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</si>
  <si>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</si>
  <si>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</si>
  <si>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</si>
  <si>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</si>
  <si>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</si>
  <si>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</si>
  <si>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</si>
  <si>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</si>
  <si>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</si>
  <si>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</si>
  <si>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</si>
  <si>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</si>
  <si>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</si>
  <si>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</si>
  <si>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</si>
  <si>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</si>
  <si>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</si>
  <si>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</si>
  <si>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</si>
  <si>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</si>
  <si>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</si>
  <si>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</si>
  <si>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</si>
  <si>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</si>
  <si>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</si>
  <si>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</si>
  <si>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</si>
  <si>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</si>
  <si>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</si>
  <si>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</si>
  <si>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</si>
  <si>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</si>
  <si>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</si>
  <si>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</si>
  <si>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</si>
  <si>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</si>
  <si>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</si>
  <si>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</si>
  <si>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</si>
  <si>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</si>
  <si>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</si>
  <si>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</si>
  <si>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</si>
  <si>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</si>
  <si>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</si>
  <si>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</si>
  <si>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</si>
  <si>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</si>
  <si>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</si>
  <si>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</si>
  <si>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</si>
  <si>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</si>
  <si>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</si>
  <si>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</si>
  <si>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</si>
  <si>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</si>
  <si>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</si>
  <si>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</si>
  <si>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</si>
  <si>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</si>
  <si>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</si>
  <si>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</si>
  <si>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</si>
  <si>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</si>
  <si>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</si>
  <si>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</si>
  <si>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</si>
  <si>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</si>
  <si>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</si>
  <si>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</si>
  <si>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</si>
  <si>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</si>
  <si>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</si>
  <si>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</si>
  <si>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</si>
  <si>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</si>
  <si>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</si>
  <si>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</si>
  <si>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</si>
  <si>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</si>
  <si>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</si>
  <si>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</si>
  <si>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</si>
  <si>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</si>
  <si>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</si>
  <si>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</si>
  <si>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</si>
  <si>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</si>
  <si>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</si>
  <si>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</si>
  <si>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</si>
  <si>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</si>
  <si>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</si>
  <si>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</si>
  <si>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</si>
  <si>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</si>
  <si>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</si>
  <si>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</si>
  <si>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</si>
  <si>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</si>
  <si>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</si>
  <si>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</si>
  <si>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</si>
  <si>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</si>
  <si>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</si>
  <si>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</si>
  <si>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</si>
  <si>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</si>
  <si>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</si>
  <si>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</si>
  <si>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</si>
  <si>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</si>
  <si>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</si>
  <si>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</si>
  <si>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</si>
  <si>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</si>
  <si>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</si>
  <si>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</si>
  <si>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</si>
  <si>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</si>
  <si>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</si>
  <si>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</si>
  <si>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</si>
  <si>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</si>
  <si>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</si>
  <si>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</si>
  <si>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</si>
  <si>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</si>
  <si>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</si>
  <si>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</si>
  <si>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</si>
  <si>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</si>
  <si>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</si>
  <si>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</si>
  <si>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</si>
  <si>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</si>
  <si>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</si>
  <si>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</si>
  <si>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</si>
  <si>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</si>
  <si>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</si>
  <si>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</si>
  <si>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</si>
  <si>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</si>
  <si>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</si>
  <si>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</si>
  <si>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</si>
  <si>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</si>
  <si>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</si>
  <si>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</si>
  <si>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</si>
  <si>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</si>
  <si>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</si>
  <si>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</si>
  <si>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</si>
  <si>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</si>
  <si>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</si>
  <si>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</si>
  <si>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</si>
  <si>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</si>
  <si>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</si>
  <si>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</si>
  <si>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</si>
  <si>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</si>
  <si>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</si>
  <si>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</si>
  <si>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</si>
  <si>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</si>
  <si>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</si>
  <si>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</si>
  <si>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</si>
  <si>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</si>
  <si>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</si>
  <si>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</si>
  <si>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</si>
  <si>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</si>
  <si>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</si>
  <si>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</si>
  <si>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</si>
  <si>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</si>
  <si>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</si>
  <si>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</si>
  <si>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</si>
  <si>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</si>
  <si>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</si>
  <si>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</si>
  <si>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</si>
  <si>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</si>
  <si>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</si>
  <si>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</si>
  <si>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</si>
  <si>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</si>
  <si>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</si>
  <si>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</si>
  <si>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</si>
  <si>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</si>
  <si>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</si>
  <si>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</si>
  <si>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</si>
  <si>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</si>
  <si>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</si>
  <si>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</si>
  <si>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</si>
  <si>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</si>
  <si>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</si>
  <si>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</si>
  <si>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</si>
  <si>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</si>
  <si>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</si>
  <si>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</si>
  <si>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</si>
  <si>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</si>
  <si>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</si>
  <si>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</si>
  <si>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</si>
  <si>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</si>
  <si>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</si>
  <si>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</si>
  <si>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</si>
  <si>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</si>
  <si>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</si>
  <si>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</si>
  <si>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</si>
  <si>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</si>
  <si>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</si>
  <si>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</si>
  <si>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</si>
  <si>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</si>
  <si>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</si>
  <si>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</si>
  <si>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</si>
  <si>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</si>
  <si>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</si>
  <si>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</si>
  <si>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</si>
  <si>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</si>
  <si>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</si>
  <si>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</si>
  <si>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</si>
  <si>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</si>
  <si>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</si>
  <si>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</si>
  <si>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</si>
  <si>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</si>
  <si>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</si>
  <si>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</si>
  <si>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</si>
  <si>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</si>
  <si>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</si>
  <si>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</si>
  <si>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</si>
  <si>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</si>
  <si>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</si>
  <si>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</si>
  <si>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</si>
  <si>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</si>
  <si>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</si>
  <si>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</si>
  <si>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</si>
  <si>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</si>
  <si>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</si>
  <si>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</si>
  <si>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</si>
  <si>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</si>
  <si>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</si>
  <si>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</si>
  <si>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</si>
  <si>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</si>
  <si>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</si>
  <si>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</si>
  <si>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</si>
  <si>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</si>
  <si>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</si>
  <si>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</si>
  <si>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</si>
  <si>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</si>
  <si>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</si>
  <si>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</si>
  <si>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</si>
  <si>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</si>
  <si>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</si>
  <si>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</si>
  <si>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</si>
  <si>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</si>
  <si>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</si>
  <si>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</si>
  <si>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</si>
  <si>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</si>
  <si>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</si>
  <si>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</si>
  <si>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</si>
  <si>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</si>
  <si>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</si>
  <si>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</si>
  <si>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</si>
  <si>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</si>
  <si>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</si>
  <si>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</si>
  <si>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</si>
  <si>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</si>
  <si>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</si>
  <si>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</si>
  <si>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</si>
  <si>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</si>
  <si>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</si>
  <si>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</si>
  <si>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</si>
  <si>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</si>
  <si>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</si>
  <si>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</si>
  <si>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</si>
  <si>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</si>
  <si>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</si>
  <si>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</si>
  <si>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</si>
  <si>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</si>
  <si>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</si>
  <si>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</si>
  <si>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</si>
  <si>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</si>
  <si>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</si>
  <si>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</si>
  <si>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</si>
  <si>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</si>
  <si>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</si>
  <si>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</si>
  <si>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</si>
  <si>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</si>
  <si>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</si>
  <si>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</si>
  <si>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</si>
  <si>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</si>
  <si>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</si>
  <si>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</si>
  <si>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</si>
  <si>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</si>
  <si>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</si>
  <si>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</si>
  <si>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</si>
  <si>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</si>
  <si>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</si>
  <si>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</si>
  <si>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</si>
  <si>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</si>
  <si>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</si>
  <si>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</si>
  <si>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</si>
  <si>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</si>
  <si>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</si>
  <si>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</si>
  <si>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</si>
  <si>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</si>
  <si>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</si>
  <si>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</si>
  <si>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</si>
  <si>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</si>
  <si>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</si>
  <si>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</si>
  <si>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</si>
  <si>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</si>
  <si>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</si>
  <si>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</si>
  <si>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</si>
  <si>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</si>
  <si>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</si>
  <si>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</si>
  <si>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</si>
  <si>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</si>
  <si>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</si>
  <si>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</si>
  <si>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</si>
  <si>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</si>
  <si>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</si>
  <si>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</si>
  <si>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</si>
  <si>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</si>
  <si>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</si>
  <si>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</si>
  <si>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</si>
  <si>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</si>
  <si>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</si>
  <si>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</si>
  <si>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</si>
  <si>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</si>
  <si>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</si>
  <si>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</si>
  <si>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</si>
  <si>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</si>
  <si>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</si>
  <si>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</si>
  <si>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</si>
  <si>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</si>
  <si>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</si>
  <si>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</si>
  <si>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</si>
  <si>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</si>
  <si>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</si>
  <si>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</si>
  <si>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</si>
  <si>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</si>
  <si>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</si>
  <si>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</si>
  <si>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</si>
  <si>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</si>
  <si>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</si>
  <si>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</si>
  <si>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</si>
  <si>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</si>
  <si>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</si>
  <si>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</si>
  <si>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</si>
  <si>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</si>
  <si>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</si>
  <si>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</si>
  <si>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</si>
  <si>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</si>
  <si>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</si>
  <si>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</si>
  <si>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</si>
  <si>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</si>
  <si>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</si>
  <si>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</si>
  <si>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</si>
  <si>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</si>
  <si>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</si>
  <si>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</si>
  <si>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</si>
  <si>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</si>
  <si>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</si>
  <si>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</si>
  <si>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</si>
  <si>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</si>
  <si>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</si>
  <si>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</si>
  <si>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</si>
  <si>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</si>
  <si>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</si>
  <si>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</si>
  <si>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</si>
  <si>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</si>
  <si>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</si>
  <si>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</si>
  <si>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</si>
  <si>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</si>
  <si>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</si>
  <si>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</si>
  <si>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</si>
  <si>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</si>
  <si>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</si>
  <si>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</si>
  <si>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</si>
  <si>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</si>
  <si>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</si>
  <si>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</si>
  <si>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</si>
  <si>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</si>
  <si>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</si>
  <si>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</si>
  <si>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</si>
  <si>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</si>
  <si>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</si>
  <si>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</si>
  <si>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</si>
  <si>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</si>
  <si>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</si>
  <si>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</si>
  <si>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</si>
  <si>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</si>
  <si>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</si>
  <si>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</si>
  <si>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</si>
  <si>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</si>
  <si>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</si>
  <si>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</si>
  <si>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</si>
  <si>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</si>
  <si>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</si>
  <si>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</si>
  <si>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</si>
  <si>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</si>
  <si>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</si>
  <si>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</si>
  <si>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</si>
  <si>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</si>
  <si>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</si>
  <si>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</si>
  <si>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</si>
  <si>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</si>
  <si>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</si>
  <si>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</si>
  <si>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</si>
  <si>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</si>
  <si>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</si>
  <si>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</si>
  <si>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</si>
  <si>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</si>
  <si>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</si>
  <si>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</si>
  <si>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</si>
  <si>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</si>
  <si>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</si>
  <si>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</si>
  <si>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</si>
  <si>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</si>
  <si>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</si>
  <si>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</si>
  <si>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</si>
  <si>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</si>
  <si>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</si>
  <si>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</si>
  <si>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</si>
  <si>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</si>
  <si>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</si>
  <si>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</si>
  <si>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</si>
  <si>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</si>
  <si>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</si>
  <si>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</si>
  <si>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</si>
  <si>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</si>
  <si>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</si>
  <si>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</si>
  <si>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</si>
  <si>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</si>
  <si>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</si>
  <si>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</si>
  <si>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</si>
  <si>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</si>
  <si>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</si>
  <si>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</si>
  <si>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</si>
  <si>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</si>
  <si>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</si>
  <si>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</si>
  <si>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</si>
  <si>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</si>
  <si>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</si>
  <si>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</si>
  <si>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</si>
  <si>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</si>
  <si>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</si>
  <si>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</si>
  <si>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</si>
  <si>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</si>
  <si>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</si>
  <si>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</si>
  <si>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</si>
  <si>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</si>
  <si>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</si>
  <si>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</si>
  <si>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</si>
  <si>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</si>
  <si>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</si>
  <si>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</si>
  <si>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</si>
  <si>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</si>
  <si>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</si>
  <si>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</si>
  <si>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</si>
  <si>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</si>
  <si>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</si>
  <si>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</si>
  <si>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</si>
  <si>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</si>
  <si>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</si>
  <si>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</si>
  <si>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</si>
  <si>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</si>
  <si>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</si>
  <si>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</si>
  <si>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</si>
  <si>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</si>
  <si>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</si>
  <si>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</si>
  <si>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</si>
  <si>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</si>
  <si>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</si>
  <si>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</si>
  <si>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</si>
  <si>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</si>
  <si>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</si>
  <si>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</si>
  <si>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</si>
  <si>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</si>
  <si>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</si>
  <si>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</si>
  <si>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</si>
  <si>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</si>
  <si>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</si>
  <si>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</si>
  <si>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</si>
  <si>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</si>
  <si>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</si>
  <si>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</si>
  <si>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</si>
  <si>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</si>
  <si>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</si>
  <si>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</si>
  <si>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</si>
  <si>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</si>
  <si>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</si>
  <si>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</si>
  <si>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</si>
  <si>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</si>
  <si>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</si>
  <si>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</si>
  <si>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</si>
  <si>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</si>
  <si>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</si>
  <si>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</si>
  <si>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</si>
  <si>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</si>
  <si>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</si>
  <si>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</si>
  <si>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</si>
  <si>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</si>
  <si>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</si>
  <si>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</si>
  <si>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</si>
  <si>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</si>
  <si>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</si>
  <si>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</si>
  <si>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</si>
  <si>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</si>
  <si>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</si>
  <si>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</si>
  <si>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</si>
  <si>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</si>
  <si>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</si>
  <si>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</si>
  <si>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</si>
  <si>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</si>
  <si>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</si>
  <si>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</si>
  <si>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</si>
  <si>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</si>
  <si>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</si>
  <si>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</si>
  <si>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</si>
  <si>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</si>
  <si>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</si>
  <si>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</si>
  <si>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</si>
  <si>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</si>
  <si>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</si>
  <si>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</si>
  <si>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</si>
  <si>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</si>
  <si>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</si>
  <si>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</si>
  <si>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</si>
  <si>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</si>
  <si>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</si>
  <si>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</si>
  <si>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</si>
  <si>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purchased office printer + old printer repaired</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</si>
  <si>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</si>
  <si>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</si>
  <si>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</si>
  <si>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</si>
  <si>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</si>
  <si>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</si>
  <si>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</si>
  <si>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</si>
  <si>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</si>
  <si>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</si>
  <si>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</si>
  <si>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</si>
  <si>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</si>
  <si>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</si>
  <si>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</si>
  <si>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</si>
  <si>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</si>
  <si>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</si>
  <si>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</si>
  <si>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</si>
  <si>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</si>
  <si>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</si>
  <si>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</si>
  <si>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</si>
  <si>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</si>
  <si>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</si>
  <si>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</si>
  <si>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</si>
  <si>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</si>
  <si>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</si>
  <si>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</si>
  <si>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</si>
  <si>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</si>
  <si>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</si>
  <si>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</si>
  <si>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</si>
  <si>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</si>
  <si>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</si>
  <si>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</si>
  <si>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</si>
  <si>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</si>
  <si>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</si>
  <si>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</si>
  <si>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</si>
  <si>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</si>
  <si>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</si>
  <si>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</si>
  <si>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</si>
  <si>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</si>
  <si>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</si>
  <si>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</si>
  <si>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</si>
  <si>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</si>
  <si>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</si>
  <si>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</si>
  <si>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</si>
  <si>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</si>
  <si>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</si>
  <si>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</si>
  <si>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</si>
  <si>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</si>
  <si>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</si>
  <si>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</si>
  <si>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</si>
  <si>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</si>
  <si>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</si>
  <si>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</si>
  <si>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</si>
  <si>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</si>
  <si>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</si>
  <si>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</si>
  <si>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</si>
  <si>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</si>
  <si>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</si>
  <si>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</si>
  <si>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</si>
  <si>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</si>
  <si>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</si>
  <si>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</si>
  <si>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</si>
  <si>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</si>
  <si>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</si>
  <si>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</si>
  <si>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</si>
  <si>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</si>
  <si>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</si>
  <si>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</si>
  <si>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</si>
  <si>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</si>
  <si>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</si>
  <si>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</si>
  <si>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</si>
  <si>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</si>
  <si>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</si>
  <si>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</si>
  <si>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</si>
  <si>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</si>
  <si>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</si>
  <si>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</si>
  <si>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</si>
  <si>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</si>
  <si>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</si>
  <si>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</si>
  <si>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</si>
  <si>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</si>
  <si>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</si>
  <si>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</si>
  <si>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</si>
  <si>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</si>
  <si>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</si>
  <si>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</si>
  <si>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</si>
  <si>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</si>
  <si>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</si>
  <si>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</si>
  <si>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</si>
  <si>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</si>
  <si>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</si>
  <si>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</si>
  <si>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</si>
  <si>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2098</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</si>
  <si>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</si>
  <si>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</si>
  <si>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</si>
  <si>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</si>
  <si>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</si>
  <si>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</si>
  <si>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</si>
  <si>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</si>
  <si>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</si>
  <si>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</si>
  <si>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</si>
  <si>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</si>
  <si>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</si>
  <si>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</si>
  <si>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</si>
  <si>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</si>
  <si>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</si>
  <si>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</si>
  <si>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</si>
  <si>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</si>
  <si>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</si>
  <si>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</si>
  <si>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</si>
  <si>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</si>
  <si>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</si>
  <si>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</si>
  <si>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</si>
  <si>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</si>
  <si>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</si>
  <si>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</si>
  <si>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</si>
  <si>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</si>
  <si>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</si>
  <si>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</si>
  <si>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</si>
  <si>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</si>
  <si>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</si>
  <si>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</si>
  <si>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</si>
  <si>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</si>
  <si>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</si>
  <si>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</si>
  <si>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</si>
  <si>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</si>
  <si>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</si>
  <si>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</si>
  <si>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</si>
  <si>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</si>
  <si>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</si>
  <si>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</si>
  <si>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</si>
  <si>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</si>
  <si>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</si>
  <si>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</si>
  <si>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</si>
  <si>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</si>
  <si>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</si>
  <si>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</si>
  <si>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</si>
  <si>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</si>
  <si>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</si>
  <si>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</si>
  <si>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</si>
  <si>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</si>
  <si>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</si>
  <si>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</si>
  <si>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</si>
  <si>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</si>
  <si>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</si>
  <si>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</si>
  <si>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</si>
  <si>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</si>
  <si>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</si>
  <si>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</si>
  <si>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</si>
  <si>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</si>
  <si>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</si>
  <si>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</si>
  <si>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</si>
  <si>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</si>
  <si>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</si>
  <si>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</si>
  <si>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</si>
  <si>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</si>
  <si>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</si>
  <si>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</si>
  <si>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</si>
  <si>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</si>
  <si>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</si>
  <si>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</si>
  <si>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</si>
  <si>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</si>
  <si>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</si>
  <si>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</si>
  <si>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</si>
  <si>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</si>
  <si>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</si>
  <si>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</si>
  <si>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</si>
  <si>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</si>
  <si>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</si>
  <si>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</si>
  <si>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</si>
  <si>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</si>
  <si>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</si>
  <si>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</si>
  <si>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</si>
  <si>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</si>
  <si>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</si>
  <si>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</si>
  <si>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</si>
  <si>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</si>
  <si>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</si>
  <si>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</si>
  <si>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</si>
  <si>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</si>
  <si>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</si>
  <si>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</si>
  <si>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</si>
  <si>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</si>
  <si>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</si>
  <si>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</si>
  <si>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</si>
  <si>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</si>
  <si>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</si>
  <si>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</si>
  <si>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</si>
  <si>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</si>
  <si>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</si>
  <si>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</si>
  <si>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</si>
  <si>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</si>
  <si>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</si>
  <si>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</si>
  <si>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</si>
  <si>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</si>
  <si>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</si>
  <si>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</si>
  <si>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</si>
  <si>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</si>
  <si>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spar + NICVD</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</si>
  <si>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</si>
  <si>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</si>
  <si>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</si>
  <si>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</si>
  <si>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</si>
  <si>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</si>
  <si>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</si>
  <si>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</si>
  <si>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</si>
  <si>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</si>
  <si>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</si>
  <si>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</si>
  <si>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</si>
  <si>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</si>
  <si>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</si>
  <si>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</si>
  <si>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</si>
  <si>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</si>
  <si>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</si>
  <si>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</si>
  <si>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</si>
  <si>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</si>
  <si>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</si>
  <si>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</si>
  <si>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</si>
  <si>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</si>
  <si>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</si>
  <si>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</si>
  <si>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</si>
  <si>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</si>
  <si>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</si>
  <si>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</si>
  <si>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</si>
  <si>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</si>
  <si>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</si>
  <si>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</si>
  <si>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</si>
  <si>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</si>
  <si>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</si>
  <si>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</si>
  <si>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</si>
  <si>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</si>
  <si>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</si>
  <si>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</si>
  <si>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</si>
  <si>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</si>
  <si>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</si>
  <si>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</si>
  <si>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</si>
  <si>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</si>
  <si>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</si>
  <si>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</si>
  <si>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</si>
  <si>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</si>
  <si>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</si>
  <si>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</si>
  <si>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j out dml</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</si>
  <si>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</si>
  <si>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</si>
  <si>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</si>
  <si>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</si>
  <si>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</si>
  <si>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</si>
  <si>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</si>
  <si>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</si>
  <si>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</si>
  <si>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</si>
  <si>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</si>
  <si>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</si>
  <si>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</si>
  <si>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</si>
  <si>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</si>
  <si>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</si>
  <si>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</si>
  <si>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</si>
  <si>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</si>
  <si>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</si>
  <si>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</si>
  <si>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</si>
  <si>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</si>
  <si>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Online by BH to Hussain Porta</t>
  </si>
  <si>
    <t>ismail gee</t>
  </si>
  <si>
    <t>Purchased conduits by faheem</t>
  </si>
  <si>
    <t>Online by BH to Habib Insulation</t>
  </si>
  <si>
    <t>Safe and sounf engineering</t>
  </si>
  <si>
    <t>Online by adeel to waqar brother for sprinklers</t>
  </si>
  <si>
    <t>Online by adeel to tasleem</t>
  </si>
  <si>
    <t>Online by adeel to Jeddah polymer</t>
  </si>
  <si>
    <t>Online by adeel to shabbir brothers</t>
  </si>
  <si>
    <t>2418</t>
  </si>
  <si>
    <t>3245</t>
  </si>
  <si>
    <t>3553</t>
  </si>
  <si>
    <t>2902</t>
  </si>
  <si>
    <t>3319</t>
  </si>
  <si>
    <t>Paid MCB chq 2007570445</t>
  </si>
  <si>
    <t>Paid MCB chq 2007570446</t>
  </si>
  <si>
    <t>Online by BH to saima waheed khan care of Mona in Lahore (charge in MHR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</si>
</sst>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3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165" fontId="57" fillId="0" borderId="1" xfId="0" applyNumberFormat="1" applyFont="1" applyFill="1" applyBorder="1" applyAlignment="1">
      <alignment horizontal="left" indent="1"/>
    </xf>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23"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3" fillId="0" borderId="19" xfId="0" applyFont="1" applyBorder="1" applyAlignment="1">
      <alignment horizontal="left" wrapText="1"/>
    </xf>
    <xf numFmtId="0" fontId="3" fillId="0" borderId="22" xfId="0" applyFont="1" applyBorder="1" applyAlignment="1">
      <alignment horizontal="left"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49" fontId="16" fillId="6" borderId="1" xfId="0" applyNumberFormat="1" applyFont="1" applyFill="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165" fontId="3" fillId="4" borderId="0" xfId="0" applyNumberFormat="1" applyFont="1" applyFill="1" applyBorder="1"/>
  </cellXfs>
  <cellStyles count="5">
    <cellStyle name="Comma" xfId="1" builtinId="3"/>
    <cellStyle name="Comma 2" xfId="4" xr:uid="{6A5FF9F0-1C8F-42C5-9A9D-F6EF44D3D002}"/>
    <cellStyle name="Hyperlink" xfId="2" builtinId="8"/>
    <cellStyle name="Normal" xfId="0" builtinId="0"/>
    <cellStyle name="Percent" xfId="3" builtinId="5"/>
  </cellStyles>
  <dxfs count="2555">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alignment vertical="center"/>
    </dxf>
    <dxf>
      <alignment vertical="center"/>
    </dxf>
    <dxf>
      <font>
        <sz val="14"/>
      </font>
    </dxf>
    <dxf>
      <font>
        <sz val="14"/>
      </font>
    </dxf>
    <dxf>
      <alignment vertical="center"/>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11-Feb-25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40</xdr:row>
      <xdr:rowOff>161925</xdr:rowOff>
    </xdr:from>
    <xdr:to>
      <xdr:col>13</xdr:col>
      <xdr:colOff>1090</xdr:colOff>
      <xdr:row>69</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jects%202022/GSK%20Office%20Dolmen%20Mall%20Karachi/Variation%20Orders/Variation%20Summar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jects%202022/Deutsche%20Bank%20(Main%20Project)/Variation%20orders/Variation%20Summar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ojects%202022/Sana%20Safinaz%20-%20Dolmen%20Mall%20Clifton%20Karachi/Variation%20order/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Running%20projects/Khaadi%20Kanteen%20DMC%20Karachi%20(HVAC%20&amp;%20FIRE)/Variations/Summary%20of%20VOs.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Running%20projects/Visa%20KHI%20Fit%20Out%20Project%20DMC%20Karachi/Variation%20orders/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otation 1"/>
      <sheetName val="quotation 2"/>
      <sheetName val="Sheet2"/>
    </sheetNames>
    <sheetDataSet>
      <sheetData sheetId="0">
        <row r="19">
          <cell r="F19">
            <v>7596000</v>
          </cell>
        </row>
      </sheetData>
      <sheetData sheetId="1">
        <row r="19">
          <cell r="F19">
            <v>4220000</v>
          </cell>
        </row>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HVAC 16th Floor"/>
    </sheetNames>
    <sheetDataSet>
      <sheetData sheetId="0" refreshError="1">
        <row r="14">
          <cell r="C14">
            <v>7767350</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C26">
            <v>1879892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4">
          <cell r="E24">
            <v>3571369.0625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3">
          <cell r="C23">
            <v>1099464.3999999999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0">
          <cell r="C20">
            <v>553023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26">
          <cell r="D26">
            <v>3091025.3200000003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99.669921527777" createdVersion="5" refreshedVersion="6" minRefreshableVersion="3" recordCount="23099" xr:uid="{00000000-000A-0000-FFFF-FFFF2E000000}">
  <cacheSource type="worksheet">
    <worksheetSource ref="A1:H23733" sheet="Posting"/>
  </cacheSource>
  <cacheFields count="8">
    <cacheField name="Date" numFmtId="0">
      <sharedItems containsDate="1" containsBlank="1" containsMixedTypes="1" minDate="2013-12-15T00:00:00" maxDate="2025-02-12T00:00:00" count="2564">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0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Various sites"/>
        <s v="spar + NICVD"/>
        <s v="Pfizer"/>
        <s v="j out dml"/>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o/m Nueplex" u="1"/>
        <s v="O/M NUEPLEZ" u="1"/>
        <s v="Allied engg" u="1"/>
        <s v="MHR Personal" u="1"/>
        <s v="j outelet" u="1"/>
        <s v="The Royal Cinema" u="1"/>
        <s v="Mcdonald's Megaplex" u="1"/>
        <s v="water tanker" u="1"/>
        <s v="Zulfiquar Multiplex" u="1"/>
        <s v="Syedena Saifuddin" u="1"/>
        <s v="Centerpoint" u="1"/>
        <s v="Jameel baig"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03">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99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purchased office printer + old printer repaired"/>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Spar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Hussain Porta"/>
        <s v="Purchased conduits by faheem"/>
        <s v="Online by BH to Habib Insulation"/>
        <s v="Online by adeel to waqar brother for sprinklers"/>
        <s v="Online by adeel to tasleem"/>
        <s v="Online by adeel to Jeddah polymer"/>
        <s v="Online by adeel to shabbir brothers"/>
        <s v="Paid MCB chq 2007570443"/>
        <s v="Paid MCB chq 2007570445"/>
        <s v="Paid MCB chq 2007570446"/>
        <s v="O &amp; M bill for Jan 25"/>
        <s v="1% invoice charges for MCB chq # 2007570444 given to Universal traders care off Adeel Steel for SST inpt adjustment in NASTP payment"/>
        <s v="Received balanced retention amount"/>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4">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8"/>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25" u="1"/>
        <s v="April 2036" u="1"/>
        <s v="September" u="1"/>
        <s v="April 2035" u="1"/>
        <s v="January" u="1"/>
        <s v="April 2034" u="1"/>
        <s v="April 2033" u="1"/>
        <s v="April 2032" u="1"/>
        <s v="April 2031" u="1"/>
        <s v="April 2030" u="1"/>
        <s v="October 2015" u="1"/>
        <s v="October 2025"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99.675051851853" createdVersion="5" refreshedVersion="6" minRefreshableVersion="3" recordCount="4673" xr:uid="{00000000-000A-0000-FFFF-FFFF2F000000}">
  <cacheSource type="worksheet">
    <worksheetSource ref="A1:H6058" sheet="Supplier"/>
  </cacheSource>
  <cacheFields count="8">
    <cacheField name="Date" numFmtId="0">
      <sharedItems containsNonDate="0" containsDate="1" containsString="0" containsBlank="1" minDate="2015-11-24T00:00:00" maxDate="2025-02-12T00:00:00" count="1560">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7T00:00:00"/>
        <d v="2025-01-28T00:00:00"/>
        <d v="2025-01-29T00:00:00"/>
        <d v="2025-01-30T00:00:00"/>
        <d v="2025-01-31T00:00:00"/>
        <d v="2025-02-01T00:00:00"/>
        <d v="2025-02-06T00:00:00"/>
        <d v="2025-02-07T00:00:00"/>
        <d v="2025-02-11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Exhaust Work"/>
        <s v="NICVD"/>
        <s v="J outlet lucky one mall"/>
        <s v="Spar supermarket"/>
        <s v="IT Work Deutsche Bank"/>
        <s v="Imtiaz supermarket"/>
        <s v="meezan gujranwala"/>
        <s v="BAH Fire work"/>
        <s v="NASTP II"/>
        <s v="Zeta Mall"/>
        <s v="Mall of Pindi"/>
        <s v="BAF 10-B Floor" u="1"/>
        <s v="Bank Al-falah" u="1"/>
        <s v="The Forum Shopping" u="1"/>
        <s v="Sapphier" u="1"/>
        <s v="falcon" u="1"/>
        <s v="BAH 24th Floor" u="1"/>
        <s v="bah 12th flooor" u="1"/>
        <s v="BAF 10A floor" u="1"/>
        <s v="Mckinsey" u="1"/>
        <s v="Food court hydery" u="1"/>
        <s v="Al-Karam Packages Mall" u="1"/>
        <s v="Rehmant shipping" u="1"/>
        <s v="deutche bank" u="1"/>
        <s v="Engro" u="1"/>
        <s v="BUT" u="1"/>
        <s v="Hydery Mall" u="1"/>
        <s v="re" u="1"/>
        <s v="Advance" u="1"/>
        <s v="Zaid Factory" u="1"/>
        <s v="tahiri Masjid" u="1"/>
        <s v="Meezan Bukhari" u="1"/>
        <s v="Bank Al-habib" u="1"/>
        <s v="Tri-fit" u="1"/>
        <s v="Ashre tech"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Advance Mustafa (Shaheen)" u="1"/>
        <s v="Zara Engineers" u="1"/>
        <s v="H S Ahmed Ally" u="1"/>
        <s v="Flow Tab" u="1"/>
        <s v="Zubair Ducting" u="1"/>
        <s v="Saeed mama" u="1"/>
        <s v="Imran Ducting" u="1"/>
        <s v="Advance mustafa" u="1"/>
        <s v="Crescent Corporation" u="1"/>
        <s v="Fame international" u="1"/>
        <s v="Alpha Engineering" u="1"/>
        <s v="Raess Brothers" u="1"/>
        <s v="Tariq Industries" u="1"/>
        <s v="EAP" u="1"/>
        <s v="Accrescent Engineers" u="1"/>
        <s v="bharmal" u="1"/>
        <s v="Rizwan VRF" u="1"/>
        <s v="Fakhri (meezan)" u="1"/>
        <s v="Anees Grills" u="1"/>
        <s v="Amjad Bhai (DXB)" u="1"/>
        <s v="SS sami" u="1"/>
        <s v="Shabbir Pipe" u="1"/>
        <s v="Fateh Steel" u="1"/>
        <s v="Malik Brother" u="1"/>
        <s v="Fakhri Brothers (NOVEC)" u="1"/>
        <s v="Orient Electric" u="1"/>
        <s v="Ismail Jee Porta" u="1"/>
        <s v="Advance mustafa (JPMC)" u="1"/>
        <s v="KRC Solution" u="1"/>
        <s v="Komal Engineering" u="1"/>
        <s v="Advance" u="1"/>
        <s v="Fakhri Brothers (MZN)" u="1"/>
        <s v="Prem Engineering" u="1"/>
        <s v="LIBRA ENGR" u="1"/>
        <s v="JES Instrument" u="1"/>
        <s v="Guddu insulator" u="1"/>
        <s v="John" u="1"/>
        <s v="Rizwan core" u="1"/>
        <s v="Gulfam insulator" u="1"/>
        <s v="De Creator" u="1"/>
        <s v="SASA" u="1"/>
        <s v="SHI Engineering" u="1"/>
        <s v="Saim bhai" u="1"/>
        <s v="Mujahid Cylinde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9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4"/>
    <x v="487"/>
    <x v="11826"/>
    <n v="20000"/>
    <m/>
    <n v="-20000"/>
    <x v="195"/>
  </r>
  <r>
    <x v="2448"/>
    <x v="132"/>
    <x v="2"/>
    <x v="11827"/>
    <n v="6700"/>
    <m/>
    <n v="-6700"/>
    <x v="196"/>
  </r>
  <r>
    <x v="2448"/>
    <x v="7"/>
    <x v="27"/>
    <x v="5204"/>
    <n v="3165"/>
    <m/>
    <n v="-3165"/>
    <x v="197"/>
  </r>
  <r>
    <x v="2448"/>
    <x v="4"/>
    <x v="27"/>
    <x v="5204"/>
    <n v="10860"/>
    <m/>
    <n v="-10860"/>
    <x v="198"/>
  </r>
  <r>
    <x v="2448"/>
    <x v="4"/>
    <x v="2"/>
    <x v="11828"/>
    <n v="350"/>
    <m/>
    <n v="-350"/>
    <x v="199"/>
  </r>
  <r>
    <x v="2448"/>
    <x v="136"/>
    <x v="878"/>
    <x v="898"/>
    <n v="10000"/>
    <m/>
    <n v="-10000"/>
    <x v="200"/>
  </r>
  <r>
    <x v="2448"/>
    <x v="135"/>
    <x v="2"/>
    <x v="11829"/>
    <n v="3000"/>
    <m/>
    <n v="-3000"/>
    <x v="201"/>
  </r>
  <r>
    <x v="2448"/>
    <x v="114"/>
    <x v="278"/>
    <x v="11823"/>
    <n v="12000"/>
    <m/>
    <n v="-12000"/>
    <x v="202"/>
  </r>
  <r>
    <x v="2448"/>
    <x v="138"/>
    <x v="2"/>
    <x v="11830"/>
    <n v="5000"/>
    <m/>
    <n v="-5000"/>
    <x v="203"/>
  </r>
  <r>
    <x v="2448"/>
    <x v="115"/>
    <x v="278"/>
    <x v="11831"/>
    <n v="29800"/>
    <m/>
    <n v="-29800"/>
    <x v="204"/>
  </r>
  <r>
    <x v="2448"/>
    <x v="114"/>
    <x v="843"/>
    <x v="11832"/>
    <n v="9600"/>
    <m/>
    <n v="-9600"/>
    <x v="205"/>
  </r>
  <r>
    <x v="2448"/>
    <x v="138"/>
    <x v="278"/>
    <x v="8336"/>
    <n v="6170"/>
    <m/>
    <n v="-6170"/>
    <x v="206"/>
  </r>
  <r>
    <x v="2448"/>
    <x v="114"/>
    <x v="285"/>
    <x v="11833"/>
    <n v="1000"/>
    <m/>
    <n v="-1000"/>
    <x v="207"/>
  </r>
  <r>
    <x v="2448"/>
    <x v="136"/>
    <x v="2"/>
    <x v="11834"/>
    <n v="4140"/>
    <m/>
    <n v="-4140"/>
    <x v="208"/>
  </r>
  <r>
    <x v="2448"/>
    <x v="131"/>
    <x v="278"/>
    <x v="11835"/>
    <n v="33675"/>
    <m/>
    <n v="-33675"/>
    <x v="209"/>
  </r>
  <r>
    <x v="2448"/>
    <x v="132"/>
    <x v="856"/>
    <x v="11836"/>
    <n v="100000"/>
    <m/>
    <n v="-100000"/>
    <x v="210"/>
  </r>
  <r>
    <x v="2448"/>
    <x v="141"/>
    <x v="278"/>
    <x v="11837"/>
    <n v="194000"/>
    <m/>
    <n v="-194000"/>
    <x v="211"/>
  </r>
  <r>
    <x v="2449"/>
    <x v="4"/>
    <x v="2"/>
    <x v="8114"/>
    <n v="3000"/>
    <m/>
    <n v="-3000"/>
    <x v="212"/>
  </r>
  <r>
    <x v="2449"/>
    <x v="136"/>
    <x v="278"/>
    <x v="11838"/>
    <n v="5000"/>
    <m/>
    <n v="-5000"/>
    <x v="213"/>
  </r>
  <r>
    <x v="2449"/>
    <x v="142"/>
    <x v="278"/>
    <x v="11839"/>
    <n v="32500"/>
    <m/>
    <n v="-32500"/>
    <x v="214"/>
  </r>
  <r>
    <x v="2449"/>
    <x v="142"/>
    <x v="278"/>
    <x v="8053"/>
    <n v="17000"/>
    <m/>
    <n v="-17000"/>
    <x v="215"/>
  </r>
  <r>
    <x v="2449"/>
    <x v="142"/>
    <x v="278"/>
    <x v="11840"/>
    <n v="20990"/>
    <m/>
    <n v="-20990"/>
    <x v="216"/>
  </r>
  <r>
    <x v="2449"/>
    <x v="135"/>
    <x v="496"/>
    <x v="11841"/>
    <n v="2100"/>
    <m/>
    <n v="-2100"/>
    <x v="217"/>
  </r>
  <r>
    <x v="2449"/>
    <x v="73"/>
    <x v="447"/>
    <x v="11842"/>
    <n v="10900"/>
    <m/>
    <n v="-10900"/>
    <x v="218"/>
  </r>
  <r>
    <x v="2449"/>
    <x v="136"/>
    <x v="474"/>
    <x v="233"/>
    <n v="3000"/>
    <m/>
    <n v="-3000"/>
    <x v="219"/>
  </r>
  <r>
    <x v="2449"/>
    <x v="132"/>
    <x v="474"/>
    <x v="233"/>
    <n v="1200"/>
    <m/>
    <n v="-1200"/>
    <x v="220"/>
  </r>
  <r>
    <x v="2449"/>
    <x v="73"/>
    <x v="278"/>
    <x v="11747"/>
    <n v="31000"/>
    <m/>
    <n v="-31000"/>
    <x v="221"/>
  </r>
  <r>
    <x v="2449"/>
    <x v="114"/>
    <x v="474"/>
    <x v="233"/>
    <n v="1600"/>
    <m/>
    <n v="-1600"/>
    <x v="222"/>
  </r>
  <r>
    <x v="2449"/>
    <x v="7"/>
    <x v="27"/>
    <x v="11843"/>
    <n v="33977"/>
    <m/>
    <n v="-33977"/>
    <x v="223"/>
  </r>
  <r>
    <x v="2449"/>
    <x v="4"/>
    <x v="27"/>
    <x v="11843"/>
    <n v="16117"/>
    <m/>
    <n v="-16117"/>
    <x v="224"/>
  </r>
  <r>
    <x v="2449"/>
    <x v="132"/>
    <x v="934"/>
    <x v="11844"/>
    <n v="2000000"/>
    <m/>
    <n v="-2000000"/>
    <x v="225"/>
  </r>
  <r>
    <x v="2449"/>
    <x v="132"/>
    <x v="934"/>
    <x v="11845"/>
    <n v="150000"/>
    <m/>
    <n v="-150000"/>
    <x v="226"/>
  </r>
  <r>
    <x v="2449"/>
    <x v="73"/>
    <x v="474"/>
    <x v="233"/>
    <n v="2500"/>
    <m/>
    <n v="-2500"/>
    <x v="227"/>
  </r>
  <r>
    <x v="2449"/>
    <x v="137"/>
    <x v="474"/>
    <x v="8211"/>
    <n v="500"/>
    <m/>
    <n v="-500"/>
    <x v="228"/>
  </r>
  <r>
    <x v="2449"/>
    <x v="137"/>
    <x v="927"/>
    <x v="11846"/>
    <n v="400000"/>
    <m/>
    <n v="-400000"/>
    <x v="229"/>
  </r>
  <r>
    <x v="2449"/>
    <x v="129"/>
    <x v="922"/>
    <x v="11847"/>
    <n v="400000"/>
    <m/>
    <n v="-400000"/>
    <x v="230"/>
  </r>
  <r>
    <x v="2449"/>
    <x v="132"/>
    <x v="922"/>
    <x v="11847"/>
    <n v="400000"/>
    <m/>
    <n v="-400000"/>
    <x v="231"/>
  </r>
  <r>
    <x v="2450"/>
    <x v="135"/>
    <x v="278"/>
    <x v="11848"/>
    <n v="3400"/>
    <m/>
    <n v="-3400"/>
    <x v="232"/>
  </r>
  <r>
    <x v="2450"/>
    <x v="141"/>
    <x v="278"/>
    <x v="11849"/>
    <n v="33050"/>
    <m/>
    <n v="-33050"/>
    <x v="233"/>
  </r>
  <r>
    <x v="2450"/>
    <x v="73"/>
    <x v="474"/>
    <x v="233"/>
    <n v="800"/>
    <m/>
    <n v="-800"/>
    <x v="234"/>
  </r>
  <r>
    <x v="2450"/>
    <x v="4"/>
    <x v="2"/>
    <x v="8114"/>
    <n v="4000"/>
    <m/>
    <n v="-4000"/>
    <x v="235"/>
  </r>
  <r>
    <x v="2450"/>
    <x v="141"/>
    <x v="390"/>
    <x v="11850"/>
    <n v="4050"/>
    <m/>
    <n v="-4050"/>
    <x v="236"/>
  </r>
  <r>
    <x v="2450"/>
    <x v="141"/>
    <x v="2"/>
    <x v="11590"/>
    <n v="83000"/>
    <m/>
    <n v="-83000"/>
    <x v="237"/>
  </r>
  <r>
    <x v="2450"/>
    <x v="141"/>
    <x v="390"/>
    <x v="11851"/>
    <n v="33000"/>
    <m/>
    <n v="-33000"/>
    <x v="238"/>
  </r>
  <r>
    <x v="2450"/>
    <x v="113"/>
    <x v="2"/>
    <x v="11852"/>
    <n v="20000"/>
    <m/>
    <n v="-20000"/>
    <x v="239"/>
  </r>
  <r>
    <x v="2450"/>
    <x v="104"/>
    <x v="716"/>
    <x v="11792"/>
    <n v="21000"/>
    <m/>
    <n v="-21000"/>
    <x v="240"/>
  </r>
  <r>
    <x v="2450"/>
    <x v="90"/>
    <x v="43"/>
    <x v="11853"/>
    <n v="187000"/>
    <m/>
    <n v="-187000"/>
    <x v="241"/>
  </r>
  <r>
    <x v="2450"/>
    <x v="136"/>
    <x v="278"/>
    <x v="11854"/>
    <n v="38250"/>
    <m/>
    <n v="-38250"/>
    <x v="242"/>
  </r>
  <r>
    <x v="2450"/>
    <x v="138"/>
    <x v="278"/>
    <x v="11854"/>
    <n v="38250"/>
    <m/>
    <n v="-38250"/>
    <x v="243"/>
  </r>
  <r>
    <x v="2450"/>
    <x v="114"/>
    <x v="278"/>
    <x v="11854"/>
    <n v="38250"/>
    <m/>
    <n v="-38250"/>
    <x v="244"/>
  </r>
  <r>
    <x v="2450"/>
    <x v="73"/>
    <x v="278"/>
    <x v="11854"/>
    <n v="38250"/>
    <m/>
    <n v="-38250"/>
    <x v="245"/>
  </r>
  <r>
    <x v="2451"/>
    <x v="135"/>
    <x v="864"/>
    <x v="11855"/>
    <n v="100000"/>
    <m/>
    <n v="-100000"/>
    <x v="246"/>
  </r>
  <r>
    <x v="2451"/>
    <x v="129"/>
    <x v="474"/>
    <x v="233"/>
    <n v="1900"/>
    <m/>
    <n v="-1900"/>
    <x v="247"/>
  </r>
  <r>
    <x v="2451"/>
    <x v="132"/>
    <x v="390"/>
    <x v="11856"/>
    <n v="8000"/>
    <m/>
    <n v="-8000"/>
    <x v="248"/>
  </r>
  <r>
    <x v="2451"/>
    <x v="135"/>
    <x v="2"/>
    <x v="7352"/>
    <n v="4690"/>
    <m/>
    <n v="-4690"/>
    <x v="249"/>
  </r>
  <r>
    <x v="2452"/>
    <x v="98"/>
    <x v="2"/>
    <x v="11857"/>
    <n v="9000"/>
    <m/>
    <n v="-9000"/>
    <x v="249"/>
  </r>
  <r>
    <x v="2452"/>
    <x v="73"/>
    <x v="285"/>
    <x v="11858"/>
    <n v="1000"/>
    <m/>
    <n v="-1000"/>
    <x v="249"/>
  </r>
  <r>
    <x v="2452"/>
    <x v="132"/>
    <x v="278"/>
    <x v="11859"/>
    <n v="35560"/>
    <m/>
    <n v="-35560"/>
    <x v="249"/>
  </r>
  <r>
    <x v="2452"/>
    <x v="129"/>
    <x v="2"/>
    <x v="11860"/>
    <n v="10000"/>
    <m/>
    <n v="-10000"/>
    <x v="249"/>
  </r>
  <r>
    <x v="2452"/>
    <x v="138"/>
    <x v="474"/>
    <x v="8211"/>
    <n v="300"/>
    <m/>
    <n v="-300"/>
    <x v="249"/>
  </r>
  <r>
    <x v="2452"/>
    <x v="138"/>
    <x v="285"/>
    <x v="11861"/>
    <n v="200"/>
    <m/>
    <n v="-200"/>
    <x v="249"/>
  </r>
  <r>
    <x v="2452"/>
    <x v="52"/>
    <x v="278"/>
    <x v="11862"/>
    <n v="1090"/>
    <m/>
    <n v="-1090"/>
    <x v="249"/>
  </r>
  <r>
    <x v="2452"/>
    <x v="52"/>
    <x v="278"/>
    <x v="10269"/>
    <n v="19620"/>
    <m/>
    <n v="-19620"/>
    <x v="249"/>
  </r>
  <r>
    <x v="2452"/>
    <x v="1"/>
    <x v="278"/>
    <x v="10269"/>
    <n v="13760"/>
    <m/>
    <n v="-13760"/>
    <x v="249"/>
  </r>
  <r>
    <x v="2452"/>
    <x v="52"/>
    <x v="278"/>
    <x v="10269"/>
    <n v="36650"/>
    <m/>
    <n v="-36650"/>
    <x v="249"/>
  </r>
  <r>
    <x v="2452"/>
    <x v="1"/>
    <x v="278"/>
    <x v="10269"/>
    <n v="22550"/>
    <m/>
    <n v="-22550"/>
    <x v="249"/>
  </r>
  <r>
    <x v="2452"/>
    <x v="1"/>
    <x v="278"/>
    <x v="10269"/>
    <n v="20500"/>
    <m/>
    <n v="-20500"/>
    <x v="249"/>
  </r>
  <r>
    <x v="2452"/>
    <x v="1"/>
    <x v="315"/>
    <x v="10269"/>
    <n v="10000"/>
    <m/>
    <n v="-10000"/>
    <x v="249"/>
  </r>
  <r>
    <x v="2453"/>
    <x v="132"/>
    <x v="286"/>
    <x v="11863"/>
    <n v="63000"/>
    <m/>
    <n v="-63000"/>
    <x v="249"/>
  </r>
  <r>
    <x v="2453"/>
    <x v="115"/>
    <x v="286"/>
    <x v="11863"/>
    <n v="16500"/>
    <m/>
    <n v="-16500"/>
    <x v="249"/>
  </r>
  <r>
    <x v="2454"/>
    <x v="114"/>
    <x v="450"/>
    <x v="11864"/>
    <n v="500000"/>
    <m/>
    <n v="-500000"/>
    <x v="249"/>
  </r>
  <r>
    <x v="2454"/>
    <x v="141"/>
    <x v="278"/>
    <x v="11801"/>
    <n v="117760"/>
    <m/>
    <n v="-117760"/>
    <x v="249"/>
  </r>
  <r>
    <x v="2454"/>
    <x v="114"/>
    <x v="605"/>
    <x v="11865"/>
    <n v="82010"/>
    <m/>
    <n v="-82010"/>
    <x v="249"/>
  </r>
  <r>
    <x v="2454"/>
    <x v="137"/>
    <x v="612"/>
    <x v="11866"/>
    <n v="26000"/>
    <m/>
    <n v="-26000"/>
    <x v="249"/>
  </r>
  <r>
    <x v="2455"/>
    <x v="132"/>
    <x v="882"/>
    <x v="11867"/>
    <n v="20000"/>
    <m/>
    <n v="-20000"/>
    <x v="249"/>
  </r>
  <r>
    <x v="2455"/>
    <x v="129"/>
    <x v="390"/>
    <x v="11868"/>
    <n v="24840"/>
    <m/>
    <n v="-24840"/>
    <x v="249"/>
  </r>
  <r>
    <x v="2455"/>
    <x v="52"/>
    <x v="390"/>
    <x v="11869"/>
    <n v="15150"/>
    <m/>
    <n v="-15150"/>
    <x v="249"/>
  </r>
  <r>
    <x v="2455"/>
    <x v="73"/>
    <x v="474"/>
    <x v="233"/>
    <n v="1900"/>
    <m/>
    <n v="-1900"/>
    <x v="249"/>
  </r>
  <r>
    <x v="2455"/>
    <x v="103"/>
    <x v="474"/>
    <x v="233"/>
    <n v="1500"/>
    <m/>
    <n v="-1500"/>
    <x v="249"/>
  </r>
  <r>
    <x v="2455"/>
    <x v="142"/>
    <x v="278"/>
    <x v="11870"/>
    <n v="31000"/>
    <m/>
    <n v="-31000"/>
    <x v="249"/>
  </r>
  <r>
    <x v="2455"/>
    <x v="128"/>
    <x v="278"/>
    <x v="11871"/>
    <n v="5800"/>
    <m/>
    <n v="-5800"/>
    <x v="249"/>
  </r>
  <r>
    <x v="2455"/>
    <x v="131"/>
    <x v="285"/>
    <x v="11872"/>
    <n v="2000"/>
    <m/>
    <n v="-2000"/>
    <x v="249"/>
  </r>
  <r>
    <x v="2455"/>
    <x v="128"/>
    <x v="278"/>
    <x v="11873"/>
    <n v="5761"/>
    <m/>
    <n v="-5761"/>
    <x v="249"/>
  </r>
  <r>
    <x v="2455"/>
    <x v="132"/>
    <x v="278"/>
    <x v="11874"/>
    <n v="4900"/>
    <m/>
    <n v="-4900"/>
    <x v="249"/>
  </r>
  <r>
    <x v="2455"/>
    <x v="4"/>
    <x v="2"/>
    <x v="8114"/>
    <n v="4000"/>
    <m/>
    <n v="-4000"/>
    <x v="249"/>
  </r>
  <r>
    <x v="2455"/>
    <x v="132"/>
    <x v="286"/>
    <x v="11875"/>
    <n v="124300"/>
    <m/>
    <n v="-124300"/>
    <x v="249"/>
  </r>
  <r>
    <x v="2455"/>
    <x v="129"/>
    <x v="286"/>
    <x v="11876"/>
    <n v="98000"/>
    <m/>
    <n v="-98000"/>
    <x v="249"/>
  </r>
  <r>
    <x v="2455"/>
    <x v="114"/>
    <x v="450"/>
    <x v="11864"/>
    <n v="310000"/>
    <m/>
    <n v="-310000"/>
    <x v="249"/>
  </r>
  <r>
    <x v="2455"/>
    <x v="129"/>
    <x v="698"/>
    <x v="11877"/>
    <n v="1000000"/>
    <m/>
    <n v="-1000000"/>
    <x v="249"/>
  </r>
  <r>
    <x v="2456"/>
    <x v="132"/>
    <x v="278"/>
    <x v="11878"/>
    <n v="13600"/>
    <m/>
    <n v="-13600"/>
    <x v="249"/>
  </r>
  <r>
    <x v="2456"/>
    <x v="131"/>
    <x v="278"/>
    <x v="11879"/>
    <n v="12236"/>
    <m/>
    <n v="-12236"/>
    <x v="249"/>
  </r>
  <r>
    <x v="2456"/>
    <x v="129"/>
    <x v="278"/>
    <x v="9642"/>
    <n v="17600"/>
    <m/>
    <n v="-17600"/>
    <x v="249"/>
  </r>
  <r>
    <x v="2456"/>
    <x v="132"/>
    <x v="278"/>
    <x v="11880"/>
    <n v="1000"/>
    <m/>
    <n v="-1000"/>
    <x v="249"/>
  </r>
  <r>
    <x v="2456"/>
    <x v="114"/>
    <x v="2"/>
    <x v="11881"/>
    <n v="15000"/>
    <m/>
    <n v="-15000"/>
    <x v="249"/>
  </r>
  <r>
    <x v="2456"/>
    <x v="115"/>
    <x v="289"/>
    <x v="11882"/>
    <n v="11960"/>
    <m/>
    <n v="-11960"/>
    <x v="249"/>
  </r>
  <r>
    <x v="2456"/>
    <x v="73"/>
    <x v="474"/>
    <x v="233"/>
    <n v="1200"/>
    <m/>
    <n v="-1200"/>
    <x v="249"/>
  </r>
  <r>
    <x v="2456"/>
    <x v="145"/>
    <x v="285"/>
    <x v="11883"/>
    <n v="10000"/>
    <m/>
    <n v="-10000"/>
    <x v="249"/>
  </r>
  <r>
    <x v="2456"/>
    <x v="104"/>
    <x v="278"/>
    <x v="11884"/>
    <n v="1500"/>
    <m/>
    <n v="-1500"/>
    <x v="249"/>
  </r>
  <r>
    <x v="2456"/>
    <x v="142"/>
    <x v="474"/>
    <x v="233"/>
    <n v="1500"/>
    <m/>
    <n v="-1500"/>
    <x v="249"/>
  </r>
  <r>
    <x v="2456"/>
    <x v="128"/>
    <x v="278"/>
    <x v="11885"/>
    <n v="3430"/>
    <m/>
    <n v="-3430"/>
    <x v="249"/>
  </r>
  <r>
    <x v="2456"/>
    <x v="4"/>
    <x v="2"/>
    <x v="8114"/>
    <n v="4000"/>
    <m/>
    <n v="-4000"/>
    <x v="249"/>
  </r>
  <r>
    <x v="2456"/>
    <x v="131"/>
    <x v="918"/>
    <x v="11886"/>
    <n v="45741"/>
    <m/>
    <n v="-45741"/>
    <x v="249"/>
  </r>
  <r>
    <x v="2456"/>
    <x v="52"/>
    <x v="918"/>
    <x v="11886"/>
    <n v="140000"/>
    <m/>
    <n v="-140000"/>
    <x v="249"/>
  </r>
  <r>
    <x v="2456"/>
    <x v="129"/>
    <x v="918"/>
    <x v="11886"/>
    <n v="31000"/>
    <m/>
    <n v="-31000"/>
    <x v="249"/>
  </r>
  <r>
    <x v="2457"/>
    <x v="7"/>
    <x v="27"/>
    <x v="2203"/>
    <n v="770"/>
    <m/>
    <n v="-770"/>
    <x v="249"/>
  </r>
  <r>
    <x v="2457"/>
    <x v="4"/>
    <x v="27"/>
    <x v="2203"/>
    <n v="800"/>
    <m/>
    <n v="-800"/>
    <x v="249"/>
  </r>
  <r>
    <x v="2457"/>
    <x v="132"/>
    <x v="278"/>
    <x v="11887"/>
    <n v="3515"/>
    <m/>
    <n v="-3515"/>
    <x v="249"/>
  </r>
  <r>
    <x v="2457"/>
    <x v="142"/>
    <x v="474"/>
    <x v="9258"/>
    <n v="1000"/>
    <m/>
    <n v="-1000"/>
    <x v="249"/>
  </r>
  <r>
    <x v="2457"/>
    <x v="129"/>
    <x v="474"/>
    <x v="233"/>
    <n v="3000"/>
    <m/>
    <n v="-3000"/>
    <x v="249"/>
  </r>
  <r>
    <x v="2457"/>
    <x v="104"/>
    <x v="2"/>
    <x v="11888"/>
    <n v="2100"/>
    <m/>
    <n v="-2100"/>
    <x v="249"/>
  </r>
  <r>
    <x v="2457"/>
    <x v="138"/>
    <x v="2"/>
    <x v="11889"/>
    <n v="1500"/>
    <m/>
    <n v="-1500"/>
    <x v="249"/>
  </r>
  <r>
    <x v="2457"/>
    <x v="114"/>
    <x v="285"/>
    <x v="11890"/>
    <n v="2000"/>
    <m/>
    <n v="-2000"/>
    <x v="249"/>
  </r>
  <r>
    <x v="2457"/>
    <x v="4"/>
    <x v="43"/>
    <x v="9816"/>
    <n v="7000"/>
    <m/>
    <n v="-7000"/>
    <x v="249"/>
  </r>
  <r>
    <x v="2457"/>
    <x v="132"/>
    <x v="474"/>
    <x v="233"/>
    <n v="2000"/>
    <m/>
    <n v="-2000"/>
    <x v="249"/>
  </r>
  <r>
    <x v="2457"/>
    <x v="114"/>
    <x v="474"/>
    <x v="233"/>
    <n v="1000"/>
    <m/>
    <n v="-1000"/>
    <x v="249"/>
  </r>
  <r>
    <x v="2457"/>
    <x v="4"/>
    <x v="2"/>
    <x v="8114"/>
    <n v="3000"/>
    <m/>
    <n v="-3000"/>
    <x v="249"/>
  </r>
  <r>
    <x v="2457"/>
    <x v="73"/>
    <x v="935"/>
    <x v="11891"/>
    <n v="29697"/>
    <m/>
    <n v="-29697"/>
    <x v="249"/>
  </r>
  <r>
    <x v="2457"/>
    <x v="104"/>
    <x v="935"/>
    <x v="11891"/>
    <n v="81000"/>
    <m/>
    <n v="-81000"/>
    <x v="249"/>
  </r>
  <r>
    <x v="2457"/>
    <x v="134"/>
    <x v="935"/>
    <x v="11891"/>
    <n v="147820"/>
    <m/>
    <n v="-147820"/>
    <x v="249"/>
  </r>
  <r>
    <x v="2457"/>
    <x v="129"/>
    <x v="935"/>
    <x v="11891"/>
    <n v="241483"/>
    <m/>
    <n v="-241483"/>
    <x v="249"/>
  </r>
  <r>
    <x v="2457"/>
    <x v="142"/>
    <x v="541"/>
    <x v="11892"/>
    <n v="1000000"/>
    <m/>
    <n v="-1000000"/>
    <x v="249"/>
  </r>
  <r>
    <x v="2457"/>
    <x v="132"/>
    <x v="936"/>
    <x v="11893"/>
    <n v="70000"/>
    <m/>
    <n v="-70000"/>
    <x v="249"/>
  </r>
  <r>
    <x v="2431"/>
    <x v="104"/>
    <x v="78"/>
    <x v="11495"/>
    <n v="1000000"/>
    <m/>
    <n v="-1000000"/>
    <x v="121"/>
  </r>
  <r>
    <x v="2431"/>
    <x v="132"/>
    <x v="856"/>
    <x v="11894"/>
    <n v="200000"/>
    <m/>
    <n v="-200000"/>
    <x v="121"/>
  </r>
  <r>
    <x v="2435"/>
    <x v="73"/>
    <x v="557"/>
    <x v="11895"/>
    <n v="200000"/>
    <m/>
    <n v="-200000"/>
    <x v="121"/>
  </r>
  <r>
    <x v="2436"/>
    <x v="113"/>
    <x v="78"/>
    <x v="11896"/>
    <n v="952500"/>
    <m/>
    <n v="-952500"/>
    <x v="121"/>
  </r>
  <r>
    <x v="2436"/>
    <x v="114"/>
    <x v="78"/>
    <x v="11896"/>
    <n v="164100"/>
    <m/>
    <n v="-164100"/>
    <x v="121"/>
  </r>
  <r>
    <x v="2436"/>
    <x v="138"/>
    <x v="78"/>
    <x v="11896"/>
    <n v="74000"/>
    <m/>
    <n v="-74000"/>
    <x v="121"/>
  </r>
  <r>
    <x v="2436"/>
    <x v="104"/>
    <x v="78"/>
    <x v="11896"/>
    <n v="296217"/>
    <m/>
    <n v="-296217"/>
    <x v="121"/>
  </r>
  <r>
    <x v="2436"/>
    <x v="73"/>
    <x v="78"/>
    <x v="11896"/>
    <n v="14683"/>
    <m/>
    <n v="-14683"/>
    <x v="121"/>
  </r>
  <r>
    <x v="2441"/>
    <x v="134"/>
    <x v="369"/>
    <x v="11897"/>
    <n v="150000"/>
    <m/>
    <n v="-150000"/>
    <x v="121"/>
  </r>
  <r>
    <x v="2441"/>
    <x v="134"/>
    <x v="369"/>
    <x v="11898"/>
    <n v="150000"/>
    <m/>
    <n v="-150000"/>
    <x v="121"/>
  </r>
  <r>
    <x v="2443"/>
    <x v="134"/>
    <x v="742"/>
    <x v="11899"/>
    <n v="55000"/>
    <m/>
    <n v="-55000"/>
    <x v="121"/>
  </r>
  <r>
    <x v="2443"/>
    <x v="22"/>
    <x v="261"/>
    <x v="11900"/>
    <n v="45360"/>
    <m/>
    <n v="-45360"/>
    <x v="121"/>
  </r>
  <r>
    <x v="2443"/>
    <x v="23"/>
    <x v="261"/>
    <x v="11900"/>
    <n v="44880"/>
    <m/>
    <n v="-44880"/>
    <x v="121"/>
  </r>
  <r>
    <x v="2443"/>
    <x v="1"/>
    <x v="261"/>
    <x v="11900"/>
    <n v="33872"/>
    <m/>
    <n v="-33872"/>
    <x v="121"/>
  </r>
  <r>
    <x v="2443"/>
    <x v="1"/>
    <x v="261"/>
    <x v="11901"/>
    <n v="94725"/>
    <m/>
    <n v="-94725"/>
    <x v="121"/>
  </r>
  <r>
    <x v="2449"/>
    <x v="142"/>
    <x v="338"/>
    <x v="11902"/>
    <n v="200000"/>
    <m/>
    <n v="-200000"/>
    <x v="121"/>
  </r>
  <r>
    <x v="2449"/>
    <x v="142"/>
    <x v="338"/>
    <x v="11903"/>
    <n v="200000"/>
    <m/>
    <n v="-200000"/>
    <x v="121"/>
  </r>
  <r>
    <x v="2449"/>
    <x v="52"/>
    <x v="389"/>
    <x v="11904"/>
    <n v="311440"/>
    <m/>
    <n v="-311440"/>
    <x v="121"/>
  </r>
  <r>
    <x v="2451"/>
    <x v="115"/>
    <x v="869"/>
    <x v="11905"/>
    <n v="25000"/>
    <m/>
    <n v="-25000"/>
    <x v="121"/>
  </r>
  <r>
    <x v="2451"/>
    <x v="136"/>
    <x v="869"/>
    <x v="11905"/>
    <n v="160000"/>
    <m/>
    <n v="-160000"/>
    <x v="121"/>
  </r>
  <r>
    <x v="2451"/>
    <x v="132"/>
    <x v="605"/>
    <x v="11906"/>
    <n v="1895435"/>
    <m/>
    <n v="-1895435"/>
    <x v="121"/>
  </r>
  <r>
    <x v="2457"/>
    <x v="131"/>
    <x v="389"/>
    <x v="11907"/>
    <n v="162472"/>
    <m/>
    <n v="-162472"/>
    <x v="121"/>
  </r>
  <r>
    <x v="2431"/>
    <x v="1"/>
    <x v="97"/>
    <x v="11908"/>
    <m/>
    <n v="1261745"/>
    <n v="1261745"/>
    <x v="122"/>
  </r>
  <r>
    <x v="2436"/>
    <x v="115"/>
    <x v="97"/>
    <x v="11909"/>
    <m/>
    <n v="5005006"/>
    <n v="5005006"/>
    <x v="122"/>
  </r>
  <r>
    <x v="2436"/>
    <x v="115"/>
    <x v="97"/>
    <x v="9184"/>
    <n v="40050"/>
    <m/>
    <n v="-40050"/>
    <x v="122"/>
  </r>
  <r>
    <x v="2436"/>
    <x v="115"/>
    <x v="97"/>
    <x v="11910"/>
    <m/>
    <n v="1501500"/>
    <n v="1501500"/>
    <x v="122"/>
  </r>
  <r>
    <x v="2436"/>
    <x v="1"/>
    <x v="97"/>
    <x v="11911"/>
    <n v="4542"/>
    <m/>
    <n v="-4542"/>
    <x v="122"/>
  </r>
  <r>
    <x v="2436"/>
    <x v="23"/>
    <x v="97"/>
    <x v="11912"/>
    <m/>
    <n v="401676"/>
    <n v="401676"/>
    <x v="122"/>
  </r>
  <r>
    <x v="2437"/>
    <x v="99"/>
    <x v="97"/>
    <x v="11913"/>
    <m/>
    <n v="5000019"/>
    <n v="5000019"/>
    <x v="122"/>
  </r>
  <r>
    <x v="2437"/>
    <x v="99"/>
    <x v="97"/>
    <x v="9184"/>
    <n v="40000"/>
    <m/>
    <n v="-40000"/>
    <x v="122"/>
  </r>
  <r>
    <x v="2442"/>
    <x v="90"/>
    <x v="97"/>
    <x v="11914"/>
    <m/>
    <n v="1931558"/>
    <n v="1931558"/>
    <x v="122"/>
  </r>
  <r>
    <x v="2445"/>
    <x v="108"/>
    <x v="97"/>
    <x v="11915"/>
    <m/>
    <n v="3489463"/>
    <n v="3489463"/>
    <x v="122"/>
  </r>
  <r>
    <x v="2446"/>
    <x v="112"/>
    <x v="97"/>
    <x v="11916"/>
    <m/>
    <n v="2679142"/>
    <n v="2679142"/>
    <x v="122"/>
  </r>
  <r>
    <x v="2446"/>
    <x v="112"/>
    <x v="97"/>
    <x v="9184"/>
    <n v="26783"/>
    <m/>
    <n v="-26783"/>
    <x v="122"/>
  </r>
  <r>
    <x v="2450"/>
    <x v="99"/>
    <x v="97"/>
    <x v="1190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50"/>
  </r>
  <r>
    <x v="2458"/>
    <x v="138"/>
    <x v="278"/>
    <x v="11921"/>
    <n v="1160"/>
    <m/>
    <n v="-1160"/>
    <x v="250"/>
  </r>
  <r>
    <x v="2458"/>
    <x v="138"/>
    <x v="278"/>
    <x v="11922"/>
    <n v="11850"/>
    <m/>
    <n v="-11850"/>
    <x v="250"/>
  </r>
  <r>
    <x v="2458"/>
    <x v="146"/>
    <x v="278"/>
    <x v="11923"/>
    <n v="39600"/>
    <m/>
    <n v="-39600"/>
    <x v="250"/>
  </r>
  <r>
    <x v="2458"/>
    <x v="134"/>
    <x v="474"/>
    <x v="233"/>
    <n v="1500"/>
    <m/>
    <n v="-1500"/>
    <x v="250"/>
  </r>
  <r>
    <x v="2458"/>
    <x v="52"/>
    <x v="278"/>
    <x v="11924"/>
    <n v="24100"/>
    <m/>
    <n v="-24100"/>
    <x v="250"/>
  </r>
  <r>
    <x v="2458"/>
    <x v="137"/>
    <x v="278"/>
    <x v="11924"/>
    <n v="24300"/>
    <m/>
    <n v="-24300"/>
    <x v="250"/>
  </r>
  <r>
    <x v="2458"/>
    <x v="104"/>
    <x v="278"/>
    <x v="11924"/>
    <n v="24100"/>
    <m/>
    <n v="-24100"/>
    <x v="250"/>
  </r>
  <r>
    <x v="2458"/>
    <x v="73"/>
    <x v="655"/>
    <x v="11196"/>
    <n v="82000"/>
    <m/>
    <n v="-82000"/>
    <x v="250"/>
  </r>
  <r>
    <x v="2458"/>
    <x v="142"/>
    <x v="756"/>
    <x v="11925"/>
    <n v="101900"/>
    <m/>
    <n v="-101900"/>
    <x v="250"/>
  </r>
  <r>
    <x v="2458"/>
    <x v="135"/>
    <x v="465"/>
    <x v="11926"/>
    <n v="30000"/>
    <m/>
    <n v="-30000"/>
    <x v="250"/>
  </r>
  <r>
    <x v="2459"/>
    <x v="4"/>
    <x v="434"/>
    <x v="233"/>
    <n v="1920"/>
    <m/>
    <n v="-1920"/>
    <x v="250"/>
  </r>
  <r>
    <x v="2459"/>
    <x v="132"/>
    <x v="278"/>
    <x v="11927"/>
    <n v="4600"/>
    <m/>
    <n v="-4600"/>
    <x v="250"/>
  </r>
  <r>
    <x v="2459"/>
    <x v="129"/>
    <x v="278"/>
    <x v="11927"/>
    <n v="4600"/>
    <m/>
    <n v="-4600"/>
    <x v="250"/>
  </r>
  <r>
    <x v="2459"/>
    <x v="104"/>
    <x v="278"/>
    <x v="11928"/>
    <n v="1900"/>
    <m/>
    <n v="-1900"/>
    <x v="250"/>
  </r>
  <r>
    <x v="2459"/>
    <x v="73"/>
    <x v="474"/>
    <x v="233"/>
    <n v="3500"/>
    <m/>
    <n v="-3500"/>
    <x v="250"/>
  </r>
  <r>
    <x v="2459"/>
    <x v="129"/>
    <x v="474"/>
    <x v="10899"/>
    <n v="1000"/>
    <m/>
    <n v="-1000"/>
    <x v="250"/>
  </r>
  <r>
    <x v="2459"/>
    <x v="131"/>
    <x v="390"/>
    <x v="11929"/>
    <n v="20000"/>
    <m/>
    <n v="-20000"/>
    <x v="250"/>
  </r>
  <r>
    <x v="2459"/>
    <x v="4"/>
    <x v="2"/>
    <x v="8114"/>
    <n v="3000"/>
    <m/>
    <n v="-3000"/>
    <x v="250"/>
  </r>
  <r>
    <x v="2459"/>
    <x v="131"/>
    <x v="285"/>
    <x v="11930"/>
    <n v="2000"/>
    <m/>
    <n v="-2000"/>
    <x v="250"/>
  </r>
  <r>
    <x v="2459"/>
    <x v="141"/>
    <x v="390"/>
    <x v="11931"/>
    <n v="5000"/>
    <m/>
    <n v="-5000"/>
    <x v="250"/>
  </r>
  <r>
    <x v="2459"/>
    <x v="4"/>
    <x v="2"/>
    <x v="11277"/>
    <n v="2500"/>
    <m/>
    <n v="-2500"/>
    <x v="250"/>
  </r>
  <r>
    <x v="2459"/>
    <x v="141"/>
    <x v="435"/>
    <x v="11932"/>
    <n v="507000"/>
    <m/>
    <n v="-507000"/>
    <x v="250"/>
  </r>
  <r>
    <x v="2459"/>
    <x v="73"/>
    <x v="682"/>
    <x v="11933"/>
    <n v="200000"/>
    <m/>
    <n v="-200000"/>
    <x v="250"/>
  </r>
  <r>
    <x v="2459"/>
    <x v="73"/>
    <x v="682"/>
    <x v="11933"/>
    <n v="200000"/>
    <m/>
    <n v="-200000"/>
    <x v="250"/>
  </r>
  <r>
    <x v="2459"/>
    <x v="97"/>
    <x v="43"/>
    <x v="9857"/>
    <n v="50000"/>
    <m/>
    <n v="-50000"/>
    <x v="250"/>
  </r>
  <r>
    <x v="2459"/>
    <x v="3"/>
    <x v="43"/>
    <x v="6876"/>
    <n v="5000"/>
    <m/>
    <n v="-5000"/>
    <x v="250"/>
  </r>
  <r>
    <x v="2459"/>
    <x v="136"/>
    <x v="43"/>
    <x v="9225"/>
    <n v="50000"/>
    <m/>
    <n v="-50000"/>
    <x v="250"/>
  </r>
  <r>
    <x v="2459"/>
    <x v="7"/>
    <x v="43"/>
    <x v="9858"/>
    <n v="105000"/>
    <m/>
    <n v="-105000"/>
    <x v="250"/>
  </r>
  <r>
    <x v="2459"/>
    <x v="141"/>
    <x v="43"/>
    <x v="11934"/>
    <n v="30000"/>
    <m/>
    <n v="-30000"/>
    <x v="250"/>
  </r>
  <r>
    <x v="2460"/>
    <x v="141"/>
    <x v="704"/>
    <x v="11935"/>
    <n v="1700"/>
    <m/>
    <n v="-1700"/>
    <x v="250"/>
  </r>
  <r>
    <x v="2460"/>
    <x v="137"/>
    <x v="704"/>
    <x v="11936"/>
    <n v="5400"/>
    <m/>
    <n v="-5400"/>
    <x v="250"/>
  </r>
  <r>
    <x v="2460"/>
    <x v="135"/>
    <x v="43"/>
    <x v="8010"/>
    <n v="103700"/>
    <m/>
    <n v="-103700"/>
    <x v="250"/>
  </r>
  <r>
    <x v="2460"/>
    <x v="114"/>
    <x v="278"/>
    <x v="11937"/>
    <n v="19000"/>
    <m/>
    <n v="-19000"/>
    <x v="250"/>
  </r>
  <r>
    <x v="2460"/>
    <x v="37"/>
    <x v="474"/>
    <x v="233"/>
    <n v="500"/>
    <m/>
    <n v="-500"/>
    <x v="250"/>
  </r>
  <r>
    <x v="2460"/>
    <x v="4"/>
    <x v="2"/>
    <x v="8114"/>
    <n v="3000"/>
    <m/>
    <n v="-3000"/>
    <x v="250"/>
  </r>
  <r>
    <x v="2460"/>
    <x v="132"/>
    <x v="474"/>
    <x v="233"/>
    <n v="800"/>
    <m/>
    <n v="-800"/>
    <x v="250"/>
  </r>
  <r>
    <x v="2460"/>
    <x v="132"/>
    <x v="286"/>
    <x v="11938"/>
    <n v="830000"/>
    <m/>
    <n v="-830000"/>
    <x v="250"/>
  </r>
  <r>
    <x v="2460"/>
    <x v="132"/>
    <x v="474"/>
    <x v="10075"/>
    <n v="4000"/>
    <m/>
    <n v="-4000"/>
    <x v="250"/>
  </r>
  <r>
    <x v="2460"/>
    <x v="135"/>
    <x v="43"/>
    <x v="9135"/>
    <n v="49300"/>
    <m/>
    <n v="-49300"/>
    <x v="250"/>
  </r>
  <r>
    <x v="2460"/>
    <x v="4"/>
    <x v="43"/>
    <x v="11939"/>
    <n v="90000"/>
    <m/>
    <n v="-90000"/>
    <x v="250"/>
  </r>
  <r>
    <x v="2460"/>
    <x v="23"/>
    <x v="43"/>
    <x v="11940"/>
    <n v="37670"/>
    <m/>
    <n v="-37670"/>
    <x v="250"/>
  </r>
  <r>
    <x v="2460"/>
    <x v="4"/>
    <x v="43"/>
    <x v="11941"/>
    <n v="46000"/>
    <m/>
    <n v="-46000"/>
    <x v="250"/>
  </r>
  <r>
    <x v="2460"/>
    <x v="4"/>
    <x v="43"/>
    <x v="11942"/>
    <n v="52250"/>
    <m/>
    <n v="-52250"/>
    <x v="250"/>
  </r>
  <r>
    <x v="2460"/>
    <x v="52"/>
    <x v="43"/>
    <x v="11943"/>
    <n v="81830"/>
    <m/>
    <n v="-81830"/>
    <x v="250"/>
  </r>
  <r>
    <x v="2460"/>
    <x v="4"/>
    <x v="43"/>
    <x v="11701"/>
    <n v="23000"/>
    <m/>
    <n v="-23000"/>
    <x v="250"/>
  </r>
  <r>
    <x v="2460"/>
    <x v="132"/>
    <x v="286"/>
    <x v="11944"/>
    <n v="185100"/>
    <m/>
    <n v="-185100"/>
    <x v="250"/>
  </r>
  <r>
    <x v="2460"/>
    <x v="104"/>
    <x v="904"/>
    <x v="11717"/>
    <n v="100000"/>
    <m/>
    <n v="-100000"/>
    <x v="250"/>
  </r>
  <r>
    <x v="2460"/>
    <x v="7"/>
    <x v="2"/>
    <x v="11945"/>
    <n v="85000"/>
    <m/>
    <n v="-85000"/>
    <x v="250"/>
  </r>
  <r>
    <x v="2460"/>
    <x v="7"/>
    <x v="2"/>
    <x v="11946"/>
    <n v="20000"/>
    <m/>
    <n v="-20000"/>
    <x v="250"/>
  </r>
  <r>
    <x v="2461"/>
    <x v="137"/>
    <x v="278"/>
    <x v="11801"/>
    <n v="65620"/>
    <m/>
    <n v="-65620"/>
    <x v="250"/>
  </r>
  <r>
    <x v="2461"/>
    <x v="132"/>
    <x v="278"/>
    <x v="11947"/>
    <n v="124560"/>
    <m/>
    <n v="-124560"/>
    <x v="250"/>
  </r>
  <r>
    <x v="2461"/>
    <x v="142"/>
    <x v="43"/>
    <x v="11853"/>
    <n v="187000"/>
    <m/>
    <n v="-187000"/>
    <x v="250"/>
  </r>
  <r>
    <x v="2461"/>
    <x v="104"/>
    <x v="43"/>
    <x v="11948"/>
    <n v="90000"/>
    <m/>
    <n v="-90000"/>
    <x v="250"/>
  </r>
  <r>
    <x v="2462"/>
    <x v="1"/>
    <x v="43"/>
    <x v="6873"/>
    <n v="229969.75806451615"/>
    <m/>
    <n v="-229969.75806451615"/>
    <x v="250"/>
  </r>
  <r>
    <x v="2462"/>
    <x v="23"/>
    <x v="43"/>
    <x v="9227"/>
    <n v="100920"/>
    <m/>
    <n v="-100920"/>
    <x v="250"/>
  </r>
  <r>
    <x v="2462"/>
    <x v="1"/>
    <x v="2"/>
    <x v="11949"/>
    <n v="3000"/>
    <m/>
    <n v="-3000"/>
    <x v="250"/>
  </r>
  <r>
    <x v="2462"/>
    <x v="114"/>
    <x v="43"/>
    <x v="10167"/>
    <n v="65140"/>
    <m/>
    <n v="-65140"/>
    <x v="250"/>
  </r>
  <r>
    <x v="2462"/>
    <x v="114"/>
    <x v="278"/>
    <x v="11950"/>
    <n v="400"/>
    <m/>
    <n v="-400"/>
    <x v="250"/>
  </r>
  <r>
    <x v="2462"/>
    <x v="132"/>
    <x v="278"/>
    <x v="11951"/>
    <n v="9200"/>
    <m/>
    <n v="-9200"/>
    <x v="250"/>
  </r>
  <r>
    <x v="2462"/>
    <x v="114"/>
    <x v="285"/>
    <x v="11930"/>
    <n v="1000"/>
    <m/>
    <n v="-1000"/>
    <x v="250"/>
  </r>
  <r>
    <x v="2462"/>
    <x v="4"/>
    <x v="2"/>
    <x v="8114"/>
    <n v="3000"/>
    <m/>
    <n v="-3000"/>
    <x v="250"/>
  </r>
  <r>
    <x v="2462"/>
    <x v="142"/>
    <x v="474"/>
    <x v="233"/>
    <n v="1200"/>
    <m/>
    <n v="-1200"/>
    <x v="250"/>
  </r>
  <r>
    <x v="2462"/>
    <x v="132"/>
    <x v="2"/>
    <x v="11952"/>
    <n v="8500"/>
    <m/>
    <n v="-8500"/>
    <x v="250"/>
  </r>
  <r>
    <x v="2462"/>
    <x v="132"/>
    <x v="43"/>
    <x v="11953"/>
    <n v="45000"/>
    <m/>
    <n v="-45000"/>
    <x v="250"/>
  </r>
  <r>
    <x v="2462"/>
    <x v="114"/>
    <x v="43"/>
    <x v="11954"/>
    <n v="74210"/>
    <m/>
    <n v="-74210"/>
    <x v="250"/>
  </r>
  <r>
    <x v="2462"/>
    <x v="73"/>
    <x v="278"/>
    <x v="11955"/>
    <n v="11200"/>
    <m/>
    <n v="-11200"/>
    <x v="250"/>
  </r>
  <r>
    <x v="2462"/>
    <x v="135"/>
    <x v="43"/>
    <x v="11956"/>
    <n v="383630"/>
    <m/>
    <n v="-383630"/>
    <x v="250"/>
  </r>
  <r>
    <x v="2462"/>
    <x v="142"/>
    <x v="43"/>
    <x v="9238"/>
    <n v="53270"/>
    <m/>
    <n v="-53270"/>
    <x v="250"/>
  </r>
  <r>
    <x v="2462"/>
    <x v="23"/>
    <x v="43"/>
    <x v="4902"/>
    <n v="28000"/>
    <m/>
    <n v="-28000"/>
    <x v="250"/>
  </r>
  <r>
    <x v="2462"/>
    <x v="114"/>
    <x v="2"/>
    <x v="11957"/>
    <n v="2000"/>
    <m/>
    <n v="-2000"/>
    <x v="250"/>
  </r>
  <r>
    <x v="2462"/>
    <x v="135"/>
    <x v="285"/>
    <x v="11535"/>
    <n v="1000"/>
    <m/>
    <n v="-1000"/>
    <x v="250"/>
  </r>
  <r>
    <x v="2462"/>
    <x v="7"/>
    <x v="2"/>
    <x v="11958"/>
    <n v="1000"/>
    <m/>
    <n v="-1000"/>
    <x v="250"/>
  </r>
  <r>
    <x v="2462"/>
    <x v="141"/>
    <x v="43"/>
    <x v="11959"/>
    <n v="363419"/>
    <m/>
    <n v="-363419"/>
    <x v="250"/>
  </r>
  <r>
    <x v="2462"/>
    <x v="131"/>
    <x v="43"/>
    <x v="11765"/>
    <n v="177206"/>
    <m/>
    <n v="-177206"/>
    <x v="250"/>
  </r>
  <r>
    <x v="2462"/>
    <x v="114"/>
    <x v="43"/>
    <x v="11749"/>
    <n v="115000"/>
    <m/>
    <n v="-115000"/>
    <x v="250"/>
  </r>
  <r>
    <x v="2462"/>
    <x v="22"/>
    <x v="43"/>
    <x v="11527"/>
    <n v="181244"/>
    <m/>
    <n v="-181244"/>
    <x v="250"/>
  </r>
  <r>
    <x v="2462"/>
    <x v="138"/>
    <x v="843"/>
    <x v="11960"/>
    <n v="420000"/>
    <m/>
    <n v="-420000"/>
    <x v="250"/>
  </r>
  <r>
    <x v="2462"/>
    <x v="142"/>
    <x v="548"/>
    <x v="11961"/>
    <n v="550000"/>
    <m/>
    <n v="-550000"/>
    <x v="250"/>
  </r>
  <r>
    <x v="2463"/>
    <x v="147"/>
    <x v="278"/>
    <x v="11962"/>
    <n v="19300"/>
    <m/>
    <n v="-19300"/>
    <x v="250"/>
  </r>
  <r>
    <x v="2463"/>
    <x v="73"/>
    <x v="474"/>
    <x v="233"/>
    <n v="500"/>
    <m/>
    <n v="-500"/>
    <x v="250"/>
  </r>
  <r>
    <x v="2463"/>
    <x v="52"/>
    <x v="43"/>
    <x v="8658"/>
    <n v="44610"/>
    <m/>
    <n v="-44610"/>
    <x v="250"/>
  </r>
  <r>
    <x v="2463"/>
    <x v="135"/>
    <x v="43"/>
    <x v="11082"/>
    <n v="29650"/>
    <m/>
    <n v="-29650"/>
    <x v="250"/>
  </r>
  <r>
    <x v="2463"/>
    <x v="135"/>
    <x v="2"/>
    <x v="11963"/>
    <n v="9000"/>
    <m/>
    <n v="-9000"/>
    <x v="250"/>
  </r>
  <r>
    <x v="2463"/>
    <x v="148"/>
    <x v="43"/>
    <x v="11964"/>
    <n v="110000"/>
    <m/>
    <n v="-110000"/>
    <x v="250"/>
  </r>
  <r>
    <x v="2462"/>
    <x v="4"/>
    <x v="43"/>
    <x v="11965"/>
    <n v="122500"/>
    <m/>
    <n v="-122500"/>
    <x v="250"/>
  </r>
  <r>
    <x v="2463"/>
    <x v="52"/>
    <x v="43"/>
    <x v="11966"/>
    <n v="125970"/>
    <m/>
    <n v="-125970"/>
    <x v="250"/>
  </r>
  <r>
    <x v="2463"/>
    <x v="52"/>
    <x v="43"/>
    <x v="9525"/>
    <n v="47000"/>
    <m/>
    <n v="-47000"/>
    <x v="250"/>
  </r>
  <r>
    <x v="2463"/>
    <x v="134"/>
    <x v="278"/>
    <x v="11967"/>
    <n v="5000"/>
    <m/>
    <n v="-5000"/>
    <x v="250"/>
  </r>
  <r>
    <x v="2463"/>
    <x v="136"/>
    <x v="43"/>
    <x v="8966"/>
    <n v="43650"/>
    <m/>
    <n v="-43650"/>
    <x v="250"/>
  </r>
  <r>
    <x v="2463"/>
    <x v="141"/>
    <x v="937"/>
    <x v="11968"/>
    <n v="350000"/>
    <m/>
    <n v="-350000"/>
    <x v="250"/>
  </r>
  <r>
    <x v="2463"/>
    <x v="137"/>
    <x v="937"/>
    <x v="11968"/>
    <n v="350000"/>
    <m/>
    <n v="-350000"/>
    <x v="250"/>
  </r>
  <r>
    <x v="2463"/>
    <x v="132"/>
    <x v="938"/>
    <x v="11969"/>
    <n v="50100"/>
    <m/>
    <n v="-50100"/>
    <x v="250"/>
  </r>
  <r>
    <x v="2463"/>
    <x v="89"/>
    <x v="477"/>
    <x v="11970"/>
    <n v="82756"/>
    <m/>
    <n v="-82756"/>
    <x v="250"/>
  </r>
  <r>
    <x v="2463"/>
    <x v="90"/>
    <x v="477"/>
    <x v="11970"/>
    <n v="7244"/>
    <m/>
    <n v="-7244"/>
    <x v="250"/>
  </r>
  <r>
    <x v="2464"/>
    <x v="129"/>
    <x v="43"/>
    <x v="11971"/>
    <n v="181200"/>
    <m/>
    <n v="-181200"/>
    <x v="250"/>
  </r>
  <r>
    <x v="2464"/>
    <x v="4"/>
    <x v="2"/>
    <x v="8114"/>
    <n v="2000"/>
    <m/>
    <n v="-2000"/>
    <x v="250"/>
  </r>
  <r>
    <x v="2464"/>
    <x v="98"/>
    <x v="43"/>
    <x v="11972"/>
    <n v="112100"/>
    <m/>
    <n v="-112100"/>
    <x v="250"/>
  </r>
  <r>
    <x v="2464"/>
    <x v="115"/>
    <x v="43"/>
    <x v="11973"/>
    <n v="71620"/>
    <m/>
    <n v="-71620"/>
    <x v="250"/>
  </r>
  <r>
    <x v="2464"/>
    <x v="136"/>
    <x v="43"/>
    <x v="11759"/>
    <n v="34230"/>
    <m/>
    <n v="-34230"/>
    <x v="250"/>
  </r>
  <r>
    <x v="2464"/>
    <x v="73"/>
    <x v="43"/>
    <x v="11974"/>
    <n v="88120"/>
    <m/>
    <n v="-88120"/>
    <x v="250"/>
  </r>
  <r>
    <x v="2464"/>
    <x v="1"/>
    <x v="474"/>
    <x v="11975"/>
    <n v="12000"/>
    <m/>
    <n v="-12000"/>
    <x v="250"/>
  </r>
  <r>
    <x v="2464"/>
    <x v="115"/>
    <x v="474"/>
    <x v="8211"/>
    <n v="250"/>
    <m/>
    <n v="-250"/>
    <x v="250"/>
  </r>
  <r>
    <x v="2464"/>
    <x v="134"/>
    <x v="474"/>
    <x v="550"/>
    <n v="1500"/>
    <m/>
    <n v="-1500"/>
    <x v="250"/>
  </r>
  <r>
    <x v="2464"/>
    <x v="132"/>
    <x v="278"/>
    <x v="7645"/>
    <n v="700"/>
    <m/>
    <n v="-700"/>
    <x v="250"/>
  </r>
  <r>
    <x v="2464"/>
    <x v="132"/>
    <x v="286"/>
    <x v="11976"/>
    <n v="1000000"/>
    <m/>
    <n v="-1000000"/>
    <x v="250"/>
  </r>
  <r>
    <x v="2464"/>
    <x v="129"/>
    <x v="278"/>
    <x v="6038"/>
    <n v="35380"/>
    <m/>
    <n v="-35380"/>
    <x v="250"/>
  </r>
  <r>
    <x v="2464"/>
    <x v="141"/>
    <x v="278"/>
    <x v="11977"/>
    <n v="69000"/>
    <m/>
    <n v="-69000"/>
    <x v="250"/>
  </r>
  <r>
    <x v="2465"/>
    <x v="132"/>
    <x v="761"/>
    <x v="11978"/>
    <n v="168000"/>
    <m/>
    <n v="-168000"/>
    <x v="250"/>
  </r>
  <r>
    <x v="2465"/>
    <x v="142"/>
    <x v="58"/>
    <x v="11979"/>
    <n v="18133"/>
    <m/>
    <n v="-18133"/>
    <x v="250"/>
  </r>
  <r>
    <x v="2465"/>
    <x v="136"/>
    <x v="58"/>
    <x v="11979"/>
    <n v="18134"/>
    <m/>
    <n v="-18134"/>
    <x v="250"/>
  </r>
  <r>
    <x v="2465"/>
    <x v="133"/>
    <x v="58"/>
    <x v="11979"/>
    <n v="18133"/>
    <m/>
    <n v="-18133"/>
    <x v="250"/>
  </r>
  <r>
    <x v="2465"/>
    <x v="141"/>
    <x v="278"/>
    <x v="11980"/>
    <n v="80000"/>
    <m/>
    <n v="-80000"/>
    <x v="250"/>
  </r>
  <r>
    <x v="2465"/>
    <x v="137"/>
    <x v="278"/>
    <x v="11801"/>
    <n v="113620"/>
    <m/>
    <n v="-113620"/>
    <x v="250"/>
  </r>
  <r>
    <x v="2465"/>
    <x v="131"/>
    <x v="527"/>
    <x v="11981"/>
    <n v="500000"/>
    <m/>
    <n v="-500000"/>
    <x v="250"/>
  </r>
  <r>
    <x v="2465"/>
    <x v="73"/>
    <x v="278"/>
    <x v="11982"/>
    <n v="28000"/>
    <m/>
    <n v="-28000"/>
    <x v="250"/>
  </r>
  <r>
    <x v="2466"/>
    <x v="108"/>
    <x v="698"/>
    <x v="11983"/>
    <n v="496500"/>
    <m/>
    <n v="-496500"/>
    <x v="250"/>
  </r>
  <r>
    <x v="2466"/>
    <x v="137"/>
    <x v="939"/>
    <x v="11984"/>
    <n v="33000"/>
    <m/>
    <n v="-33000"/>
    <x v="250"/>
  </r>
  <r>
    <x v="2466"/>
    <x v="1"/>
    <x v="919"/>
    <x v="11985"/>
    <n v="100000"/>
    <m/>
    <n v="-100000"/>
    <x v="250"/>
  </r>
  <r>
    <x v="2466"/>
    <x v="86"/>
    <x v="65"/>
    <x v="11986"/>
    <n v="150000"/>
    <m/>
    <n v="-150000"/>
    <x v="250"/>
  </r>
  <r>
    <x v="2466"/>
    <x v="132"/>
    <x v="286"/>
    <x v="11987"/>
    <n v="282830"/>
    <m/>
    <n v="-282830"/>
    <x v="250"/>
  </r>
  <r>
    <x v="2460"/>
    <x v="132"/>
    <x v="856"/>
    <x v="11988"/>
    <n v="300000"/>
    <m/>
    <n v="-300000"/>
    <x v="250"/>
  </r>
  <r>
    <x v="2466"/>
    <x v="7"/>
    <x v="25"/>
    <x v="11989"/>
    <n v="59000"/>
    <m/>
    <n v="-59000"/>
    <x v="250"/>
  </r>
  <r>
    <x v="2466"/>
    <x v="97"/>
    <x v="314"/>
    <x v="11990"/>
    <n v="100000"/>
    <m/>
    <n v="-100000"/>
    <x v="250"/>
  </r>
  <r>
    <x v="2460"/>
    <x v="23"/>
    <x v="97"/>
    <x v="11991"/>
    <m/>
    <n v="401676"/>
    <n v="401676"/>
    <x v="250"/>
  </r>
  <r>
    <x v="2460"/>
    <x v="1"/>
    <x v="97"/>
    <x v="11992"/>
    <n v="20000"/>
    <m/>
    <n v="-20000"/>
    <x v="250"/>
  </r>
  <r>
    <x v="2460"/>
    <x v="84"/>
    <x v="97"/>
    <x v="11993"/>
    <m/>
    <n v="1422198"/>
    <n v="1422198"/>
    <x v="250"/>
  </r>
  <r>
    <x v="2467"/>
    <x v="86"/>
    <x v="21"/>
    <x v="1"/>
    <m/>
    <m/>
    <m/>
    <x v="36"/>
  </r>
  <r>
    <x v="2467"/>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7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2997"/>
    <n v="-272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29"/>
    <x v="33"/>
    <m/>
    <m/>
    <n v="265469"/>
    <n v="-265469"/>
    <m/>
  </r>
  <r>
    <x v="1331"/>
    <x v="148"/>
    <x v="33"/>
    <m/>
    <m/>
    <n v="7531"/>
    <n v="-7531"/>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8"/>
    <x v="33"/>
    <m/>
    <m/>
    <n v="50947"/>
    <n v="-50947"/>
    <m/>
  </r>
  <r>
    <x v="1346"/>
    <x v="148"/>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8"/>
    <x v="152"/>
    <x v="25"/>
    <m/>
    <m/>
    <n v="500000"/>
    <n v="-500000"/>
    <s v="Online by adeel to secure vision"/>
  </r>
  <r>
    <x v="1348"/>
    <x v="152"/>
    <x v="25"/>
    <m/>
    <m/>
    <n v="500000"/>
    <n v="-500000"/>
    <s v="Online by adeel to secure vision"/>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47"/>
    <x v="3"/>
    <s v="2418"/>
    <n v="1716"/>
    <m/>
    <n v="1716"/>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3"/>
    <x v="16"/>
    <s v="16464"/>
    <n v="31813"/>
    <m/>
    <n v="31813"/>
    <m/>
  </r>
  <r>
    <x v="1359"/>
    <x v="151"/>
    <x v="19"/>
    <s v="269"/>
    <n v="53995"/>
    <m/>
    <n v="53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3"/>
    <x v="16"/>
    <s v="16493"/>
    <n v="3400"/>
    <m/>
    <n v="3400"/>
    <m/>
  </r>
  <r>
    <x v="1361"/>
    <x v="141"/>
    <x v="13"/>
    <s v="63"/>
    <n v="48195"/>
    <m/>
    <n v="48195"/>
    <m/>
  </r>
  <r>
    <x v="1362"/>
    <x v="148"/>
    <x v="19"/>
    <m/>
    <m/>
    <n v="500000"/>
    <n v="-500000"/>
    <s v="sheet hawaka by adeel"/>
  </r>
  <r>
    <x v="1362"/>
    <x v="153"/>
    <x v="19"/>
    <s v="271"/>
    <n v="16720"/>
    <m/>
    <n v="16720"/>
    <m/>
  </r>
  <r>
    <x v="1362"/>
    <x v="153"/>
    <x v="19"/>
    <s v="272"/>
    <n v="42374"/>
    <m/>
    <n v="42374"/>
    <m/>
  </r>
  <r>
    <x v="1362"/>
    <x v="149"/>
    <x v="19"/>
    <m/>
    <m/>
    <n v="200000"/>
    <n v="-200000"/>
    <s v="Sheet hawala to noman by al madina steel Total = 500,000"/>
  </r>
  <r>
    <x v="1362"/>
    <x v="148"/>
    <x v="19"/>
    <m/>
    <m/>
    <n v="200000"/>
    <n v="-200000"/>
    <m/>
  </r>
  <r>
    <x v="1362"/>
    <x v="102"/>
    <x v="19"/>
    <m/>
    <m/>
    <n v="100000"/>
    <n v="-100000"/>
    <m/>
  </r>
  <r>
    <x v="1362"/>
    <x v="153"/>
    <x v="16"/>
    <s v="16509"/>
    <n v="2500"/>
    <m/>
    <n v="2500"/>
    <m/>
  </r>
  <r>
    <x v="1363"/>
    <x v="153"/>
    <x v="16"/>
    <s v="16535"/>
    <n v="12640"/>
    <m/>
    <n v="12640"/>
    <m/>
  </r>
  <r>
    <x v="1363"/>
    <x v="147"/>
    <x v="1"/>
    <s v="1278"/>
    <n v="388742"/>
    <m/>
    <n v="388742"/>
    <m/>
  </r>
  <r>
    <x v="1364"/>
    <x v="102"/>
    <x v="1"/>
    <m/>
    <m/>
    <n v="150000"/>
    <n v="-150000"/>
    <s v="Received from Ik in acc of Manto DML (Meezan bank chq # A-08775251 (Given to Kaytes) amt = 350,000"/>
  </r>
  <r>
    <x v="1364"/>
    <x v="148"/>
    <x v="1"/>
    <m/>
    <m/>
    <n v="200000"/>
    <n v="-200000"/>
    <m/>
  </r>
  <r>
    <x v="1364"/>
    <x v="153"/>
    <x v="0"/>
    <s v="618"/>
    <n v="1422570"/>
    <m/>
    <n v="1422570"/>
    <m/>
  </r>
  <r>
    <x v="1364"/>
    <x v="153"/>
    <x v="0"/>
    <s v="619"/>
    <n v="91770"/>
    <m/>
    <n v="91770"/>
    <m/>
  </r>
  <r>
    <x v="1365"/>
    <x v="46"/>
    <x v="3"/>
    <s v="2902"/>
    <n v="2551"/>
    <m/>
    <n v="2551"/>
    <m/>
  </r>
  <r>
    <x v="1366"/>
    <x v="130"/>
    <x v="16"/>
    <m/>
    <m/>
    <n v="50000"/>
    <n v="-50000"/>
    <s v="Online by al madina to M asim rafiq care of unique_x000a_RS 180,000_x000a_RS 320,000 total 5 LAC"/>
  </r>
  <r>
    <x v="1366"/>
    <x v="135"/>
    <x v="16"/>
    <m/>
    <m/>
    <n v="60000"/>
    <n v="-60000"/>
    <m/>
  </r>
  <r>
    <x v="1366"/>
    <x v="148"/>
    <x v="16"/>
    <m/>
    <m/>
    <n v="60000"/>
    <n v="-60000"/>
    <m/>
  </r>
  <r>
    <x v="1366"/>
    <x v="149"/>
    <x v="16"/>
    <m/>
    <m/>
    <n v="150000"/>
    <n v="-150000"/>
    <m/>
  </r>
  <r>
    <x v="1366"/>
    <x v="147"/>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8"/>
    <x v="23"/>
    <m/>
    <m/>
    <n v="60000"/>
    <n v="-60000"/>
    <m/>
  </r>
  <r>
    <x v="1366"/>
    <x v="141"/>
    <x v="23"/>
    <m/>
    <m/>
    <n v="190000"/>
    <n v="-190000"/>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8"/>
    <x v="4"/>
    <m/>
    <m/>
    <n v="532568"/>
    <n v="-532568"/>
    <m/>
  </r>
  <r>
    <x v="1367"/>
    <x v="149"/>
    <x v="4"/>
    <m/>
    <m/>
    <n v="42789"/>
    <n v="-42789"/>
    <m/>
  </r>
  <r>
    <x v="1367"/>
    <x v="147"/>
    <x v="4"/>
    <m/>
    <m/>
    <n v="109721"/>
    <n v="-109721"/>
    <m/>
  </r>
  <r>
    <x v="1367"/>
    <x v="143"/>
    <x v="4"/>
    <m/>
    <m/>
    <n v="5871"/>
    <n v="-5871"/>
    <m/>
  </r>
  <r>
    <x v="1367"/>
    <x v="149"/>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49"/>
    <x v="34"/>
    <m/>
    <m/>
    <n v="484788"/>
    <n v="-484788"/>
    <m/>
  </r>
  <r>
    <x v="1367"/>
    <x v="147"/>
    <x v="13"/>
    <s v="64"/>
    <n v="29564"/>
    <m/>
    <n v="29564"/>
    <m/>
  </r>
  <r>
    <x v="1367"/>
    <x v="148"/>
    <x v="21"/>
    <s v="56223"/>
    <n v="12200"/>
    <m/>
    <n v="12200"/>
    <m/>
  </r>
  <r>
    <x v="1367"/>
    <x v="153"/>
    <x v="16"/>
    <s v="16581"/>
    <n v="2620"/>
    <m/>
    <n v="2620"/>
    <m/>
  </r>
  <r>
    <x v="1367"/>
    <x v="77"/>
    <x v="34"/>
    <s v="782"/>
    <n v="14400"/>
    <m/>
    <n v="14400"/>
    <m/>
  </r>
  <r>
    <x v="1368"/>
    <x v="153"/>
    <x v="21"/>
    <s v="56234"/>
    <n v="74000"/>
    <m/>
    <n v="74000"/>
    <m/>
  </r>
  <r>
    <x v="1368"/>
    <x v="148"/>
    <x v="4"/>
    <s v="5636"/>
    <n v="26400"/>
    <m/>
    <n v="26400"/>
    <m/>
  </r>
  <r>
    <x v="1369"/>
    <x v="153"/>
    <x v="33"/>
    <s v="1674"/>
    <n v="36970"/>
    <m/>
    <n v="36970"/>
    <m/>
  </r>
  <r>
    <x v="1369"/>
    <x v="148"/>
    <x v="19"/>
    <s v="273"/>
    <n v="80867"/>
    <m/>
    <n v="80867"/>
    <m/>
  </r>
  <r>
    <x v="1370"/>
    <x v="152"/>
    <x v="33"/>
    <s v="1676"/>
    <n v="88450"/>
    <m/>
    <n v="88450"/>
    <m/>
  </r>
  <r>
    <x v="1370"/>
    <x v="77"/>
    <x v="34"/>
    <s v="784"/>
    <n v="92400"/>
    <m/>
    <n v="92400"/>
    <m/>
  </r>
  <r>
    <x v="1371"/>
    <x v="130"/>
    <x v="13"/>
    <m/>
    <m/>
    <n v="400000"/>
    <n v="-400000"/>
    <s v="sheet from Adeel"/>
  </r>
  <r>
    <x v="1371"/>
    <x v="147"/>
    <x v="13"/>
    <m/>
    <m/>
    <n v="400000"/>
    <n v="-400000"/>
    <m/>
  </r>
  <r>
    <x v="1371"/>
    <x v="141"/>
    <x v="13"/>
    <s v="65"/>
    <n v="66387"/>
    <m/>
    <n v="66387"/>
    <m/>
  </r>
  <r>
    <x v="1371"/>
    <x v="102"/>
    <x v="19"/>
    <s v="274"/>
    <n v="115792"/>
    <m/>
    <n v="115792"/>
    <m/>
  </r>
  <r>
    <x v="1371"/>
    <x v="149"/>
    <x v="19"/>
    <s v="275"/>
    <n v="95243"/>
    <m/>
    <n v="95243"/>
    <m/>
  </r>
  <r>
    <x v="1371"/>
    <x v="149"/>
    <x v="4"/>
    <s v="5649"/>
    <n v="16800"/>
    <m/>
    <n v="16800"/>
    <m/>
  </r>
  <r>
    <x v="1371"/>
    <x v="148"/>
    <x v="16"/>
    <s v="16605"/>
    <n v="4850"/>
    <m/>
    <n v="4850"/>
    <m/>
  </r>
  <r>
    <x v="1372"/>
    <x v="147"/>
    <x v="21"/>
    <s v="56251"/>
    <n v="31559"/>
    <m/>
    <n v="31559"/>
    <m/>
  </r>
  <r>
    <x v="1372"/>
    <x v="133"/>
    <x v="21"/>
    <s v="56257"/>
    <n v="279000"/>
    <m/>
    <n v="279000"/>
    <m/>
  </r>
  <r>
    <x v="1373"/>
    <x v="154"/>
    <x v="4"/>
    <s v="5655"/>
    <n v="114000"/>
    <m/>
    <n v="114000"/>
    <m/>
  </r>
  <r>
    <x v="1374"/>
    <x v="128"/>
    <x v="21"/>
    <m/>
    <m/>
    <n v="1000000"/>
    <n v="-1000000"/>
    <s v="Cash cheque received from Aisah Interior against 1st R/ Bill (Given to fakhri brothers)"/>
  </r>
  <r>
    <x v="1374"/>
    <x v="146"/>
    <x v="34"/>
    <s v="789"/>
    <n v="130372"/>
    <m/>
    <n v="130372"/>
    <m/>
  </r>
  <r>
    <x v="1374"/>
    <x v="147"/>
    <x v="34"/>
    <s v="790"/>
    <n v="225259"/>
    <m/>
    <n v="225259"/>
    <m/>
  </r>
  <r>
    <x v="1374"/>
    <x v="147"/>
    <x v="34"/>
    <s v="796"/>
    <n v="182059"/>
    <m/>
    <n v="182059"/>
    <m/>
  </r>
  <r>
    <x v="1374"/>
    <x v="155"/>
    <x v="19"/>
    <s v="276"/>
    <n v="619227"/>
    <m/>
    <n v="619227"/>
    <m/>
  </r>
  <r>
    <x v="1374"/>
    <x v="146"/>
    <x v="16"/>
    <s v="16660"/>
    <n v="18000"/>
    <m/>
    <n v="18000"/>
    <m/>
  </r>
  <r>
    <x v="1375"/>
    <x v="149"/>
    <x v="4"/>
    <s v="21846"/>
    <n v="233030"/>
    <m/>
    <n v="233030"/>
    <m/>
  </r>
  <r>
    <x v="1375"/>
    <x v="133"/>
    <x v="4"/>
    <s v="5663"/>
    <n v="17556"/>
    <m/>
    <n v="17556"/>
    <m/>
  </r>
  <r>
    <x v="1375"/>
    <x v="146"/>
    <x v="34"/>
    <s v="797"/>
    <n v="67886"/>
    <m/>
    <n v="67886"/>
    <m/>
  </r>
  <r>
    <x v="1375"/>
    <x v="77"/>
    <x v="34"/>
    <s v="798"/>
    <n v="120196"/>
    <m/>
    <n v="120196"/>
    <m/>
  </r>
  <r>
    <x v="1376"/>
    <x v="146"/>
    <x v="16"/>
    <s v="16677"/>
    <n v="8700"/>
    <m/>
    <n v="8700"/>
    <m/>
  </r>
  <r>
    <x v="1377"/>
    <x v="133"/>
    <x v="21"/>
    <s v="56289"/>
    <n v="285019"/>
    <m/>
    <n v="285019"/>
    <m/>
  </r>
  <r>
    <x v="1377"/>
    <x v="149"/>
    <x v="21"/>
    <s v="56290"/>
    <n v="2634989"/>
    <m/>
    <n v="2634989"/>
    <m/>
  </r>
  <r>
    <x v="1377"/>
    <x v="149"/>
    <x v="4"/>
    <s v="5668"/>
    <n v="38000"/>
    <m/>
    <n v="38000"/>
    <m/>
  </r>
  <r>
    <x v="1377"/>
    <x v="133"/>
    <x v="4"/>
    <s v="5669"/>
    <n v="694"/>
    <m/>
    <n v="694"/>
    <m/>
  </r>
  <r>
    <x v="1378"/>
    <x v="154"/>
    <x v="4"/>
    <s v="5672"/>
    <n v="142500"/>
    <m/>
    <n v="142500"/>
    <m/>
  </r>
  <r>
    <x v="1378"/>
    <x v="147"/>
    <x v="21"/>
    <s v="56299"/>
    <n v="29450"/>
    <m/>
    <n v="29450"/>
    <m/>
  </r>
  <r>
    <x v="1378"/>
    <x v="133"/>
    <x v="21"/>
    <s v="56302"/>
    <n v="65322"/>
    <m/>
    <n v="65322"/>
    <m/>
  </r>
  <r>
    <x v="1378"/>
    <x v="149"/>
    <x v="21"/>
    <s v="56305"/>
    <n v="37421"/>
    <m/>
    <n v="37421"/>
    <m/>
  </r>
  <r>
    <x v="1378"/>
    <x v="135"/>
    <x v="21"/>
    <m/>
    <m/>
    <n v="952500"/>
    <n v="-952500"/>
    <s v="Received from Ik in acc of Citi bank (Meezan bank chq # A-05627041 Given to ST brothers care of fakhri brothers) = 1,501,500"/>
  </r>
  <r>
    <x v="1378"/>
    <x v="133"/>
    <x v="21"/>
    <m/>
    <m/>
    <n v="164100"/>
    <n v="-164100"/>
    <m/>
  </r>
  <r>
    <x v="1378"/>
    <x v="153"/>
    <x v="21"/>
    <m/>
    <m/>
    <n v="74000"/>
    <n v="-74000"/>
    <m/>
  </r>
  <r>
    <x v="1378"/>
    <x v="128"/>
    <x v="21"/>
    <m/>
    <m/>
    <n v="296217"/>
    <n v="-296217"/>
    <m/>
  </r>
  <r>
    <x v="1378"/>
    <x v="102"/>
    <x v="21"/>
    <m/>
    <m/>
    <n v="14683"/>
    <n v="-14683"/>
    <m/>
  </r>
  <r>
    <x v="1379"/>
    <x v="149"/>
    <x v="3"/>
    <s v="3245"/>
    <n v="16448"/>
    <m/>
    <n v="16448"/>
    <m/>
  </r>
  <r>
    <x v="1380"/>
    <x v="152"/>
    <x v="25"/>
    <s v="1059"/>
    <n v="1825026"/>
    <m/>
    <n v="1825026"/>
    <m/>
  </r>
  <r>
    <x v="1381"/>
    <x v="146"/>
    <x v="16"/>
    <s v="16740"/>
    <n v="7650"/>
    <m/>
    <n v="7650"/>
    <m/>
  </r>
  <r>
    <x v="1382"/>
    <x v="102"/>
    <x v="19"/>
    <s v="277"/>
    <n v="152222"/>
    <m/>
    <n v="152222"/>
    <m/>
  </r>
  <r>
    <x v="1382"/>
    <x v="149"/>
    <x v="19"/>
    <s v="278"/>
    <n v="168263"/>
    <m/>
    <n v="168263"/>
    <m/>
  </r>
  <r>
    <x v="1383"/>
    <x v="154"/>
    <x v="13"/>
    <s v="66"/>
    <n v="1344573"/>
    <m/>
    <n v="1344573"/>
    <m/>
  </r>
  <r>
    <x v="1383"/>
    <x v="151"/>
    <x v="19"/>
    <m/>
    <m/>
    <n v="200000"/>
    <n v="-200000"/>
    <s v="Sheet hawal from al madina = Total = 1000,000"/>
  </r>
  <r>
    <x v="1383"/>
    <x v="155"/>
    <x v="19"/>
    <m/>
    <m/>
    <n v="600000"/>
    <n v="-600000"/>
    <m/>
  </r>
  <r>
    <x v="1383"/>
    <x v="128"/>
    <x v="19"/>
    <m/>
    <m/>
    <n v="200000"/>
    <n v="-200000"/>
    <m/>
  </r>
  <r>
    <x v="1383"/>
    <x v="46"/>
    <x v="3"/>
    <s v="3319"/>
    <n v="22206"/>
    <m/>
    <n v="22206"/>
    <m/>
  </r>
  <r>
    <x v="1384"/>
    <x v="154"/>
    <x v="13"/>
    <m/>
    <m/>
    <n v="1000000"/>
    <n v="-1000000"/>
    <s v="sheet from Adeel"/>
  </r>
  <r>
    <x v="1384"/>
    <x v="151"/>
    <x v="19"/>
    <s v="279"/>
    <n v="5852"/>
    <m/>
    <n v="5852"/>
    <m/>
  </r>
  <r>
    <x v="1384"/>
    <x v="149"/>
    <x v="19"/>
    <s v="280"/>
    <n v="99048"/>
    <m/>
    <n v="99048"/>
    <m/>
  </r>
  <r>
    <x v="1384"/>
    <x v="133"/>
    <x v="19"/>
    <s v="281"/>
    <n v="51913"/>
    <m/>
    <n v="51913"/>
    <m/>
  </r>
  <r>
    <x v="1384"/>
    <x v="149"/>
    <x v="16"/>
    <s v="16779"/>
    <n v="11700"/>
    <m/>
    <n v="11700"/>
    <m/>
  </r>
  <r>
    <x v="1384"/>
    <x v="154"/>
    <x v="4"/>
    <s v="5688"/>
    <n v="98800"/>
    <m/>
    <n v="98800"/>
    <m/>
  </r>
  <r>
    <x v="1385"/>
    <x v="154"/>
    <x v="4"/>
    <s v="5691"/>
    <n v="142500"/>
    <m/>
    <n v="142500"/>
    <m/>
  </r>
  <r>
    <x v="1385"/>
    <x v="102"/>
    <x v="21"/>
    <s v="56329"/>
    <n v="24000"/>
    <m/>
    <n v="24000"/>
    <m/>
  </r>
  <r>
    <x v="1385"/>
    <x v="147"/>
    <x v="13"/>
    <s v="25"/>
    <n v="69330"/>
    <m/>
    <n v="69330"/>
    <m/>
  </r>
  <r>
    <x v="1386"/>
    <x v="149"/>
    <x v="16"/>
    <s v="16792"/>
    <n v="12500"/>
    <m/>
    <n v="12500"/>
    <m/>
  </r>
  <r>
    <x v="1387"/>
    <x v="128"/>
    <x v="33"/>
    <m/>
    <m/>
    <n v="3750"/>
    <n v="-3750"/>
    <s v="cash collect by sheeraz pioneer steel (from al madina) = 245000"/>
  </r>
  <r>
    <x v="1387"/>
    <x v="131"/>
    <x v="33"/>
    <m/>
    <m/>
    <n v="85478"/>
    <n v="-85478"/>
    <m/>
  </r>
  <r>
    <x v="1387"/>
    <x v="153"/>
    <x v="33"/>
    <m/>
    <m/>
    <n v="36970"/>
    <n v="-36970"/>
    <m/>
  </r>
  <r>
    <x v="1387"/>
    <x v="152"/>
    <x v="33"/>
    <m/>
    <m/>
    <n v="88450"/>
    <n v="-88450"/>
    <m/>
  </r>
  <r>
    <x v="1387"/>
    <x v="148"/>
    <x v="33"/>
    <m/>
    <m/>
    <n v="30352"/>
    <n v="-30352"/>
    <m/>
  </r>
  <r>
    <x v="1387"/>
    <x v="149"/>
    <x v="16"/>
    <s v="16807"/>
    <n v="7800"/>
    <m/>
    <n v="7800"/>
    <m/>
  </r>
  <r>
    <x v="1387"/>
    <x v="146"/>
    <x v="16"/>
    <s v="16814"/>
    <n v="1120"/>
    <m/>
    <n v="1120"/>
    <m/>
  </r>
  <r>
    <x v="1388"/>
    <x v="156"/>
    <x v="21"/>
    <s v="56344"/>
    <n v="23270"/>
    <m/>
    <n v="23270"/>
    <m/>
  </r>
  <r>
    <x v="1389"/>
    <x v="149"/>
    <x v="19"/>
    <s v="282"/>
    <n v="5348"/>
    <m/>
    <n v="5348"/>
    <m/>
  </r>
  <r>
    <x v="1389"/>
    <x v="102"/>
    <x v="16"/>
    <s v="16845"/>
    <n v="36900"/>
    <m/>
    <n v="36900"/>
    <m/>
  </r>
  <r>
    <x v="1389"/>
    <x v="147"/>
    <x v="16"/>
    <s v="16847"/>
    <n v="14850"/>
    <m/>
    <n v="14850"/>
    <m/>
  </r>
  <r>
    <x v="1389"/>
    <x v="154"/>
    <x v="13"/>
    <s v="24"/>
    <n v="1146636"/>
    <m/>
    <n v="1146636"/>
    <m/>
  </r>
  <r>
    <x v="1389"/>
    <x v="155"/>
    <x v="19"/>
    <s v="283"/>
    <n v="410374"/>
    <m/>
    <n v="410374"/>
    <m/>
  </r>
  <r>
    <x v="1390"/>
    <x v="156"/>
    <x v="19"/>
    <s v="284"/>
    <n v="403900"/>
    <m/>
    <n v="403900"/>
    <m/>
  </r>
  <r>
    <x v="1390"/>
    <x v="148"/>
    <x v="19"/>
    <s v="285"/>
    <n v="1851"/>
    <m/>
    <n v="1851"/>
    <m/>
  </r>
  <r>
    <x v="1390"/>
    <x v="149"/>
    <x v="4"/>
    <s v="21910"/>
    <n v="217813"/>
    <m/>
    <n v="217813"/>
    <m/>
  </r>
  <r>
    <x v="1390"/>
    <x v="155"/>
    <x v="4"/>
    <s v="5707"/>
    <n v="14000"/>
    <m/>
    <n v="14000"/>
    <m/>
  </r>
  <r>
    <x v="1391"/>
    <x v="77"/>
    <x v="34"/>
    <s v="24"/>
    <n v="48800"/>
    <m/>
    <n v="48800"/>
    <m/>
  </r>
  <r>
    <x v="1391"/>
    <x v="102"/>
    <x v="34"/>
    <s v="25"/>
    <n v="123955"/>
    <m/>
    <n v="123955"/>
    <m/>
  </r>
  <r>
    <x v="1392"/>
    <x v="149"/>
    <x v="3"/>
    <s v="3553"/>
    <n v="2847"/>
    <m/>
    <n v="2847"/>
    <m/>
  </r>
  <r>
    <x v="1393"/>
    <x v="147"/>
    <x v="1"/>
    <s v="1487"/>
    <n v="27305"/>
    <m/>
    <n v="27305"/>
    <m/>
  </r>
  <r>
    <x v="1393"/>
    <x v="151"/>
    <x v="19"/>
    <s v="286"/>
    <n v="21385"/>
    <m/>
    <n v="21385"/>
    <m/>
  </r>
  <r>
    <x v="1394"/>
    <x v="128"/>
    <x v="19"/>
    <s v="287"/>
    <n v="2873"/>
    <m/>
    <n v="2873"/>
    <m/>
  </r>
  <r>
    <x v="1394"/>
    <x v="147"/>
    <x v="34"/>
    <m/>
    <m/>
    <n v="1000000"/>
    <n v="-1000000"/>
    <s v="Online by adeel to partners account care off habi insulation"/>
  </r>
  <r>
    <x v="1394"/>
    <x v="149"/>
    <x v="34"/>
    <m/>
    <n v="14400"/>
    <m/>
    <n v="14400"/>
    <m/>
  </r>
  <r>
    <x v="1395"/>
    <x v="102"/>
    <x v="21"/>
    <s v="56380"/>
    <n v="28000"/>
    <m/>
    <n v="28000"/>
    <m/>
  </r>
  <r>
    <x v="1396"/>
    <x v="147"/>
    <x v="1"/>
    <s v="1531"/>
    <n v="355856"/>
    <m/>
    <n v="355856"/>
    <m/>
  </r>
  <r>
    <x v="1396"/>
    <x v="102"/>
    <x v="1"/>
    <m/>
    <m/>
    <n v="29697"/>
    <n v="-29697"/>
    <s v="Online by adeel to kaytes = 500,000"/>
  </r>
  <r>
    <x v="1396"/>
    <x v="128"/>
    <x v="1"/>
    <m/>
    <m/>
    <n v="81000"/>
    <n v="-81000"/>
    <m/>
  </r>
  <r>
    <x v="1396"/>
    <x v="148"/>
    <x v="1"/>
    <m/>
    <m/>
    <n v="147820"/>
    <n v="-147820"/>
    <m/>
  </r>
  <r>
    <x v="1396"/>
    <x v="147"/>
    <x v="1"/>
    <m/>
    <m/>
    <n v="241483"/>
    <n v="-241483"/>
    <m/>
  </r>
  <r>
    <x v="1397"/>
    <x v="149"/>
    <x v="16"/>
    <s v="16910"/>
    <n v="784"/>
    <m/>
    <n v="784"/>
    <m/>
  </r>
  <r>
    <x v="1398"/>
    <x v="154"/>
    <x v="13"/>
    <m/>
    <m/>
    <n v="550000"/>
    <n v="-550000"/>
    <s v="Chq paid Bank Al Falah To Sami Ducting (By BH)"/>
  </r>
  <r>
    <x v="1399"/>
    <x v="155"/>
    <x v="19"/>
    <m/>
    <m/>
    <n v="350000"/>
    <n v="-350000"/>
    <s v="sheet hawala to noman by adeel = 700,000"/>
  </r>
  <r>
    <x v="1399"/>
    <x v="156"/>
    <x v="19"/>
    <m/>
    <m/>
    <n v="350000"/>
    <n v="-350000"/>
    <m/>
  </r>
  <r>
    <x v="1399"/>
    <x v="119"/>
    <x v="9"/>
    <m/>
    <m/>
    <n v="82756"/>
    <n v="-82756"/>
    <s v="Online by adeel to Zafar grills  = 90,000"/>
  </r>
  <r>
    <x v="1399"/>
    <x v="122"/>
    <x v="9"/>
    <m/>
    <m/>
    <n v="7244"/>
    <n v="-7244"/>
    <m/>
  </r>
  <r>
    <x v="1400"/>
    <x v="116"/>
    <x v="36"/>
    <m/>
    <n v="361845"/>
    <m/>
    <n v="361845"/>
    <m/>
  </r>
  <r>
    <x v="1400"/>
    <x v="152"/>
    <x v="36"/>
    <m/>
    <n v="696900"/>
    <m/>
    <n v="696900"/>
    <m/>
  </r>
  <r>
    <x v="1400"/>
    <x v="129"/>
    <x v="36"/>
    <m/>
    <n v="9250"/>
    <m/>
    <n v="9250"/>
    <m/>
  </r>
  <r>
    <x v="1400"/>
    <x v="126"/>
    <x v="34"/>
    <m/>
    <m/>
    <n v="496500"/>
    <n v="-496500"/>
    <s v="Online by BH to Habib Insulation"/>
  </r>
  <r>
    <x v="1400"/>
    <x v="46"/>
    <x v="3"/>
    <m/>
    <m/>
    <n v="150000"/>
    <n v="-150000"/>
    <s v="Online by adeel to Jeddah polymer"/>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5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58" firstHeaderRow="0" firstDataRow="1" firstDataCol="1" rowPageCount="3" colPageCount="1"/>
  <pivotFields count="8">
    <pivotField axis="axisPage" showAll="0">
      <items count="2565">
        <item x="249"/>
        <item m="1" x="2526"/>
        <item m="1" x="2487"/>
        <item m="1" x="2511"/>
        <item m="1" x="2513"/>
        <item m="1" x="2547"/>
        <item m="1" x="2538"/>
        <item m="1" x="2544"/>
        <item m="1" x="2469"/>
        <item m="1" x="2551"/>
        <item m="1" x="2509"/>
        <item m="1" x="2552"/>
        <item m="1" x="2522"/>
        <item m="1" x="2555"/>
        <item m="1" x="2485"/>
        <item m="1" x="2483"/>
        <item m="1" x="2468"/>
        <item m="1" x="2495"/>
        <item m="1" x="2559"/>
        <item m="1" x="2525"/>
        <item m="1" x="2527"/>
        <item m="1" x="2529"/>
        <item m="1" x="2539"/>
        <item m="1" x="2501"/>
        <item m="1" x="2537"/>
        <item m="1" x="2514"/>
        <item m="1" x="2521"/>
        <item m="1" x="2542"/>
        <item m="1" x="2477"/>
        <item m="1" x="2517"/>
        <item m="1" x="2540"/>
        <item m="1" x="2482"/>
        <item m="1" x="2556"/>
        <item m="1" x="2548"/>
        <item m="1" x="2560"/>
        <item m="1" x="2498"/>
        <item m="1" x="2524"/>
        <item m="1" x="2557"/>
        <item x="0"/>
        <item m="1" x="2503"/>
        <item m="1" x="2563"/>
        <item m="1" x="2492"/>
        <item x="1"/>
        <item m="1" x="2520"/>
        <item m="1" x="2478"/>
        <item x="2"/>
        <item x="3"/>
        <item m="1" x="2561"/>
        <item m="1" x="2508"/>
        <item m="1" x="2504"/>
        <item m="1" x="2532"/>
        <item m="1" x="2493"/>
        <item m="1" x="2545"/>
        <item x="4"/>
        <item m="1" x="2515"/>
        <item x="5"/>
        <item x="6"/>
        <item m="1" x="247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96"/>
        <item x="157"/>
        <item x="158"/>
        <item x="159"/>
        <item x="160"/>
        <item x="161"/>
        <item x="162"/>
        <item x="163"/>
        <item x="164"/>
        <item x="165"/>
        <item x="166"/>
        <item x="167"/>
        <item x="168"/>
        <item x="169"/>
        <item m="1" x="249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3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6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0"/>
        <item x="276"/>
        <item x="277"/>
        <item x="278"/>
        <item x="275"/>
        <item m="1" x="2543"/>
        <item x="279"/>
        <item x="280"/>
        <item x="281"/>
        <item x="282"/>
        <item x="283"/>
        <item x="284"/>
        <item x="285"/>
        <item x="286"/>
        <item x="287"/>
        <item x="288"/>
        <item x="289"/>
        <item x="290"/>
        <item x="291"/>
        <item x="292"/>
        <item x="293"/>
        <item x="294"/>
        <item x="295"/>
        <item x="296"/>
        <item m="1" x="2528"/>
        <item x="297"/>
        <item x="298"/>
        <item x="299"/>
        <item m="1" x="2472"/>
        <item x="300"/>
        <item x="302"/>
        <item x="303"/>
        <item x="301"/>
        <item x="304"/>
        <item x="305"/>
        <item x="306"/>
        <item x="307"/>
        <item x="308"/>
        <item x="309"/>
        <item x="310"/>
        <item x="311"/>
        <item x="312"/>
        <item m="1" x="2550"/>
        <item x="313"/>
        <item m="1" x="2473"/>
        <item x="314"/>
        <item x="315"/>
        <item x="316"/>
        <item x="317"/>
        <item x="318"/>
        <item x="319"/>
        <item x="320"/>
        <item x="321"/>
        <item m="1" x="2476"/>
        <item x="323"/>
        <item x="324"/>
        <item x="325"/>
        <item x="326"/>
        <item x="322"/>
        <item x="327"/>
        <item x="328"/>
        <item x="329"/>
        <item x="330"/>
        <item x="331"/>
        <item m="1" x="2488"/>
        <item x="332"/>
        <item m="1" x="2512"/>
        <item x="333"/>
        <item x="334"/>
        <item x="335"/>
        <item x="336"/>
        <item x="337"/>
        <item x="338"/>
        <item x="344"/>
        <item m="1" x="2490"/>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02"/>
        <item x="375"/>
        <item x="376"/>
        <item x="373"/>
        <item x="377"/>
        <item x="378"/>
        <item x="379"/>
        <item x="380"/>
        <item m="1" x="2489"/>
        <item x="381"/>
        <item x="382"/>
        <item x="383"/>
        <item x="384"/>
        <item x="385"/>
        <item x="386"/>
        <item x="387"/>
        <item x="388"/>
        <item x="389"/>
        <item x="390"/>
        <item x="391"/>
        <item x="392"/>
        <item x="393"/>
        <item x="394"/>
        <item x="395"/>
        <item x="396"/>
        <item x="397"/>
        <item x="399"/>
        <item x="400"/>
        <item x="401"/>
        <item x="398"/>
        <item x="402"/>
        <item m="1" x="2549"/>
        <item x="403"/>
        <item x="404"/>
        <item x="405"/>
        <item x="406"/>
        <item x="407"/>
        <item x="408"/>
        <item x="409"/>
        <item m="1" x="2531"/>
        <item x="410"/>
        <item x="411"/>
        <item x="421"/>
        <item x="412"/>
        <item x="413"/>
        <item x="414"/>
        <item x="415"/>
        <item x="416"/>
        <item x="417"/>
        <item m="1" x="2534"/>
        <item x="418"/>
        <item x="419"/>
        <item x="420"/>
        <item x="423"/>
        <item x="443"/>
        <item x="424"/>
        <item x="422"/>
        <item x="425"/>
        <item x="426"/>
        <item x="427"/>
        <item x="428"/>
        <item x="429"/>
        <item x="430"/>
        <item x="431"/>
        <item x="432"/>
        <item m="1" x="2519"/>
        <item x="433"/>
        <item x="434"/>
        <item x="435"/>
        <item x="436"/>
        <item x="438"/>
        <item x="437"/>
        <item x="439"/>
        <item x="440"/>
        <item x="442"/>
        <item x="441"/>
        <item x="445"/>
        <item x="446"/>
        <item x="447"/>
        <item x="444"/>
        <item x="448"/>
        <item x="449"/>
        <item x="450"/>
        <item x="451"/>
        <item x="452"/>
        <item x="453"/>
        <item x="454"/>
        <item x="455"/>
        <item x="456"/>
        <item x="457"/>
        <item m="1" x="2554"/>
        <item x="458"/>
        <item x="459"/>
        <item m="1" x="2484"/>
        <item x="460"/>
        <item x="461"/>
        <item x="462"/>
        <item x="463"/>
        <item m="1" x="2535"/>
        <item x="464"/>
        <item x="465"/>
        <item x="466"/>
        <item x="467"/>
        <item x="468"/>
        <item x="469"/>
        <item x="470"/>
        <item m="1" x="2530"/>
        <item x="471"/>
        <item x="472"/>
        <item x="473"/>
        <item x="474"/>
        <item x="475"/>
        <item x="476"/>
        <item x="477"/>
        <item x="478"/>
        <item x="479"/>
        <item x="480"/>
        <item x="481"/>
        <item x="482"/>
        <item x="483"/>
        <item x="484"/>
        <item m="1" x="2510"/>
        <item x="490"/>
        <item x="485"/>
        <item x="486"/>
        <item x="487"/>
        <item x="488"/>
        <item x="489"/>
        <item x="491"/>
        <item x="492"/>
        <item m="1" x="2500"/>
        <item m="1" x="2505"/>
        <item x="503"/>
        <item m="1" x="2523"/>
        <item x="493"/>
        <item x="494"/>
        <item x="504"/>
        <item x="495"/>
        <item x="496"/>
        <item x="497"/>
        <item x="498"/>
        <item x="499"/>
        <item x="500"/>
        <item x="501"/>
        <item x="502"/>
        <item x="505"/>
        <item x="506"/>
        <item x="507"/>
        <item x="508"/>
        <item m="1" x="254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46"/>
        <item x="564"/>
        <item x="565"/>
        <item x="566"/>
        <item x="567"/>
        <item x="568"/>
        <item x="569"/>
        <item x="570"/>
        <item x="571"/>
        <item x="572"/>
        <item x="573"/>
        <item x="574"/>
        <item m="1" x="247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97"/>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16"/>
        <item x="698"/>
        <item x="708"/>
        <item x="709"/>
        <item x="710"/>
        <item x="699"/>
        <item x="700"/>
        <item x="701"/>
        <item x="702"/>
        <item x="703"/>
        <item x="704"/>
        <item x="705"/>
        <item x="706"/>
        <item x="707"/>
        <item x="711"/>
        <item x="726"/>
        <item x="727"/>
        <item x="734"/>
        <item x="712"/>
        <item x="728"/>
        <item x="729"/>
        <item m="1" x="247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81"/>
        <item x="753"/>
        <item m="1" x="2499"/>
        <item x="740"/>
        <item x="754"/>
        <item x="741"/>
        <item x="742"/>
        <item x="743"/>
        <item x="744"/>
        <item x="745"/>
        <item x="746"/>
        <item x="747"/>
        <item x="755"/>
        <item x="748"/>
        <item x="757"/>
        <item x="758"/>
        <item x="769"/>
        <item x="759"/>
        <item m="1" x="2553"/>
        <item x="760"/>
        <item x="761"/>
        <item x="770"/>
        <item m="1" x="2506"/>
        <item x="762"/>
        <item x="771"/>
        <item x="763"/>
        <item x="764"/>
        <item x="765"/>
        <item x="766"/>
        <item x="772"/>
        <item x="773"/>
        <item x="767"/>
        <item x="768"/>
        <item x="774"/>
        <item x="775"/>
        <item x="790"/>
        <item x="776"/>
        <item x="791"/>
        <item x="777"/>
        <item x="778"/>
        <item x="792"/>
        <item x="779"/>
        <item x="780"/>
        <item x="781"/>
        <item x="782"/>
        <item x="793"/>
        <item x="783"/>
        <item x="794"/>
        <item x="795"/>
        <item x="246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3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18"/>
        <item x="944"/>
        <item m="1" x="250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9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5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86"/>
        <item x="1583"/>
        <item x="1577"/>
        <item x="1578"/>
        <item x="1576"/>
        <item x="1579"/>
        <item x="1580"/>
        <item x="1586"/>
        <item x="1587"/>
        <item x="1581"/>
        <item x="1582"/>
        <item x="1588"/>
        <item x="1589"/>
        <item x="1590"/>
        <item x="1602"/>
        <item x="1612"/>
        <item m="1" x="247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8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t="default"/>
      </items>
    </pivotField>
    <pivotField axis="axisRow" showAll="0">
      <items count="301">
        <item sd="0" x="137"/>
        <item sd="0" x="141"/>
        <item sd="0" m="1" x="236"/>
        <item sd="0" x="142"/>
        <item sd="0" x="143"/>
        <item sd="0" x="144"/>
        <item sd="0" x="133"/>
        <item sd="0" x="138"/>
        <item sd="0" x="139"/>
        <item sd="0" m="1" x="279"/>
        <item sd="0" x="136"/>
        <item sd="0" m="1" x="150"/>
        <item sd="0" x="135"/>
        <item sd="0" x="134"/>
        <item sd="0" m="1" x="166"/>
        <item sd="0" x="132"/>
        <item sd="0" x="131"/>
        <item sd="0" x="130"/>
        <item sd="0" x="129"/>
        <item sd="0" x="120"/>
        <item sd="0" x="109"/>
        <item sd="0" x="118"/>
        <item sd="0" x="119"/>
        <item sd="0" x="125"/>
        <item sd="0" x="117"/>
        <item sd="0" x="122"/>
        <item sd="0" m="1" x="230"/>
        <item sd="0" x="103"/>
        <item sd="0" x="114"/>
        <item sd="0" x="113"/>
        <item sd="0" x="115"/>
        <item sd="0" x="112"/>
        <item sd="0" m="1" x="177"/>
        <item sd="0" x="111"/>
        <item sd="0" x="105"/>
        <item sd="0" m="1" x="178"/>
        <item sd="0" x="104"/>
        <item sd="0" x="102"/>
        <item sd="0" x="108"/>
        <item sd="0" x="106"/>
        <item sd="0" x="98"/>
        <item sd="0" x="101"/>
        <item sd="0" x="99"/>
        <item sd="0" x="97"/>
        <item sd="0" x="94"/>
        <item sd="0" x="96"/>
        <item sd="0" m="1" x="289"/>
        <item sd="0" x="93"/>
        <item sd="0" x="91"/>
        <item sd="0" x="90"/>
        <item sd="0" x="89"/>
        <item sd="0" x="52"/>
        <item sd="0" x="88"/>
        <item sd="0" x="87"/>
        <item sd="0" m="1" x="295"/>
        <item sd="0" x="85"/>
        <item sd="0" x="72"/>
        <item sd="0" x="79"/>
        <item sd="0" x="84"/>
        <item sd="0" x="83"/>
        <item sd="0" m="1" x="17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08"/>
        <item sd="0" x="49"/>
        <item sd="0" x="24"/>
        <item sd="0" x="33"/>
        <item sd="0" x="23"/>
        <item sd="0" x="22"/>
        <item sd="0" x="34"/>
        <item n="JPMC (Main Project)" sd="0" x="11"/>
        <item sd="0" x="18"/>
        <item sd="0" x="48"/>
        <item sd="0" x="46"/>
        <item sd="0" x="45"/>
        <item sd="0" x="37"/>
        <item sd="0" x="47"/>
        <item sd="0" m="1" x="180"/>
        <item sd="0" x="44"/>
        <item sd="0" m="1" x="235"/>
        <item sd="0" x="42"/>
        <item sd="0" x="40"/>
        <item sd="0" x="15"/>
        <item sd="0" x="27"/>
        <item sd="0" x="30"/>
        <item sd="0" x="25"/>
        <item sd="0" x="29"/>
        <item sd="0" x="8"/>
        <item sd="0" x="9"/>
        <item sd="0" m="1" x="262"/>
        <item sd="0" m="1" x="214"/>
        <item sd="0" m="1" x="293"/>
        <item sd="0" m="1" x="157"/>
        <item sd="0" m="1" x="299"/>
        <item sd="0" m="1" x="238"/>
        <item sd="0" x="13"/>
        <item sd="0" m="1" x="284"/>
        <item sd="0" m="1" x="294"/>
        <item sd="0" m="1" x="298"/>
        <item sd="0" m="1" x="217"/>
        <item sd="0" m="1" x="204"/>
        <item sd="0" m="1" x="286"/>
        <item sd="0" m="1" x="221"/>
        <item sd="0" m="1" x="168"/>
        <item sd="0" m="1" x="223"/>
        <item sd="0" m="1" x="220"/>
        <item sd="0" m="1" x="234"/>
        <item sd="0" m="1" x="213"/>
        <item sd="0" x="17"/>
        <item sd="0" m="1" x="245"/>
        <item sd="0" m="1" x="224"/>
        <item sd="0" m="1" x="159"/>
        <item sd="0" x="14"/>
        <item sd="0" m="1" x="153"/>
        <item sd="0" x="86"/>
        <item sd="0" m="1" x="193"/>
        <item sd="0" m="1" x="183"/>
        <item sd="0" m="1" x="268"/>
        <item sd="0" m="1" x="229"/>
        <item sd="0" m="1" x="216"/>
        <item sd="0" m="1" x="280"/>
        <item sd="0" m="1" x="253"/>
        <item sd="0" m="1" x="225"/>
        <item sd="0" m="1" x="192"/>
        <item sd="0" m="1" x="211"/>
        <item sd="0" m="1" x="254"/>
        <item sd="0" m="1" x="164"/>
        <item sd="0" x="10"/>
        <item sd="0" m="1" x="292"/>
        <item sd="0" x="1"/>
        <item sd="0" m="1" x="259"/>
        <item sd="0" m="1" x="149"/>
        <item sd="0" m="1" x="257"/>
        <item sd="0" m="1" x="203"/>
        <item sd="0" m="1" x="283"/>
        <item sd="0" m="1" x="226"/>
        <item sd="0" m="1" x="199"/>
        <item sd="0" m="1" x="195"/>
        <item sd="0" m="1" x="237"/>
        <item sd="0" m="1" x="269"/>
        <item sd="0" m="1" x="161"/>
        <item sd="0" m="1" x="197"/>
        <item sd="0" m="1" x="162"/>
        <item sd="0" x="3"/>
        <item sd="0" m="1" x="271"/>
        <item sd="0" x="7"/>
        <item sd="0" m="1" x="291"/>
        <item sd="0" x="2"/>
        <item sd="0" m="1" x="158"/>
        <item sd="0" m="1" x="154"/>
        <item sd="0" x="12"/>
        <item sd="0" m="1" x="182"/>
        <item sd="0" x="4"/>
        <item sd="0" m="1" x="187"/>
        <item sd="0" m="1" x="179"/>
        <item sd="0" m="1" x="248"/>
        <item sd="0" m="1" x="151"/>
        <item sd="0" x="116"/>
        <item sd="0" m="1" x="209"/>
        <item sd="0" m="1" x="264"/>
        <item sd="0" m="1" x="167"/>
        <item sd="0" m="1" x="188"/>
        <item sd="0" m="1" x="267"/>
        <item sd="0" x="6"/>
        <item sd="0" m="1" x="172"/>
        <item sd="0" m="1" x="174"/>
        <item sd="0" m="1" x="252"/>
        <item sd="0" m="1" x="247"/>
        <item sd="0" m="1" x="270"/>
        <item sd="0" x="16"/>
        <item sd="0" m="1" x="152"/>
        <item sd="0" m="1" x="176"/>
        <item sd="0" m="1" x="244"/>
        <item sd="0" m="1" x="282"/>
        <item sd="0" m="1" x="191"/>
        <item m="1" x="249"/>
        <item sd="0" m="1" x="290"/>
        <item sd="0" m="1" x="189"/>
        <item sd="0" m="1" x="256"/>
        <item sd="0" m="1" x="194"/>
        <item sd="0" m="1" x="273"/>
        <item sd="0" x="28"/>
        <item sd="0" m="1" x="228"/>
        <item sd="0" m="1" x="281"/>
        <item sd="0" m="1" x="276"/>
        <item sd="0" m="1" x="266"/>
        <item m="1" x="251"/>
        <item sd="0" m="1" x="207"/>
        <item sd="0" m="1" x="277"/>
        <item sd="0" m="1" x="261"/>
        <item m="1" x="202"/>
        <item sd="0" m="1" x="175"/>
        <item sd="0" m="1" x="201"/>
        <item sd="0" x="41"/>
        <item sd="0" m="1" x="218"/>
        <item sd="0" x="20"/>
        <item sd="0" x="36"/>
        <item sd="0" x="32"/>
        <item sd="0" x="31"/>
        <item sd="0" m="1" x="155"/>
        <item m="1" x="296"/>
        <item sd="0" x="51"/>
        <item sd="0" m="1" x="184"/>
        <item sd="0" m="1" x="241"/>
        <item sd="0" m="1" x="198"/>
        <item sd="0" m="1" x="169"/>
        <item sd="0" x="0"/>
        <item sd="0" x="26"/>
        <item sd="0" x="19"/>
        <item sd="0" m="1" x="190"/>
        <item sd="0" x="21"/>
        <item sd="0" m="1" x="205"/>
        <item sd="0" x="63"/>
        <item sd="0" x="64"/>
        <item sd="0" m="1" x="173"/>
        <item m="1" x="285"/>
        <item sd="0" x="70"/>
        <item m="1" x="255"/>
        <item m="1" x="231"/>
        <item m="1" x="165"/>
        <item sd="0" m="1" x="160"/>
        <item sd="0" m="1" x="287"/>
        <item sd="0" m="1" x="278"/>
        <item sd="0" m="1" x="212"/>
        <item m="1" x="246"/>
        <item sd="0" m="1" x="222"/>
        <item sd="0" x="82"/>
        <item sd="0" m="1" x="206"/>
        <item sd="0" m="1" x="274"/>
        <item sd="0" m="1" x="258"/>
        <item sd="0" x="145"/>
        <item sd="0" m="1" x="219"/>
        <item sd="0" m="1" x="242"/>
        <item sd="0" m="1" x="181"/>
        <item sd="0" m="1" x="233"/>
        <item sd="0" x="92"/>
        <item sd="0" m="1" x="163"/>
        <item sd="0" m="1" x="227"/>
        <item sd="0" m="1" x="186"/>
        <item m="1" x="250"/>
        <item sd="0" m="1" x="185"/>
        <item sd="0" x="95"/>
        <item m="1" x="263"/>
        <item m="1" x="200"/>
        <item sd="0" m="1" x="239"/>
        <item sd="0" x="100"/>
        <item sd="0" m="1" x="210"/>
        <item sd="0" x="107"/>
        <item sd="0" x="110"/>
        <item sd="0" x="121"/>
        <item m="1" x="272"/>
        <item sd="0" x="123"/>
        <item sd="0" x="124"/>
        <item sd="0" m="1" x="265"/>
        <item sd="0" m="1" x="288"/>
        <item m="1" x="196"/>
        <item sd="0" x="126"/>
        <item sd="0" m="1" x="156"/>
        <item sd="0" m="1" x="243"/>
        <item sd="0" x="127"/>
        <item sd="0" m="1" x="215"/>
        <item sd="0" m="1" x="275"/>
        <item sd="0" m="1" x="260"/>
        <item sd="0" x="128"/>
        <item sd="0" m="1" x="232"/>
        <item sd="0" x="140"/>
        <item sd="0" m="1" x="240"/>
        <item sd="0" m="1" x="297"/>
        <item m="1" x="171"/>
        <item x="146"/>
        <item x="147"/>
        <item x="148"/>
        <item t="default"/>
      </items>
    </pivotField>
    <pivotField axis="axisRow" showAll="0">
      <items count="1204">
        <item sd="0" x="60"/>
        <item sd="0" x="149"/>
        <item sd="0" m="1" x="1043"/>
        <item sd="0" m="1" x="1143"/>
        <item sd="0" m="1" x="1003"/>
        <item sd="0" x="18"/>
        <item sd="0" x="288"/>
        <item sd="0" m="1" x="1185"/>
        <item sd="0" x="146"/>
        <item sd="0" x="179"/>
        <item sd="0" m="1" x="1182"/>
        <item sd="0" x="623"/>
        <item sd="0" x="100"/>
        <item sd="0" m="1" x="987"/>
        <item sd="0" m="1" x="1147"/>
        <item sd="0" x="137"/>
        <item sd="0" m="1" x="1129"/>
        <item sd="0" x="231"/>
        <item sd="0" m="1" x="957"/>
        <item sd="0" m="1" x="1134"/>
        <item sd="0" x="363"/>
        <item sd="0" x="375"/>
        <item sd="0" m="1" x="1017"/>
        <item sd="0" x="208"/>
        <item sd="0" x="159"/>
        <item sd="0" x="258"/>
        <item sd="0" x="282"/>
        <item sd="0" x="144"/>
        <item sd="0" x="191"/>
        <item sd="0" x="217"/>
        <item sd="0" x="322"/>
        <item sd="0" x="256"/>
        <item sd="0" x="189"/>
        <item sd="0" m="1" x="1083"/>
        <item sd="0" x="325"/>
        <item sd="0" m="1" x="1186"/>
        <item sd="0" m="1" x="1081"/>
        <item sd="0" x="630"/>
        <item sd="0" x="223"/>
        <item sd="0" m="1" x="970"/>
        <item sd="0" x="239"/>
        <item sd="0" x="135"/>
        <item sd="0" x="140"/>
        <item sd="0" m="1" x="1158"/>
        <item sd="0" m="1" x="1087"/>
        <item sd="0" x="219"/>
        <item sd="0" x="562"/>
        <item sd="0" x="93"/>
        <item sd="0" m="1" x="1155"/>
        <item sd="0" x="222"/>
        <item sd="0" m="1" x="983"/>
        <item sd="0" x="337"/>
        <item sd="0" x="207"/>
        <item sd="0" x="184"/>
        <item sd="0" x="152"/>
        <item sd="0" m="1" x="1169"/>
        <item sd="0" x="40"/>
        <item sd="0" x="281"/>
        <item sd="0" x="170"/>
        <item sd="0" x="317"/>
        <item sd="0" x="358"/>
        <item sd="0" x="214"/>
        <item sd="0" x="370"/>
        <item sd="0" x="279"/>
        <item sd="0" x="156"/>
        <item sd="0" x="700"/>
        <item sd="0" x="253"/>
        <item sd="0" m="1" x="1144"/>
        <item sd="0" m="1" x="946"/>
        <item sd="0" x="365"/>
        <item sd="0" m="1" x="1002"/>
        <item sd="0" m="1" x="965"/>
        <item sd="0" x="259"/>
        <item sd="0" x="252"/>
        <item sd="0" m="1" x="1086"/>
        <item sd="0" x="12"/>
        <item sd="0" x="352"/>
        <item sd="0" x="218"/>
        <item sd="0" x="224"/>
        <item sd="0" x="63"/>
        <item sd="0" x="8"/>
        <item sd="0" x="102"/>
        <item sd="0" m="1" x="988"/>
        <item sd="0" m="1" x="1188"/>
        <item sd="0" x="319"/>
        <item sd="0" m="1" x="993"/>
        <item sd="0" m="1" x="1199"/>
        <item sd="0" x="386"/>
        <item sd="0" x="31"/>
        <item sd="0" x="55"/>
        <item sd="0" x="227"/>
        <item sd="0" x="356"/>
        <item sd="0" x="161"/>
        <item sd="0" x="153"/>
        <item sd="0" x="860"/>
        <item sd="0" x="133"/>
        <item sd="0" m="1" x="974"/>
        <item sd="0" m="1" x="966"/>
        <item sd="0" m="1" x="1174"/>
        <item sd="0" x="46"/>
        <item sd="0" x="374"/>
        <item sd="0" m="1" x="976"/>
        <item sd="0" x="270"/>
        <item sd="0" m="1" x="1062"/>
        <item sd="0" m="1" x="1023"/>
        <item sd="0" m="1" x="1063"/>
        <item sd="0" m="1" x="1041"/>
        <item sd="0" m="1" x="1154"/>
        <item sd="0" m="1" x="1097"/>
        <item sd="0" m="1" x="1058"/>
        <item sd="0" x="366"/>
        <item sd="0" x="318"/>
        <item sd="0" m="1" x="1016"/>
        <item sd="0" x="273"/>
        <item sd="0" m="1" x="1119"/>
        <item sd="0" x="201"/>
        <item sd="0" m="1" x="1045"/>
        <item sd="0" x="160"/>
        <item sd="0" m="1" x="1151"/>
        <item sd="0" m="1" x="1111"/>
        <item sd="0" m="1" x="1001"/>
        <item sd="0" x="277"/>
        <item sd="0" m="1" x="1105"/>
        <item sd="0" x="225"/>
        <item sd="0" m="1" x="972"/>
        <item sd="0" m="1" x="975"/>
        <item sd="0" m="1" x="986"/>
        <item sd="0" x="292"/>
        <item sd="0" x="15"/>
        <item sd="0" m="1" x="1014"/>
        <item sd="0" m="1" x="1030"/>
        <item sd="0" x="0"/>
        <item sd="0" x="232"/>
        <item sd="0" x="213"/>
        <item sd="0" m="1" x="1153"/>
        <item sd="0" x="316"/>
        <item sd="0" m="1" x="956"/>
        <item sd="0" x="291"/>
        <item sd="0" x="333"/>
        <item sd="0" x="339"/>
        <item sd="0" x="275"/>
        <item sd="0" m="1" x="989"/>
        <item sd="0" x="174"/>
        <item sd="0" x="171"/>
        <item sd="0" x="233"/>
        <item sd="0" x="78"/>
        <item sd="0" m="1" x="1051"/>
        <item sd="0" x="236"/>
        <item sd="0" x="58"/>
        <item sd="0" x="240"/>
        <item sd="0" m="1" x="982"/>
        <item sd="0" x="182"/>
        <item sd="0" x="307"/>
        <item sd="0" x="779"/>
        <item sd="0" x="290"/>
        <item sd="0" m="1" x="1078"/>
        <item sd="0" m="1" x="1140"/>
        <item sd="0" x="132"/>
        <item sd="0" x="56"/>
        <item sd="0" x="126"/>
        <item sd="0" x="22"/>
        <item sd="0" x="187"/>
        <item sd="0" m="1" x="962"/>
        <item sd="0" m="1" x="1172"/>
        <item sd="0" m="1" x="969"/>
        <item sd="0" x="11"/>
        <item sd="0" x="353"/>
        <item sd="0" m="1" x="1057"/>
        <item sd="0" x="124"/>
        <item sd="0" m="1" x="1202"/>
        <item sd="0" x="77"/>
        <item sd="0" m="1" x="1082"/>
        <item sd="0" x="92"/>
        <item sd="0" x="35"/>
        <item sd="0" x="196"/>
        <item sd="0" m="1" x="1181"/>
        <item sd="0" x="1"/>
        <item sd="0" x="180"/>
        <item sd="0" x="285"/>
        <item sd="0" m="1" x="1100"/>
        <item sd="0" x="42"/>
        <item sd="0" m="1" x="1121"/>
        <item sd="0" m="1" x="1090"/>
        <item sd="0" m="1" x="1108"/>
        <item sd="0" m="1" x="1039"/>
        <item sd="0" x="84"/>
        <item sd="0" x="106"/>
        <item sd="0" m="1" x="945"/>
        <item sd="0" x="336"/>
        <item sd="0" m="1" x="1114"/>
        <item sd="0" m="1" x="948"/>
        <item sd="0" m="1" x="940"/>
        <item sd="0" m="1" x="1101"/>
        <item sd="0" m="1" x="978"/>
        <item sd="0" m="1" x="1131"/>
        <item sd="0" m="1" x="979"/>
        <item sd="0" x="16"/>
        <item sd="0" m="1" x="1110"/>
        <item sd="0" m="1" x="1019"/>
        <item sd="0" x="280"/>
        <item sd="0" x="104"/>
        <item sd="0" x="332"/>
        <item sd="0" m="1" x="1044"/>
        <item sd="0" x="348"/>
        <item sd="0" x="23"/>
        <item sd="0" x="362"/>
        <item sd="0" x="237"/>
        <item sd="0" x="91"/>
        <item sd="0" x="13"/>
        <item sd="0" x="175"/>
        <item sd="0" x="343"/>
        <item sd="0" m="1" x="1192"/>
        <item sd="0" m="1" x="1168"/>
        <item sd="0" x="87"/>
        <item sd="0" x="690"/>
        <item sd="0" x="33"/>
        <item sd="0" x="19"/>
        <item sd="0" m="1" x="950"/>
        <item sd="0" x="20"/>
        <item sd="0" m="1" x="963"/>
        <item sd="0" x="96"/>
        <item sd="0" m="1" x="1184"/>
        <item sd="0" m="1" x="1161"/>
        <item sd="0" m="1" x="1032"/>
        <item sd="0" x="120"/>
        <item sd="0" x="131"/>
        <item sd="0" x="119"/>
        <item sd="0" m="1" x="1112"/>
        <item sd="0" m="1" x="1103"/>
        <item sd="0" m="1" x="961"/>
        <item sd="0" m="1" x="1088"/>
        <item sd="0" x="228"/>
        <item sd="0" x="39"/>
        <item sd="0" x="108"/>
        <item sd="0" x="24"/>
        <item sd="0" x="139"/>
        <item sd="0" m="1" x="1171"/>
        <item sd="0" x="17"/>
        <item sd="0" x="248"/>
        <item sd="0" x="48"/>
        <item sd="0" m="1" x="1084"/>
        <item sd="0" m="1" x="1145"/>
        <item sd="0" x="134"/>
        <item sd="0" x="596"/>
        <item sd="0" m="1" x="1054"/>
        <item sd="0" x="69"/>
        <item sd="0" x="34"/>
        <item sd="0" x="206"/>
        <item sd="0" m="1" x="1187"/>
        <item sd="0" m="1" x="1060"/>
        <item sd="0" m="1" x="1079"/>
        <item sd="0" m="1" x="1018"/>
        <item sd="0" x="268"/>
        <item sd="0" x="376"/>
        <item sd="0" x="331"/>
        <item sd="0" m="1" x="1010"/>
        <item sd="0" x="360"/>
        <item sd="0" m="1" x="1163"/>
        <item sd="0" x="89"/>
        <item sd="0" x="355"/>
        <item sd="0" m="1" x="1059"/>
        <item sd="0" x="168"/>
        <item sd="0" m="1" x="951"/>
        <item sd="0" m="1" x="941"/>
        <item sd="0" x="272"/>
        <item sd="0" x="51"/>
        <item sd="0" x="190"/>
        <item sd="0" x="50"/>
        <item sd="0" x="79"/>
        <item sd="0" x="32"/>
        <item sd="0" m="1" x="1148"/>
        <item sd="0" x="188"/>
        <item sd="0" x="110"/>
        <item sd="0" x="935"/>
        <item sd="0" m="1" x="1166"/>
        <item sd="0" m="1" x="1071"/>
        <item sd="0" m="1" x="1012"/>
        <item sd="0" m="1" x="1066"/>
        <item sd="0" m="1" x="1035"/>
        <item sd="0" x="226"/>
        <item sd="0" x="57"/>
        <item sd="0" m="1" x="1069"/>
        <item sd="0" x="340"/>
        <item sd="0" x="265"/>
        <item sd="0" x="294"/>
        <item sd="0" m="1" x="1094"/>
        <item sd="0" x="62"/>
        <item sd="0" x="295"/>
        <item sd="0" x="3"/>
        <item sd="0" x="151"/>
        <item sd="0" x="210"/>
        <item sd="0" x="54"/>
        <item sd="0" m="1" x="1126"/>
        <item sd="0" m="1" x="1109"/>
        <item sd="0" x="323"/>
        <item sd="0" m="1" x="999"/>
        <item sd="0" x="75"/>
        <item sd="0" m="1" x="1028"/>
        <item sd="0" x="186"/>
        <item sd="0" x="361"/>
        <item sd="0" x="368"/>
        <item sd="0" x="327"/>
        <item sd="0" x="195"/>
        <item sd="0" m="1" x="1099"/>
        <item sd="0" m="1" x="1139"/>
        <item sd="0" x="123"/>
        <item sd="0" m="1" x="1025"/>
        <item sd="0" x="194"/>
        <item sd="0" x="121"/>
        <item sd="0" x="53"/>
        <item sd="0" m="1" x="1156"/>
        <item sd="0" x="278"/>
        <item sd="0" x="212"/>
        <item sd="0" m="1" x="1141"/>
        <item sd="0" m="1" x="1132"/>
        <item sd="0" m="1" x="1200"/>
        <item sd="0" m="1" x="980"/>
        <item sd="0" m="1" x="1194"/>
        <item sd="0" x="117"/>
        <item sd="0" x="111"/>
        <item sd="0" x="81"/>
        <item sd="0" x="7"/>
        <item sd="0" x="235"/>
        <item sd="0" x="287"/>
        <item sd="0" m="1" x="1130"/>
        <item sd="0" m="1" x="1178"/>
        <item sd="0" x="2"/>
        <item sd="0" m="1" x="1193"/>
        <item sd="0" m="1" x="1049"/>
        <item sd="0" x="163"/>
        <item sd="0" m="1" x="1124"/>
        <item sd="0" m="1" x="992"/>
        <item sd="0" m="1" x="1201"/>
        <item sd="0" m="1" x="958"/>
        <item sd="0" m="1" x="955"/>
        <item sd="0" x="130"/>
        <item sd="0" x="88"/>
        <item sd="0" m="1" x="1196"/>
        <item sd="0" x="204"/>
        <item sd="0" x="72"/>
        <item sd="0" x="73"/>
        <item sd="0" x="28"/>
        <item sd="0" x="47"/>
        <item sd="0" x="181"/>
        <item sd="0" x="26"/>
        <item sd="0" x="86"/>
        <item sd="0" x="230"/>
        <item sd="0" m="1" x="1068"/>
        <item sd="0" m="1" x="1048"/>
        <item sd="0" m="1" x="1085"/>
        <item sd="0" x="94"/>
        <item sd="0" x="107"/>
        <item sd="0" x="309"/>
        <item sd="0" x="38"/>
        <item sd="0" x="145"/>
        <item sd="0" x="101"/>
        <item sd="0" x="369"/>
        <item sd="0" x="10"/>
        <item sd="0" x="74"/>
        <item sd="0" x="264"/>
        <item sd="0" m="1" x="1034"/>
        <item sd="0" x="178"/>
        <item sd="0" x="266"/>
        <item sd="0" x="364"/>
        <item sd="0" x="98"/>
        <item sd="0" x="165"/>
        <item sd="0" x="66"/>
        <item sd="0" x="5"/>
        <item sd="0" m="1" x="1006"/>
        <item sd="0" x="359"/>
        <item sd="0" m="1" x="1191"/>
        <item sd="0" x="269"/>
        <item sd="0" x="215"/>
        <item sd="0" x="349"/>
        <item sd="0" x="283"/>
        <item sd="0" x="185"/>
        <item sd="0" x="220"/>
        <item sd="0" m="1" x="1179"/>
        <item sd="0" m="1" x="949"/>
        <item sd="0" x="4"/>
        <item sd="0" x="377"/>
        <item sd="0" x="262"/>
        <item sd="0" x="326"/>
        <item sd="0" x="173"/>
        <item sd="0" x="200"/>
        <item sd="0" m="1" x="990"/>
        <item sd="0" x="345"/>
        <item sd="0" x="30"/>
        <item sd="0" m="1" x="1127"/>
        <item sd="0" x="242"/>
        <item sd="0" m="1" x="1056"/>
        <item sd="0" m="1" x="959"/>
        <item sd="0" x="243"/>
        <item sd="0" m="1" x="1173"/>
        <item sd="0" m="1" x="1176"/>
        <item sd="0" x="303"/>
        <item sd="0" x="37"/>
        <item sd="0" x="357"/>
        <item sd="0" m="1" x="1070"/>
        <item sd="0" m="1" x="1120"/>
        <item sd="0" x="115"/>
        <item sd="0" m="1" x="1170"/>
        <item sd="0" m="1" x="971"/>
        <item sd="0" m="1" x="1037"/>
        <item sd="0" x="128"/>
        <item sd="0" m="1" x="1177"/>
        <item sd="0" m="1" x="1152"/>
        <item sd="0" x="255"/>
        <item sd="0" x="199"/>
        <item sd="0" x="329"/>
        <item sd="0" x="297"/>
        <item sd="0" x="310"/>
        <item sd="0" x="83"/>
        <item sd="0" m="1" x="1075"/>
        <item sd="0" m="1" x="953"/>
        <item sd="0" x="80"/>
        <item sd="0" m="1" x="1024"/>
        <item sd="0" m="1" x="1167"/>
        <item sd="0" x="97"/>
        <item sd="0" x="289"/>
        <item sd="0" m="1" x="1115"/>
        <item sd="0" x="116"/>
        <item sd="0" x="209"/>
        <item sd="0" x="198"/>
        <item sd="0" x="150"/>
        <item sd="0" x="136"/>
        <item sd="0" m="1" x="1055"/>
        <item sd="0" x="109"/>
        <item sd="0" x="524"/>
        <item sd="0" m="1" x="1033"/>
        <item sd="0" m="1" x="1136"/>
        <item sd="0" x="284"/>
        <item sd="0" x="296"/>
        <item sd="0" x="211"/>
        <item sd="0" x="45"/>
        <item sd="0" m="1" x="1116"/>
        <item sd="0" m="1" x="1107"/>
        <item sd="0" x="155"/>
        <item sd="0" m="1" x="1137"/>
        <item sd="0" x="61"/>
        <item sd="0" x="129"/>
        <item sd="0" x="105"/>
        <item sd="0" m="1" x="977"/>
        <item sd="0" x="157"/>
        <item sd="0" x="14"/>
        <item sd="0" x="43"/>
        <item sd="0" x="250"/>
        <item sd="0" x="238"/>
        <item sd="0" x="103"/>
        <item sd="0" x="70"/>
        <item sd="0" x="299"/>
        <item sd="0" x="127"/>
        <item sd="0" m="1" x="943"/>
        <item sd="0" x="193"/>
        <item sd="0" x="147"/>
        <item sd="0" x="933"/>
        <item sd="0" x="99"/>
        <item sd="0" x="344"/>
        <item sd="0" x="221"/>
        <item sd="0" m="1" x="1190"/>
        <item sd="0" m="1" x="1195"/>
        <item sd="0" x="271"/>
        <item sd="0" x="166"/>
        <item sd="0" x="286"/>
        <item sd="0" x="304"/>
        <item sd="0" m="1" x="1064"/>
        <item sd="0" x="138"/>
        <item sd="0" x="41"/>
        <item sd="0" x="229"/>
        <item sd="0" m="1" x="1123"/>
        <item sd="0" x="71"/>
        <item sd="0" x="64"/>
        <item sd="0" m="1" x="1046"/>
        <item sd="0" m="1" x="1040"/>
        <item sd="0" x="540"/>
        <item sd="0" x="44"/>
        <item sd="0" x="114"/>
        <item sd="0" x="52"/>
        <item sd="0" x="142"/>
        <item sd="0" x="82"/>
        <item sd="0" x="245"/>
        <item sd="0" x="314"/>
        <item sd="0" m="1" x="1164"/>
        <item sd="0" m="1" x="1133"/>
        <item sd="0" x="308"/>
        <item sd="0" m="1" x="1092"/>
        <item sd="0" m="1" x="1160"/>
        <item sd="0" x="122"/>
        <item sd="0" x="118"/>
        <item sd="0" m="1" x="1113"/>
        <item sd="0" x="169"/>
        <item sd="0" x="197"/>
        <item sd="0" x="125"/>
        <item sd="0" x="203"/>
        <item sd="0" x="267"/>
        <item sd="0" x="301"/>
        <item sd="0" x="85"/>
        <item sd="0" x="25"/>
        <item sd="0" x="244"/>
        <item sd="0" x="112"/>
        <item sd="0" x="192"/>
        <item sd="0" x="302"/>
        <item sd="0" x="260"/>
        <item sd="0" x="261"/>
        <item sd="0" m="1" x="1098"/>
        <item sd="0" x="328"/>
        <item sd="0" x="350"/>
        <item sd="0" x="254"/>
        <item sd="0" x="320"/>
        <item sd="0" x="241"/>
        <item sd="0" x="158"/>
        <item sd="0" m="1" x="1089"/>
        <item sd="0" m="1" x="1052"/>
        <item sd="0" m="1" x="1146"/>
        <item sd="0" m="1" x="954"/>
        <item sd="0" m="1" x="1008"/>
        <item sd="0" x="143"/>
        <item sd="0" m="1" x="1150"/>
        <item sd="0" x="276"/>
        <item sd="0" x="298"/>
        <item sd="0" x="424"/>
        <item sd="0" x="346"/>
        <item sd="0" x="306"/>
        <item sd="0" m="1" x="1175"/>
        <item sd="0" x="321"/>
        <item sd="0" x="313"/>
        <item sd="0" x="49"/>
        <item sd="0" x="315"/>
        <item sd="0" x="59"/>
        <item sd="0" x="183"/>
        <item sd="0" x="330"/>
        <item sd="0" x="274"/>
        <item sd="0" x="311"/>
        <item sd="0" x="249"/>
        <item sd="0" m="1" x="985"/>
        <item sd="0" m="1" x="1093"/>
        <item sd="0" m="1" x="1197"/>
        <item sd="0" m="1" x="1047"/>
        <item sd="0" m="1" x="1027"/>
        <item sd="0" m="1" x="1026"/>
        <item sd="0" x="90"/>
        <item sd="0" x="202"/>
        <item sd="0" x="67"/>
        <item sd="0" m="1" x="1125"/>
        <item sd="0" x="65"/>
        <item sd="0" x="247"/>
        <item sd="0" m="1" x="997"/>
        <item sd="0" x="216"/>
        <item sd="0" m="1" x="1009"/>
        <item sd="0" x="141"/>
        <item sd="0" x="177"/>
        <item sd="0" x="305"/>
        <item sd="0" m="1" x="1005"/>
        <item sd="0" x="347"/>
        <item sd="0" m="1" x="1189"/>
        <item sd="0" m="1" x="1073"/>
        <item sd="0" x="293"/>
        <item sd="0" x="148"/>
        <item sd="0" x="354"/>
        <item sd="0" m="1" x="1128"/>
        <item sd="0" x="27"/>
        <item sd="0" m="1" x="1138"/>
        <item sd="0" x="68"/>
        <item sd="0" x="6"/>
        <item sd="0" x="263"/>
        <item sd="0" x="154"/>
        <item sd="0" x="164"/>
        <item sd="0" x="172"/>
        <item sd="0" x="205"/>
        <item sd="0" x="351"/>
        <item sd="0" m="1" x="1011"/>
        <item sd="0" x="29"/>
        <item sd="0" m="1" x="1183"/>
        <item sd="0" x="9"/>
        <item sd="0" x="335"/>
        <item sd="0" m="1" x="1077"/>
        <item sd="0" m="1" x="1104"/>
        <item sd="0" m="1" x="1042"/>
        <item sd="0" x="234"/>
        <item sd="0" x="162"/>
        <item sd="0" m="1" x="1013"/>
        <item sd="0" m="1" x="1149"/>
        <item sd="0" m="1" x="1180"/>
        <item sd="0" m="1" x="1165"/>
        <item sd="0" x="300"/>
        <item sd="0" x="167"/>
        <item sd="0" x="76"/>
        <item sd="0" m="1" x="1142"/>
        <item sd="0" x="342"/>
        <item sd="0" x="341"/>
        <item sd="0" m="1" x="973"/>
        <item sd="0" m="1" x="1038"/>
        <item sd="0" m="1" x="1117"/>
        <item sd="0" m="1" x="1096"/>
        <item sd="0" x="113"/>
        <item sd="0" x="251"/>
        <item sd="0" x="176"/>
        <item sd="0" x="372"/>
        <item sd="0" x="246"/>
        <item sd="0" m="1" x="960"/>
        <item sd="0" x="257"/>
        <item sd="0" x="95"/>
        <item sd="0" x="338"/>
        <item sd="0" x="36"/>
        <item sd="0" m="1" x="1015"/>
        <item sd="0" x="21"/>
        <item sd="0" x="378"/>
        <item sd="0" x="381"/>
        <item sd="0" x="382"/>
        <item sd="0" x="379"/>
        <item sd="0" x="383"/>
        <item sd="0" x="380"/>
        <item sd="0" x="384"/>
        <item sd="0" x="385"/>
        <item sd="0" x="387"/>
        <item sd="0" m="1" x="994"/>
        <item sd="0" m="1" x="1036"/>
        <item sd="0" x="388"/>
        <item sd="0" m="1" x="964"/>
        <item sd="0" x="389"/>
        <item sd="0" x="390"/>
        <item sd="0" x="391"/>
        <item sd="0" x="392"/>
        <item sd="0" x="393"/>
        <item sd="0" x="394"/>
        <item sd="0" x="396"/>
        <item sd="0" x="397"/>
        <item sd="0" x="398"/>
        <item sd="0" x="395"/>
        <item sd="0" x="373"/>
        <item sd="0" x="399"/>
        <item sd="0" m="1" x="981"/>
        <item sd="0" x="401"/>
        <item sd="0" x="400"/>
        <item sd="0" m="1" x="1000"/>
        <item sd="0" x="402"/>
        <item sd="0" x="403"/>
        <item sd="0" x="404"/>
        <item sd="0" x="405"/>
        <item sd="0" x="406"/>
        <item sd="0" x="411"/>
        <item sd="0" m="1" x="106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0"/>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6"/>
        <item sd="0" x="465"/>
        <item sd="0" x="469"/>
        <item sd="0" x="466"/>
        <item sd="0" x="467"/>
        <item sd="0" m="1" x="991"/>
        <item sd="0" x="470"/>
        <item sd="0" m="1" x="968"/>
        <item sd="0" x="472"/>
        <item sd="0" x="475"/>
        <item sd="0" x="476"/>
        <item sd="0" x="371"/>
        <item sd="0" m="1" x="1076"/>
        <item sd="0" x="477"/>
        <item sd="0" x="478"/>
        <item sd="0" x="479"/>
        <item sd="0" x="473"/>
        <item sd="0" x="474"/>
        <item sd="0" x="480"/>
        <item sd="0" x="481"/>
        <item sd="0" x="482"/>
        <item sd="0" x="483"/>
        <item sd="0" x="484"/>
        <item sd="0" x="485"/>
        <item sd="0" x="486"/>
        <item sd="0" m="1" x="1135"/>
        <item sd="0" x="488"/>
        <item sd="0" x="489"/>
        <item sd="0" x="487"/>
        <item sd="0" x="492"/>
        <item sd="0" x="491"/>
        <item sd="0" x="312"/>
        <item sd="0" m="1" x="1118"/>
        <item sd="0" x="490"/>
        <item sd="0" x="493"/>
        <item sd="0" x="471"/>
        <item sd="0" x="494"/>
        <item sd="0" x="495"/>
        <item sd="0" m="1" x="1102"/>
        <item sd="0" x="497"/>
        <item sd="0" x="499"/>
        <item sd="0" x="500"/>
        <item sd="0" x="503"/>
        <item sd="0" m="1" x="1074"/>
        <item sd="0" m="1" x="1007"/>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7"/>
        <item sd="0" x="528"/>
        <item sd="0" x="531"/>
        <item sd="0" x="532"/>
        <item sd="0" x="529"/>
        <item sd="0" x="530"/>
        <item sd="0" x="533"/>
        <item sd="0" x="534"/>
        <item sd="0" x="538"/>
        <item sd="0" x="535"/>
        <item sd="0" x="536"/>
        <item sd="0" x="537"/>
        <item sd="0" x="542"/>
        <item sd="0" x="539"/>
        <item sd="0" x="541"/>
        <item sd="0" m="1" x="998"/>
        <item sd="0" x="547"/>
        <item sd="0" x="548"/>
        <item sd="0" x="549"/>
        <item sd="0" x="543"/>
        <item sd="0" x="544"/>
        <item sd="0" x="546"/>
        <item sd="0" x="550"/>
        <item sd="0" x="551"/>
        <item sd="0" x="545"/>
        <item sd="0" x="556"/>
        <item sd="0" x="557"/>
        <item sd="0" x="558"/>
        <item sd="0" x="559"/>
        <item sd="0" x="552"/>
        <item sd="0" x="553"/>
        <item sd="0" x="554"/>
        <item sd="0" m="1" x="1050"/>
        <item sd="0" x="431"/>
        <item sd="0" x="555"/>
        <item sd="0" x="560"/>
        <item sd="0" x="561"/>
        <item sd="0" x="563"/>
        <item sd="0" x="564"/>
        <item sd="0" x="565"/>
        <item sd="0" m="1" x="1157"/>
        <item sd="0" x="566"/>
        <item sd="0" x="567"/>
        <item sd="0" x="571"/>
        <item sd="0" x="572"/>
        <item sd="0" x="573"/>
        <item sd="0" x="574"/>
        <item sd="0" x="568"/>
        <item sd="0" x="569"/>
        <item sd="0" x="575"/>
        <item sd="0" x="570"/>
        <item sd="0" m="1" x="1072"/>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91"/>
        <item sd="0" x="635"/>
        <item sd="0" x="636"/>
        <item sd="0" x="641"/>
        <item sd="0" m="1" x="952"/>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22"/>
        <item x="683"/>
        <item x="687"/>
        <item x="689"/>
        <item x="685"/>
        <item x="686"/>
        <item x="691"/>
        <item x="684"/>
        <item x="692"/>
        <item x="693"/>
        <item x="694"/>
        <item x="695"/>
        <item x="696"/>
        <item m="1" x="996"/>
        <item x="698"/>
        <item x="699"/>
        <item x="697"/>
        <item x="701"/>
        <item x="702"/>
        <item m="1" x="1122"/>
        <item x="705"/>
        <item m="1" x="995"/>
        <item x="703"/>
        <item x="704"/>
        <item x="706"/>
        <item x="707"/>
        <item x="720"/>
        <item x="708"/>
        <item x="709"/>
        <item x="710"/>
        <item x="711"/>
        <item x="712"/>
        <item x="713"/>
        <item x="714"/>
        <item x="715"/>
        <item x="716"/>
        <item x="717"/>
        <item x="718"/>
        <item x="719"/>
        <item x="721"/>
        <item x="722"/>
        <item x="723"/>
        <item x="724"/>
        <item x="725"/>
        <item m="1" x="1021"/>
        <item x="726"/>
        <item x="727"/>
        <item x="730"/>
        <item m="1" x="1198"/>
        <item m="1" x="984"/>
        <item x="638"/>
        <item x="728"/>
        <item x="334"/>
        <item x="729"/>
        <item x="731"/>
        <item x="732"/>
        <item x="733"/>
        <item x="734"/>
        <item x="735"/>
        <item x="736"/>
        <item x="737"/>
        <item x="788"/>
        <item x="738"/>
        <item x="739"/>
        <item x="740"/>
        <item x="741"/>
        <item x="742"/>
        <item x="743"/>
        <item x="744"/>
        <item x="745"/>
        <item x="746"/>
        <item x="747"/>
        <item x="748"/>
        <item m="1" x="1004"/>
        <item x="749"/>
        <item x="756"/>
        <item x="750"/>
        <item x="751"/>
        <item m="1" x="1080"/>
        <item x="752"/>
        <item x="753"/>
        <item x="754"/>
        <item x="755"/>
        <item x="757"/>
        <item x="594"/>
        <item x="758"/>
        <item x="759"/>
        <item x="760"/>
        <item x="761"/>
        <item x="762"/>
        <item x="763"/>
        <item x="764"/>
        <item x="765"/>
        <item x="766"/>
        <item x="767"/>
        <item x="768"/>
        <item m="1" x="1065"/>
        <item x="922"/>
        <item x="770"/>
        <item x="771"/>
        <item x="772"/>
        <item x="769"/>
        <item x="773"/>
        <item m="1" x="967"/>
        <item x="774"/>
        <item x="775"/>
        <item x="776"/>
        <item x="777"/>
        <item x="778"/>
        <item m="1" x="1053"/>
        <item x="780"/>
        <item x="781"/>
        <item x="782"/>
        <item x="783"/>
        <item x="527"/>
        <item m="1" x="1162"/>
        <item x="784"/>
        <item x="785"/>
        <item x="786"/>
        <item x="787"/>
        <item x="789"/>
        <item x="790"/>
        <item x="791"/>
        <item x="792"/>
        <item x="793"/>
        <item x="794"/>
        <item x="795"/>
        <item x="796"/>
        <item x="802"/>
        <item x="797"/>
        <item x="798"/>
        <item x="799"/>
        <item x="800"/>
        <item x="801"/>
        <item x="803"/>
        <item x="804"/>
        <item x="805"/>
        <item x="806"/>
        <item x="812"/>
        <item x="807"/>
        <item x="808"/>
        <item m="1" x="1095"/>
        <item x="809"/>
        <item x="810"/>
        <item m="1" x="1159"/>
        <item x="811"/>
        <item m="1" x="1029"/>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61"/>
        <item x="872"/>
        <item x="873"/>
        <item x="874"/>
        <item x="876"/>
        <item x="877"/>
        <item x="813"/>
        <item m="1" x="942"/>
        <item x="879"/>
        <item m="1" x="1031"/>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44"/>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t="default" sd="0"/>
      </items>
    </pivotField>
    <pivotField axis="axisPage" showAll="0">
      <items count="1199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1991"/>
        <item x="11993"/>
        <item x="11935"/>
        <item x="11936"/>
        <item x="11937"/>
        <item x="11938"/>
        <item x="11939"/>
        <item x="11940"/>
        <item x="11941"/>
        <item x="11942"/>
        <item x="11943"/>
        <item x="11944"/>
        <item x="11947"/>
        <item x="11948"/>
        <item x="11949"/>
        <item x="11950"/>
        <item x="11951"/>
        <item x="11952"/>
        <item x="11953"/>
        <item x="11954"/>
        <item x="11959"/>
        <item x="11988"/>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1992"/>
        <item x="11977"/>
        <item x="11978"/>
        <item x="11979"/>
        <item x="11980"/>
        <item x="11981"/>
        <item x="11982"/>
        <item x="11983"/>
        <item x="11984"/>
        <item x="11985"/>
        <item x="11986"/>
        <item x="11987"/>
        <item x="11989"/>
        <item x="11990"/>
        <item t="default"/>
      </items>
    </pivotField>
    <pivotField dataField="1" showAll="0"/>
    <pivotField dataField="1" showAll="0"/>
    <pivotField dataField="1" showAll="0"/>
    <pivotField axis="axisPage" multipleItemSelectionAllowed="1" showAll="0">
      <items count="285">
        <item m="1" x="276"/>
        <item m="1" x="256"/>
        <item m="1" x="262"/>
        <item m="1" x="253"/>
        <item m="1" x="252"/>
        <item m="1" x="266"/>
        <item m="1" x="260"/>
        <item m="1" x="255"/>
        <item m="1" x="274"/>
        <item m="1" x="257"/>
        <item m="1" x="258"/>
        <item m="1" x="265"/>
        <item x="8"/>
        <item x="20"/>
        <item x="32"/>
        <item x="1"/>
        <item x="12"/>
        <item x="24"/>
        <item x="37"/>
        <item x="4"/>
        <item x="16"/>
        <item x="28"/>
        <item x="41"/>
        <item x="6"/>
        <item x="18"/>
        <item x="30"/>
        <item x="5"/>
        <item x="17"/>
        <item x="29"/>
        <item m="1" x="259"/>
        <item x="11"/>
        <item x="23"/>
        <item x="35"/>
        <item x="0"/>
        <item x="10"/>
        <item x="22"/>
        <item x="34"/>
        <item x="7"/>
        <item x="19"/>
        <item x="31"/>
        <item x="9"/>
        <item x="21"/>
        <item x="33"/>
        <item x="3"/>
        <item x="15"/>
        <item x="27"/>
        <item x="40"/>
        <item m="1" x="28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2"/>
        <item m="1" x="270"/>
        <item m="1" x="268"/>
        <item m="1" x="267"/>
        <item m="1" x="264"/>
        <item m="1" x="281"/>
        <item m="1" x="280"/>
        <item m="1" x="279"/>
        <item m="1" x="278"/>
        <item m="1" x="277"/>
        <item m="1" x="275"/>
        <item m="1" x="273"/>
        <item m="1" x="271"/>
        <item m="1" x="269"/>
        <item x="83"/>
        <item x="84"/>
        <item x="85"/>
        <item x="86"/>
        <item x="87"/>
        <item x="88"/>
        <item x="89"/>
        <item x="90"/>
        <item x="92"/>
        <item x="93"/>
        <item x="91"/>
        <item x="95"/>
        <item x="96"/>
        <item x="97"/>
        <item x="106"/>
        <item x="98"/>
        <item x="99"/>
        <item x="100"/>
        <item x="101"/>
        <item x="102"/>
        <item x="103"/>
        <item x="104"/>
        <item x="105"/>
        <item x="107"/>
        <item x="108"/>
        <item x="119"/>
        <item m="1" x="283"/>
        <item m="1" x="251"/>
        <item m="1" x="254"/>
        <item m="1" x="261"/>
        <item m="1" x="263"/>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1"/>
    <field x="2"/>
  </rowFields>
  <rowItems count="153">
    <i>
      <x/>
    </i>
    <i>
      <x v="1"/>
    </i>
    <i>
      <x v="3"/>
    </i>
    <i>
      <x v="4"/>
    </i>
    <i>
      <x v="5"/>
    </i>
    <i>
      <x v="6"/>
    </i>
    <i>
      <x v="7"/>
    </i>
    <i>
      <x v="8"/>
    </i>
    <i>
      <x v="10"/>
    </i>
    <i>
      <x v="12"/>
    </i>
    <i>
      <x v="13"/>
    </i>
    <i>
      <x v="15"/>
    </i>
    <i>
      <x v="16"/>
    </i>
    <i>
      <x v="17"/>
    </i>
    <i>
      <x v="18"/>
    </i>
    <i>
      <x v="19"/>
    </i>
    <i>
      <x v="20"/>
    </i>
    <i>
      <x v="21"/>
    </i>
    <i>
      <x v="22"/>
    </i>
    <i>
      <x v="23"/>
    </i>
    <i>
      <x v="24"/>
    </i>
    <i>
      <x v="25"/>
    </i>
    <i>
      <x v="27"/>
    </i>
    <i>
      <x v="28"/>
    </i>
    <i>
      <x v="29"/>
    </i>
    <i>
      <x v="30"/>
    </i>
    <i>
      <x v="31"/>
    </i>
    <i>
      <x v="33"/>
    </i>
    <i>
      <x v="34"/>
    </i>
    <i>
      <x v="36"/>
    </i>
    <i>
      <x v="37"/>
    </i>
    <i>
      <x v="38"/>
    </i>
    <i>
      <x v="39"/>
    </i>
    <i>
      <x v="40"/>
    </i>
    <i>
      <x v="41"/>
    </i>
    <i>
      <x v="42"/>
    </i>
    <i>
      <x v="43"/>
    </i>
    <i>
      <x v="44"/>
    </i>
    <i>
      <x v="45"/>
    </i>
    <i>
      <x v="47"/>
    </i>
    <i>
      <x v="48"/>
    </i>
    <i>
      <x v="49"/>
    </i>
    <i>
      <x v="50"/>
    </i>
    <i>
      <x v="51"/>
    </i>
    <i>
      <x v="52"/>
    </i>
    <i>
      <x v="53"/>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6"/>
    </i>
    <i>
      <x v="108"/>
    </i>
    <i>
      <x v="109"/>
    </i>
    <i>
      <x v="110"/>
    </i>
    <i>
      <x v="111"/>
    </i>
    <i>
      <x v="112"/>
    </i>
    <i>
      <x v="113"/>
    </i>
    <i>
      <x v="114"/>
    </i>
    <i>
      <x v="115"/>
    </i>
    <i>
      <x v="116"/>
    </i>
    <i>
      <x v="123"/>
    </i>
    <i>
      <x v="136"/>
    </i>
    <i>
      <x v="140"/>
    </i>
    <i>
      <x v="142"/>
    </i>
    <i>
      <x v="155"/>
    </i>
    <i>
      <x v="157"/>
    </i>
    <i>
      <x v="171"/>
    </i>
    <i>
      <x v="173"/>
    </i>
    <i>
      <x v="175"/>
    </i>
    <i>
      <x v="178"/>
    </i>
    <i>
      <x v="180"/>
    </i>
    <i>
      <x v="185"/>
    </i>
    <i>
      <x v="191"/>
    </i>
    <i>
      <x v="197"/>
    </i>
    <i>
      <x v="209"/>
    </i>
    <i>
      <x v="221"/>
    </i>
    <i>
      <x v="223"/>
    </i>
    <i>
      <x v="224"/>
    </i>
    <i>
      <x v="225"/>
    </i>
    <i>
      <x v="226"/>
    </i>
    <i>
      <x v="229"/>
    </i>
    <i>
      <x v="234"/>
    </i>
    <i>
      <x v="235"/>
    </i>
    <i>
      <x v="236"/>
    </i>
    <i>
      <x v="238"/>
    </i>
    <i>
      <x v="240"/>
    </i>
    <i>
      <x v="241"/>
    </i>
    <i>
      <x v="244"/>
    </i>
    <i>
      <x v="254"/>
    </i>
    <i>
      <x v="258"/>
    </i>
    <i>
      <x v="263"/>
    </i>
    <i>
      <x v="269"/>
    </i>
    <i>
      <x v="273"/>
    </i>
    <i>
      <x v="275"/>
    </i>
    <i>
      <x v="276"/>
    </i>
    <i>
      <x v="277"/>
    </i>
    <i>
      <x v="279"/>
    </i>
    <i>
      <x v="280"/>
    </i>
    <i>
      <x v="284"/>
    </i>
    <i>
      <x v="287"/>
    </i>
    <i>
      <x v="291"/>
    </i>
    <i>
      <x v="293"/>
    </i>
    <i>
      <x v="297"/>
    </i>
    <i r="1">
      <x v="311"/>
    </i>
    <i>
      <x v="298"/>
    </i>
    <i r="1">
      <x v="311"/>
    </i>
    <i>
      <x v="299"/>
    </i>
    <i r="1">
      <x v="44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85">
    <format dxfId="2554">
      <pivotArea type="all" dataOnly="0" outline="0" fieldPosition="0"/>
    </format>
    <format dxfId="2553">
      <pivotArea outline="0" collapsedLevelsAreSubtotals="1" fieldPosition="0"/>
    </format>
    <format dxfId="2552">
      <pivotArea dataOnly="0" labelOnly="1" outline="0" fieldPosition="0">
        <references count="1">
          <reference field="4294967294" count="3">
            <x v="0"/>
            <x v="1"/>
            <x v="2"/>
          </reference>
        </references>
      </pivotArea>
    </format>
    <format dxfId="2551">
      <pivotArea type="all" dataOnly="0" outline="0" fieldPosition="0"/>
    </format>
    <format dxfId="2550">
      <pivotArea outline="0" collapsedLevelsAreSubtotals="1" fieldPosition="0"/>
    </format>
    <format dxfId="2549">
      <pivotArea field="1" type="button" dataOnly="0" labelOnly="1" outline="0" axis="axisRow" fieldPosition="0"/>
    </format>
    <format dxfId="2548">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2547">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2546">
      <pivotArea dataOnly="0" labelOnly="1" grandRow="1" outline="0" fieldPosition="0"/>
    </format>
    <format dxfId="2545">
      <pivotArea dataOnly="0" labelOnly="1" outline="0" fieldPosition="0">
        <references count="1">
          <reference field="4294967294" count="3">
            <x v="0"/>
            <x v="1"/>
            <x v="2"/>
          </reference>
        </references>
      </pivotArea>
    </format>
    <format dxfId="2544">
      <pivotArea type="all" dataOnly="0" outline="0" fieldPosition="0"/>
    </format>
    <format dxfId="2543">
      <pivotArea outline="0" collapsedLevelsAreSubtotals="1" fieldPosition="0"/>
    </format>
    <format dxfId="2542">
      <pivotArea field="1" type="button" dataOnly="0" labelOnly="1" outline="0" axis="axisRow" fieldPosition="0"/>
    </format>
    <format dxfId="2541">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2540">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2539">
      <pivotArea dataOnly="0" labelOnly="1" grandRow="1" outline="0" fieldPosition="0"/>
    </format>
    <format dxfId="2538">
      <pivotArea dataOnly="0" labelOnly="1" outline="0" fieldPosition="0">
        <references count="1">
          <reference field="4294967294" count="3">
            <x v="0"/>
            <x v="1"/>
            <x v="2"/>
          </reference>
        </references>
      </pivotArea>
    </format>
    <format dxfId="2537">
      <pivotArea type="all" dataOnly="0" outline="0" fieldPosition="0"/>
    </format>
    <format dxfId="2536">
      <pivotArea field="1" type="button" dataOnly="0" labelOnly="1" outline="0" axis="axisRow" fieldPosition="0"/>
    </format>
    <format dxfId="2535">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2534">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2533">
      <pivotArea dataOnly="0" labelOnly="1" outline="0" fieldPosition="0">
        <references count="1">
          <reference field="4294967294" count="3">
            <x v="0"/>
            <x v="1"/>
            <x v="2"/>
          </reference>
        </references>
      </pivotArea>
    </format>
    <format dxfId="2532">
      <pivotArea dataOnly="0" labelOnly="1" outline="0" fieldPosition="0">
        <references count="1">
          <reference field="4294967294" count="1">
            <x v="2"/>
          </reference>
        </references>
      </pivotArea>
    </format>
    <format dxfId="2531">
      <pivotArea dataOnly="0" labelOnly="1" outline="0" fieldPosition="0">
        <references count="1">
          <reference field="4294967294" count="1">
            <x v="2"/>
          </reference>
        </references>
      </pivotArea>
    </format>
    <format dxfId="2530">
      <pivotArea dataOnly="0" labelOnly="1" outline="0" fieldPosition="0">
        <references count="1">
          <reference field="4294967294" count="2">
            <x v="0"/>
            <x v="1"/>
          </reference>
        </references>
      </pivotArea>
    </format>
    <format dxfId="2529">
      <pivotArea dataOnly="0" labelOnly="1" outline="0" fieldPosition="0">
        <references count="1">
          <reference field="4294967294" count="2">
            <x v="0"/>
            <x v="1"/>
          </reference>
        </references>
      </pivotArea>
    </format>
    <format dxfId="2528">
      <pivotArea dataOnly="0" labelOnly="1" outline="0" fieldPosition="0">
        <references count="1">
          <reference field="4294967294" count="2">
            <x v="0"/>
            <x v="1"/>
          </reference>
        </references>
      </pivotArea>
    </format>
    <format dxfId="2527">
      <pivotArea dataOnly="0" labelOnly="1" outline="0" fieldPosition="0">
        <references count="1">
          <reference field="4294967294" count="2">
            <x v="0"/>
            <x v="1"/>
          </reference>
        </references>
      </pivotArea>
    </format>
    <format dxfId="2526">
      <pivotArea field="1" type="button" dataOnly="0" labelOnly="1" outline="0" axis="axisRow" fieldPosition="0"/>
    </format>
    <format dxfId="2525">
      <pivotArea field="1" type="button" dataOnly="0" labelOnly="1" outline="0" axis="axisRow" fieldPosition="0"/>
    </format>
    <format dxfId="2524">
      <pivotArea field="1" type="button" dataOnly="0" labelOnly="1" outline="0" axis="axisRow" fieldPosition="0"/>
    </format>
    <format dxfId="2523">
      <pivotArea dataOnly="0" labelOnly="1" outline="0" fieldPosition="0">
        <references count="1">
          <reference field="4294967294" count="3">
            <x v="0"/>
            <x v="1"/>
            <x v="2"/>
          </reference>
        </references>
      </pivotArea>
    </format>
    <format dxfId="2522">
      <pivotArea field="1" type="button" dataOnly="0" labelOnly="1" outline="0" axis="axisRow" fieldPosition="0"/>
    </format>
    <format dxfId="2521">
      <pivotArea dataOnly="0" labelOnly="1" outline="0" fieldPosition="0">
        <references count="1">
          <reference field="4294967294" count="3">
            <x v="0"/>
            <x v="1"/>
            <x v="2"/>
          </reference>
        </references>
      </pivotArea>
    </format>
    <format dxfId="2520">
      <pivotArea dataOnly="0" labelOnly="1" fieldPosition="0">
        <references count="1">
          <reference field="1" count="49">
            <x v="98"/>
            <x v="99"/>
            <x v="115"/>
            <x v="116"/>
            <x v="117"/>
            <x v="118"/>
            <x v="119"/>
            <x v="120"/>
            <x v="121"/>
            <x v="122"/>
            <x v="123"/>
            <x v="124"/>
            <x v="125"/>
            <x v="126"/>
            <x v="128"/>
            <x v="129"/>
            <x v="130"/>
            <x v="131"/>
            <x v="132"/>
            <x v="133"/>
            <x v="143"/>
            <x v="144"/>
            <x v="145"/>
            <x v="146"/>
            <x v="147"/>
            <x v="148"/>
            <x v="149"/>
            <x v="150"/>
            <x v="151"/>
            <x v="152"/>
            <x v="153"/>
            <x v="154"/>
            <x v="155"/>
            <x v="156"/>
            <x v="157"/>
            <x v="158"/>
            <x v="159"/>
            <x v="160"/>
            <x v="161"/>
            <x v="162"/>
            <x v="163"/>
            <x v="164"/>
            <x v="165"/>
            <x v="196"/>
            <x v="197"/>
            <x v="230"/>
            <x v="231"/>
            <x v="232"/>
            <x v="234"/>
          </reference>
        </references>
      </pivotArea>
    </format>
    <format dxfId="2519">
      <pivotArea dataOnly="0" labelOnly="1" fieldPosition="0">
        <references count="1">
          <reference field="1" count="47">
            <x v="88"/>
            <x v="95"/>
            <x v="96"/>
            <x v="110"/>
            <x v="127"/>
            <x v="134"/>
            <x v="135"/>
            <x v="136"/>
            <x v="137"/>
            <x v="138"/>
            <x v="139"/>
            <x v="140"/>
            <x v="141"/>
            <x v="142"/>
            <x v="166"/>
            <x v="167"/>
            <x v="168"/>
            <x v="169"/>
            <x v="170"/>
            <x v="171"/>
            <x v="172"/>
            <x v="173"/>
            <x v="174"/>
            <x v="175"/>
            <x v="176"/>
            <x v="177"/>
            <x v="178"/>
            <x v="179"/>
            <x v="180"/>
            <x v="181"/>
            <x v="182"/>
            <x v="183"/>
            <x v="184"/>
            <x v="185"/>
            <x v="186"/>
            <x v="187"/>
            <x v="188"/>
            <x v="189"/>
            <x v="190"/>
            <x v="191"/>
            <x v="192"/>
            <x v="193"/>
            <x v="194"/>
            <x v="195"/>
            <x v="233"/>
            <x v="236"/>
            <x v="238"/>
          </reference>
        </references>
      </pivotArea>
    </format>
    <format dxfId="2518">
      <pivotArea collapsedLevelsAreSubtotals="1" fieldPosition="0">
        <references count="1">
          <reference field="1" count="1">
            <x v="143"/>
          </reference>
        </references>
      </pivotArea>
    </format>
    <format dxfId="2517">
      <pivotArea collapsedLevelsAreSubtotals="1" fieldPosition="0">
        <references count="1">
          <reference field="1" count="1">
            <x v="144"/>
          </reference>
        </references>
      </pivotArea>
    </format>
    <format dxfId="2516">
      <pivotArea collapsedLevelsAreSubtotals="1" fieldPosition="0">
        <references count="1">
          <reference field="1" count="1">
            <x v="145"/>
          </reference>
        </references>
      </pivotArea>
    </format>
    <format dxfId="2515">
      <pivotArea collapsedLevelsAreSubtotals="1" fieldPosition="0">
        <references count="1">
          <reference field="1" count="1">
            <x v="146"/>
          </reference>
        </references>
      </pivotArea>
    </format>
    <format dxfId="2514">
      <pivotArea collapsedLevelsAreSubtotals="1" fieldPosition="0">
        <references count="1">
          <reference field="1" count="1">
            <x v="147"/>
          </reference>
        </references>
      </pivotArea>
    </format>
    <format dxfId="2513">
      <pivotArea collapsedLevelsAreSubtotals="1" fieldPosition="0">
        <references count="1">
          <reference field="1" count="1">
            <x v="148"/>
          </reference>
        </references>
      </pivotArea>
    </format>
    <format dxfId="2512">
      <pivotArea collapsedLevelsAreSubtotals="1" fieldPosition="0">
        <references count="1">
          <reference field="1" count="1">
            <x v="149"/>
          </reference>
        </references>
      </pivotArea>
    </format>
    <format dxfId="2511">
      <pivotArea collapsedLevelsAreSubtotals="1" fieldPosition="0">
        <references count="1">
          <reference field="1" count="1">
            <x v="150"/>
          </reference>
        </references>
      </pivotArea>
    </format>
    <format dxfId="2510">
      <pivotArea collapsedLevelsAreSubtotals="1" fieldPosition="0">
        <references count="1">
          <reference field="1" count="1">
            <x v="151"/>
          </reference>
        </references>
      </pivotArea>
    </format>
    <format dxfId="2509">
      <pivotArea collapsedLevelsAreSubtotals="1" fieldPosition="0">
        <references count="1">
          <reference field="1" count="1">
            <x v="152"/>
          </reference>
        </references>
      </pivotArea>
    </format>
    <format dxfId="2508">
      <pivotArea collapsedLevelsAreSubtotals="1" fieldPosition="0">
        <references count="1">
          <reference field="1" count="1">
            <x v="153"/>
          </reference>
        </references>
      </pivotArea>
    </format>
    <format dxfId="2507">
      <pivotArea collapsedLevelsAreSubtotals="1" fieldPosition="0">
        <references count="1">
          <reference field="1" count="1">
            <x v="154"/>
          </reference>
        </references>
      </pivotArea>
    </format>
    <format dxfId="2506">
      <pivotArea collapsedLevelsAreSubtotals="1" fieldPosition="0">
        <references count="1">
          <reference field="1" count="1">
            <x v="155"/>
          </reference>
        </references>
      </pivotArea>
    </format>
    <format dxfId="2505">
      <pivotArea collapsedLevelsAreSubtotals="1" fieldPosition="0">
        <references count="1">
          <reference field="1" count="1">
            <x v="156"/>
          </reference>
        </references>
      </pivotArea>
    </format>
    <format dxfId="2504">
      <pivotArea collapsedLevelsAreSubtotals="1" fieldPosition="0">
        <references count="1">
          <reference field="1" count="1">
            <x v="157"/>
          </reference>
        </references>
      </pivotArea>
    </format>
    <format dxfId="2503">
      <pivotArea collapsedLevelsAreSubtotals="1" fieldPosition="0">
        <references count="1">
          <reference field="1" count="1">
            <x v="158"/>
          </reference>
        </references>
      </pivotArea>
    </format>
    <format dxfId="2502">
      <pivotArea collapsedLevelsAreSubtotals="1" fieldPosition="0">
        <references count="1">
          <reference field="1" count="1">
            <x v="159"/>
          </reference>
        </references>
      </pivotArea>
    </format>
    <format dxfId="2501">
      <pivotArea collapsedLevelsAreSubtotals="1" fieldPosition="0">
        <references count="1">
          <reference field="1" count="1">
            <x v="160"/>
          </reference>
        </references>
      </pivotArea>
    </format>
    <format dxfId="2500">
      <pivotArea collapsedLevelsAreSubtotals="1" fieldPosition="0">
        <references count="1">
          <reference field="1" count="1">
            <x v="161"/>
          </reference>
        </references>
      </pivotArea>
    </format>
    <format dxfId="2499">
      <pivotArea collapsedLevelsAreSubtotals="1" fieldPosition="0">
        <references count="1">
          <reference field="1" count="1">
            <x v="162"/>
          </reference>
        </references>
      </pivotArea>
    </format>
    <format dxfId="2498">
      <pivotArea collapsedLevelsAreSubtotals="1" fieldPosition="0">
        <references count="1">
          <reference field="1" count="1">
            <x v="163"/>
          </reference>
        </references>
      </pivotArea>
    </format>
    <format dxfId="2497">
      <pivotArea collapsedLevelsAreSubtotals="1" fieldPosition="0">
        <references count="1">
          <reference field="1" count="1">
            <x v="164"/>
          </reference>
        </references>
      </pivotArea>
    </format>
    <format dxfId="2496">
      <pivotArea collapsedLevelsAreSubtotals="1" fieldPosition="0">
        <references count="1">
          <reference field="1" count="1">
            <x v="165"/>
          </reference>
        </references>
      </pivotArea>
    </format>
    <format dxfId="2495">
      <pivotArea collapsedLevelsAreSubtotals="1" fieldPosition="0">
        <references count="1">
          <reference field="1" count="1">
            <x v="166"/>
          </reference>
        </references>
      </pivotArea>
    </format>
    <format dxfId="2494">
      <pivotArea collapsedLevelsAreSubtotals="1" fieldPosition="0">
        <references count="1">
          <reference field="1" count="1">
            <x v="167"/>
          </reference>
        </references>
      </pivotArea>
    </format>
    <format dxfId="2493">
      <pivotArea collapsedLevelsAreSubtotals="1" fieldPosition="0">
        <references count="1">
          <reference field="1" count="1">
            <x v="168"/>
          </reference>
        </references>
      </pivotArea>
    </format>
    <format dxfId="2492">
      <pivotArea collapsedLevelsAreSubtotals="1" fieldPosition="0">
        <references count="1">
          <reference field="1" count="1">
            <x v="169"/>
          </reference>
        </references>
      </pivotArea>
    </format>
    <format dxfId="2491">
      <pivotArea collapsedLevelsAreSubtotals="1" fieldPosition="0">
        <references count="1">
          <reference field="1" count="1">
            <x v="170"/>
          </reference>
        </references>
      </pivotArea>
    </format>
    <format dxfId="2490">
      <pivotArea collapsedLevelsAreSubtotals="1" fieldPosition="0">
        <references count="1">
          <reference field="1" count="1">
            <x v="171"/>
          </reference>
        </references>
      </pivotArea>
    </format>
    <format dxfId="2489">
      <pivotArea collapsedLevelsAreSubtotals="1" fieldPosition="0">
        <references count="1">
          <reference field="1" count="1">
            <x v="172"/>
          </reference>
        </references>
      </pivotArea>
    </format>
    <format dxfId="2488">
      <pivotArea collapsedLevelsAreSubtotals="1" fieldPosition="0">
        <references count="1">
          <reference field="1" count="1">
            <x v="173"/>
          </reference>
        </references>
      </pivotArea>
    </format>
    <format dxfId="2487">
      <pivotArea collapsedLevelsAreSubtotals="1" fieldPosition="0">
        <references count="1">
          <reference field="1" count="1">
            <x v="174"/>
          </reference>
        </references>
      </pivotArea>
    </format>
    <format dxfId="2486">
      <pivotArea collapsedLevelsAreSubtotals="1" fieldPosition="0">
        <references count="1">
          <reference field="1" count="1">
            <x v="175"/>
          </reference>
        </references>
      </pivotArea>
    </format>
    <format dxfId="2485">
      <pivotArea collapsedLevelsAreSubtotals="1" fieldPosition="0">
        <references count="1">
          <reference field="1" count="1">
            <x v="176"/>
          </reference>
        </references>
      </pivotArea>
    </format>
    <format dxfId="2484">
      <pivotArea collapsedLevelsAreSubtotals="1" fieldPosition="0">
        <references count="1">
          <reference field="1" count="1">
            <x v="177"/>
          </reference>
        </references>
      </pivotArea>
    </format>
    <format dxfId="2483">
      <pivotArea collapsedLevelsAreSubtotals="1" fieldPosition="0">
        <references count="1">
          <reference field="1" count="1">
            <x v="178"/>
          </reference>
        </references>
      </pivotArea>
    </format>
    <format dxfId="2482">
      <pivotArea collapsedLevelsAreSubtotals="1" fieldPosition="0">
        <references count="1">
          <reference field="1" count="1">
            <x v="88"/>
          </reference>
        </references>
      </pivotArea>
    </format>
    <format dxfId="2481">
      <pivotArea collapsedLevelsAreSubtotals="1" fieldPosition="0">
        <references count="1">
          <reference field="1" count="1">
            <x v="179"/>
          </reference>
        </references>
      </pivotArea>
    </format>
    <format dxfId="2480">
      <pivotArea collapsedLevelsAreSubtotals="1" fieldPosition="0">
        <references count="1">
          <reference field="1" count="1">
            <x v="180"/>
          </reference>
        </references>
      </pivotArea>
    </format>
    <format dxfId="2479">
      <pivotArea collapsedLevelsAreSubtotals="1" fieldPosition="0">
        <references count="1">
          <reference field="1" count="1">
            <x v="181"/>
          </reference>
        </references>
      </pivotArea>
    </format>
    <format dxfId="2478">
      <pivotArea collapsedLevelsAreSubtotals="1" fieldPosition="0">
        <references count="1">
          <reference field="1" count="1">
            <x v="182"/>
          </reference>
        </references>
      </pivotArea>
    </format>
    <format dxfId="2477">
      <pivotArea collapsedLevelsAreSubtotals="1" fieldPosition="0">
        <references count="1">
          <reference field="1" count="1">
            <x v="183"/>
          </reference>
        </references>
      </pivotArea>
    </format>
    <format dxfId="2476">
      <pivotArea collapsedLevelsAreSubtotals="1" fieldPosition="0">
        <references count="1">
          <reference field="1" count="1">
            <x v="184"/>
          </reference>
        </references>
      </pivotArea>
    </format>
    <format dxfId="2475">
      <pivotArea collapsedLevelsAreSubtotals="1" fieldPosition="0">
        <references count="1">
          <reference field="1" count="1">
            <x v="185"/>
          </reference>
        </references>
      </pivotArea>
    </format>
    <format dxfId="2474">
      <pivotArea collapsedLevelsAreSubtotals="1" fieldPosition="0">
        <references count="1">
          <reference field="1" count="1">
            <x v="186"/>
          </reference>
        </references>
      </pivotArea>
    </format>
    <format dxfId="2473">
      <pivotArea collapsedLevelsAreSubtotals="1" fieldPosition="0">
        <references count="1">
          <reference field="1" count="1">
            <x v="187"/>
          </reference>
        </references>
      </pivotArea>
    </format>
    <format dxfId="2472">
      <pivotArea collapsedLevelsAreSubtotals="1" fieldPosition="0">
        <references count="1">
          <reference field="1" count="1">
            <x v="188"/>
          </reference>
        </references>
      </pivotArea>
    </format>
    <format dxfId="2471">
      <pivotArea collapsedLevelsAreSubtotals="1" fieldPosition="0">
        <references count="1">
          <reference field="1" count="1">
            <x v="189"/>
          </reference>
        </references>
      </pivotArea>
    </format>
    <format dxfId="2470">
      <pivotArea collapsedLevelsAreSubtotals="1" fieldPosition="0">
        <references count="1">
          <reference field="1" count="1">
            <x v="190"/>
          </reference>
        </references>
      </pivotArea>
    </format>
    <format dxfId="2469">
      <pivotArea collapsedLevelsAreSubtotals="1" fieldPosition="0">
        <references count="1">
          <reference field="1" count="1">
            <x v="191"/>
          </reference>
        </references>
      </pivotArea>
    </format>
    <format dxfId="2468">
      <pivotArea collapsedLevelsAreSubtotals="1" fieldPosition="0">
        <references count="1">
          <reference field="1" count="1">
            <x v="192"/>
          </reference>
        </references>
      </pivotArea>
    </format>
    <format dxfId="2467">
      <pivotArea collapsedLevelsAreSubtotals="1" fieldPosition="0">
        <references count="1">
          <reference field="1" count="1">
            <x v="193"/>
          </reference>
        </references>
      </pivotArea>
    </format>
    <format dxfId="2466">
      <pivotArea collapsedLevelsAreSubtotals="1" fieldPosition="0">
        <references count="1">
          <reference field="1" count="1">
            <x v="194"/>
          </reference>
        </references>
      </pivotArea>
    </format>
    <format dxfId="2465">
      <pivotArea collapsedLevelsAreSubtotals="1" fieldPosition="0">
        <references count="1">
          <reference field="1" count="1">
            <x v="195"/>
          </reference>
        </references>
      </pivotArea>
    </format>
    <format dxfId="2464">
      <pivotArea collapsedLevelsAreSubtotals="1" fieldPosition="0">
        <references count="1">
          <reference field="1" count="1">
            <x v="196"/>
          </reference>
        </references>
      </pivotArea>
    </format>
    <format dxfId="2463">
      <pivotArea dataOnly="0" labelOnly="1" fieldPosition="0">
        <references count="1">
          <reference field="1" count="50">
            <x v="88"/>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2462">
      <pivotArea dataOnly="0" labelOnly="1" fieldPosition="0">
        <references count="1">
          <reference field="1" count="5">
            <x v="192"/>
            <x v="193"/>
            <x v="194"/>
            <x v="195"/>
            <x v="196"/>
          </reference>
        </references>
      </pivotArea>
    </format>
    <format dxfId="2461">
      <pivotArea dataOnly="0" labelOnly="1" outline="0" fieldPosition="0">
        <references count="1">
          <reference field="4294967294" count="1">
            <x v="2"/>
          </reference>
        </references>
      </pivotArea>
    </format>
    <format dxfId="2460">
      <pivotArea dataOnly="0" labelOnly="1" fieldPosition="0">
        <references count="1">
          <reference field="1" count="7">
            <x v="197"/>
            <x v="198"/>
            <x v="199"/>
            <x v="200"/>
            <x v="201"/>
            <x v="202"/>
            <x v="204"/>
          </reference>
        </references>
      </pivotArea>
    </format>
    <format dxfId="2459">
      <pivotArea dataOnly="0" labelOnly="1" fieldPosition="0">
        <references count="1">
          <reference field="1" count="7">
            <x v="197"/>
            <x v="198"/>
            <x v="199"/>
            <x v="200"/>
            <x v="201"/>
            <x v="202"/>
            <x v="204"/>
          </reference>
        </references>
      </pivotArea>
    </format>
    <format dxfId="2458">
      <pivotArea collapsedLevelsAreSubtotals="1" fieldPosition="0">
        <references count="1">
          <reference field="1" count="1">
            <x v="197"/>
          </reference>
        </references>
      </pivotArea>
    </format>
    <format dxfId="2457">
      <pivotArea collapsedLevelsAreSubtotals="1" fieldPosition="0">
        <references count="1">
          <reference field="1" count="1">
            <x v="198"/>
          </reference>
        </references>
      </pivotArea>
    </format>
    <format dxfId="2456">
      <pivotArea collapsedLevelsAreSubtotals="1" fieldPosition="0">
        <references count="1">
          <reference field="1" count="1">
            <x v="199"/>
          </reference>
        </references>
      </pivotArea>
    </format>
    <format dxfId="2455">
      <pivotArea collapsedLevelsAreSubtotals="1" fieldPosition="0">
        <references count="1">
          <reference field="1" count="1">
            <x v="200"/>
          </reference>
        </references>
      </pivotArea>
    </format>
    <format dxfId="2454">
      <pivotArea collapsedLevelsAreSubtotals="1" fieldPosition="0">
        <references count="1">
          <reference field="1" count="1">
            <x v="201"/>
          </reference>
        </references>
      </pivotArea>
    </format>
    <format dxfId="2453">
      <pivotArea collapsedLevelsAreSubtotals="1" fieldPosition="0">
        <references count="1">
          <reference field="1" count="1">
            <x v="202"/>
          </reference>
        </references>
      </pivotArea>
    </format>
    <format dxfId="2452">
      <pivotArea collapsedLevelsAreSubtotals="1" fieldPosition="0">
        <references count="1">
          <reference field="1" count="1">
            <x v="204"/>
          </reference>
        </references>
      </pivotArea>
    </format>
    <format dxfId="2451">
      <pivotArea dataOnly="0" labelOnly="1" fieldPosition="0">
        <references count="1">
          <reference field="1" count="4">
            <x v="98"/>
            <x v="99"/>
            <x v="234"/>
            <x v="236"/>
          </reference>
        </references>
      </pivotArea>
    </format>
    <format dxfId="2450">
      <pivotArea dataOnly="0" labelOnly="1" fieldPosition="0">
        <references count="1">
          <reference field="1" count="3">
            <x v="95"/>
            <x v="96"/>
            <x v="110"/>
          </reference>
        </references>
      </pivotArea>
    </format>
    <format dxfId="2449">
      <pivotArea collapsedLevelsAreSubtotals="1" fieldPosition="0">
        <references count="1">
          <reference field="1" count="1">
            <x v="232"/>
          </reference>
        </references>
      </pivotArea>
    </format>
    <format dxfId="2448">
      <pivotArea collapsedLevelsAreSubtotals="1" fieldPosition="0">
        <references count="1">
          <reference field="1" count="1">
            <x v="231"/>
          </reference>
        </references>
      </pivotArea>
    </format>
    <format dxfId="2447">
      <pivotArea collapsedLevelsAreSubtotals="1" fieldPosition="0">
        <references count="1">
          <reference field="1" count="1">
            <x v="115"/>
          </reference>
        </references>
      </pivotArea>
    </format>
    <format dxfId="2446">
      <pivotArea collapsedLevelsAreSubtotals="1" fieldPosition="0">
        <references count="1">
          <reference field="1" count="1">
            <x v="116"/>
          </reference>
        </references>
      </pivotArea>
    </format>
    <format dxfId="2445">
      <pivotArea collapsedLevelsAreSubtotals="1" fieldPosition="0">
        <references count="1">
          <reference field="1" count="1">
            <x v="117"/>
          </reference>
        </references>
      </pivotArea>
    </format>
    <format dxfId="2444">
      <pivotArea collapsedLevelsAreSubtotals="1" fieldPosition="0">
        <references count="1">
          <reference field="1" count="1">
            <x v="118"/>
          </reference>
        </references>
      </pivotArea>
    </format>
    <format dxfId="2443">
      <pivotArea collapsedLevelsAreSubtotals="1" fieldPosition="0">
        <references count="1">
          <reference field="1" count="1">
            <x v="119"/>
          </reference>
        </references>
      </pivotArea>
    </format>
    <format dxfId="2442">
      <pivotArea collapsedLevelsAreSubtotals="1" fieldPosition="0">
        <references count="1">
          <reference field="1" count="1">
            <x v="120"/>
          </reference>
        </references>
      </pivotArea>
    </format>
    <format dxfId="2441">
      <pivotArea collapsedLevelsAreSubtotals="1" fieldPosition="0">
        <references count="1">
          <reference field="1" count="1">
            <x v="121"/>
          </reference>
        </references>
      </pivotArea>
    </format>
    <format dxfId="2440">
      <pivotArea collapsedLevelsAreSubtotals="1" fieldPosition="0">
        <references count="1">
          <reference field="1" count="1">
            <x v="122"/>
          </reference>
        </references>
      </pivotArea>
    </format>
    <format dxfId="2439">
      <pivotArea collapsedLevelsAreSubtotals="1" fieldPosition="0">
        <references count="1">
          <reference field="1" count="1">
            <x v="123"/>
          </reference>
        </references>
      </pivotArea>
    </format>
    <format dxfId="2438">
      <pivotArea collapsedLevelsAreSubtotals="1" fieldPosition="0">
        <references count="1">
          <reference field="1" count="1">
            <x v="124"/>
          </reference>
        </references>
      </pivotArea>
    </format>
    <format dxfId="2437">
      <pivotArea collapsedLevelsAreSubtotals="1" fieldPosition="0">
        <references count="1">
          <reference field="1" count="1">
            <x v="125"/>
          </reference>
        </references>
      </pivotArea>
    </format>
    <format dxfId="2436">
      <pivotArea collapsedLevelsAreSubtotals="1" fieldPosition="0">
        <references count="1">
          <reference field="1" count="1">
            <x v="126"/>
          </reference>
        </references>
      </pivotArea>
    </format>
    <format dxfId="2435">
      <pivotArea collapsedLevelsAreSubtotals="1" fieldPosition="0">
        <references count="1">
          <reference field="1" count="1">
            <x v="127"/>
          </reference>
        </references>
      </pivotArea>
    </format>
    <format dxfId="2434">
      <pivotArea collapsedLevelsAreSubtotals="1" fieldPosition="0">
        <references count="1">
          <reference field="1" count="1">
            <x v="128"/>
          </reference>
        </references>
      </pivotArea>
    </format>
    <format dxfId="2433">
      <pivotArea collapsedLevelsAreSubtotals="1" fieldPosition="0">
        <references count="1">
          <reference field="1" count="1">
            <x v="129"/>
          </reference>
        </references>
      </pivotArea>
    </format>
    <format dxfId="2432">
      <pivotArea collapsedLevelsAreSubtotals="1" fieldPosition="0">
        <references count="1">
          <reference field="1" count="1">
            <x v="130"/>
          </reference>
        </references>
      </pivotArea>
    </format>
    <format dxfId="2431">
      <pivotArea collapsedLevelsAreSubtotals="1" fieldPosition="0">
        <references count="1">
          <reference field="1" count="1">
            <x v="131"/>
          </reference>
        </references>
      </pivotArea>
    </format>
    <format dxfId="2430">
      <pivotArea collapsedLevelsAreSubtotals="1" fieldPosition="0">
        <references count="1">
          <reference field="1" count="1">
            <x v="132"/>
          </reference>
        </references>
      </pivotArea>
    </format>
    <format dxfId="2429">
      <pivotArea collapsedLevelsAreSubtotals="1" fieldPosition="0">
        <references count="1">
          <reference field="1" count="1">
            <x v="133"/>
          </reference>
        </references>
      </pivotArea>
    </format>
    <format dxfId="2428">
      <pivotArea collapsedLevelsAreSubtotals="1" fieldPosition="0">
        <references count="1">
          <reference field="1" count="1">
            <x v="134"/>
          </reference>
        </references>
      </pivotArea>
    </format>
    <format dxfId="2427">
      <pivotArea collapsedLevelsAreSubtotals="1" fieldPosition="0">
        <references count="1">
          <reference field="1" count="1">
            <x v="135"/>
          </reference>
        </references>
      </pivotArea>
    </format>
    <format dxfId="2426">
      <pivotArea collapsedLevelsAreSubtotals="1" fieldPosition="0">
        <references count="1">
          <reference field="1" count="1">
            <x v="136"/>
          </reference>
        </references>
      </pivotArea>
    </format>
    <format dxfId="2425">
      <pivotArea collapsedLevelsAreSubtotals="1" fieldPosition="0">
        <references count="1">
          <reference field="1" count="1">
            <x v="137"/>
          </reference>
        </references>
      </pivotArea>
    </format>
    <format dxfId="2424">
      <pivotArea collapsedLevelsAreSubtotals="1" fieldPosition="0">
        <references count="1">
          <reference field="1" count="1">
            <x v="138"/>
          </reference>
        </references>
      </pivotArea>
    </format>
    <format dxfId="2423">
      <pivotArea collapsedLevelsAreSubtotals="1" fieldPosition="0">
        <references count="1">
          <reference field="1" count="1">
            <x v="139"/>
          </reference>
        </references>
      </pivotArea>
    </format>
    <format dxfId="2422">
      <pivotArea collapsedLevelsAreSubtotals="1" fieldPosition="0">
        <references count="1">
          <reference field="1" count="1">
            <x v="140"/>
          </reference>
        </references>
      </pivotArea>
    </format>
    <format dxfId="2421">
      <pivotArea collapsedLevelsAreSubtotals="1" fieldPosition="0">
        <references count="1">
          <reference field="1" count="1">
            <x v="141"/>
          </reference>
        </references>
      </pivotArea>
    </format>
    <format dxfId="2420">
      <pivotArea collapsedLevelsAreSubtotals="1" fieldPosition="0">
        <references count="1">
          <reference field="1" count="1">
            <x v="142"/>
          </reference>
        </references>
      </pivotArea>
    </format>
    <format dxfId="2419">
      <pivotArea dataOnly="0" labelOnly="1" fieldPosition="0">
        <references count="1">
          <reference field="1" count="30">
            <x v="115"/>
            <x v="116"/>
            <x v="117"/>
            <x v="118"/>
            <x v="119"/>
            <x v="120"/>
            <x v="121"/>
            <x v="122"/>
            <x v="123"/>
            <x v="124"/>
            <x v="125"/>
            <x v="126"/>
            <x v="127"/>
            <x v="128"/>
            <x v="129"/>
            <x v="130"/>
            <x v="131"/>
            <x v="132"/>
            <x v="133"/>
            <x v="134"/>
            <x v="135"/>
            <x v="136"/>
            <x v="137"/>
            <x v="138"/>
            <x v="139"/>
            <x v="140"/>
            <x v="141"/>
            <x v="142"/>
            <x v="231"/>
            <x v="232"/>
          </reference>
        </references>
      </pivotArea>
    </format>
    <format dxfId="2418">
      <pivotArea collapsedLevelsAreSubtotals="1" fieldPosition="0">
        <references count="2">
          <reference field="4294967294" count="2" selected="0">
            <x v="0"/>
            <x v="1"/>
          </reference>
          <reference field="1" count="1">
            <x v="205"/>
          </reference>
        </references>
      </pivotArea>
    </format>
    <format dxfId="2417">
      <pivotArea collapsedLevelsAreSubtotals="1" fieldPosition="0">
        <references count="2">
          <reference field="4294967294" count="2" selected="0">
            <x v="0"/>
            <x v="1"/>
          </reference>
          <reference field="1" count="1">
            <x v="206"/>
          </reference>
        </references>
      </pivotArea>
    </format>
    <format dxfId="2416">
      <pivotArea collapsedLevelsAreSubtotals="1" fieldPosition="0">
        <references count="2">
          <reference field="4294967294" count="2" selected="0">
            <x v="0"/>
            <x v="1"/>
          </reference>
          <reference field="1" count="1">
            <x v="209"/>
          </reference>
        </references>
      </pivotArea>
    </format>
    <format dxfId="2415">
      <pivotArea collapsedLevelsAreSubtotals="1" fieldPosition="0">
        <references count="2">
          <reference field="4294967294" count="2" selected="0">
            <x v="0"/>
            <x v="1"/>
          </reference>
          <reference field="1" count="1">
            <x v="210"/>
          </reference>
        </references>
      </pivotArea>
    </format>
    <format dxfId="2414">
      <pivotArea collapsedLevelsAreSubtotals="1" fieldPosition="0">
        <references count="2">
          <reference field="4294967294" count="2" selected="0">
            <x v="0"/>
            <x v="1"/>
          </reference>
          <reference field="1" count="1">
            <x v="211"/>
          </reference>
        </references>
      </pivotArea>
    </format>
    <format dxfId="2413">
      <pivotArea collapsedLevelsAreSubtotals="1" fieldPosition="0">
        <references count="2">
          <reference field="4294967294" count="2" selected="0">
            <x v="0"/>
            <x v="1"/>
          </reference>
          <reference field="1" count="1">
            <x v="212"/>
          </reference>
        </references>
      </pivotArea>
    </format>
    <format dxfId="2412">
      <pivotArea collapsedLevelsAreSubtotals="1" fieldPosition="0">
        <references count="2">
          <reference field="4294967294" count="2" selected="0">
            <x v="0"/>
            <x v="1"/>
          </reference>
          <reference field="1" count="1">
            <x v="213"/>
          </reference>
        </references>
      </pivotArea>
    </format>
    <format dxfId="2411">
      <pivotArea collapsedLevelsAreSubtotals="1" fieldPosition="0">
        <references count="2">
          <reference field="4294967294" count="2" selected="0">
            <x v="0"/>
            <x v="1"/>
          </reference>
          <reference field="1" count="1">
            <x v="216"/>
          </reference>
        </references>
      </pivotArea>
    </format>
    <format dxfId="2410">
      <pivotArea dataOnly="0" labelOnly="1" fieldPosition="0">
        <references count="1">
          <reference field="1" count="8">
            <x v="205"/>
            <x v="206"/>
            <x v="209"/>
            <x v="210"/>
            <x v="211"/>
            <x v="212"/>
            <x v="213"/>
            <x v="216"/>
          </reference>
        </references>
      </pivotArea>
    </format>
    <format dxfId="2409">
      <pivotArea collapsedLevelsAreSubtotals="1" fieldPosition="0">
        <references count="2">
          <reference field="4294967294" count="1" selected="0">
            <x v="2"/>
          </reference>
          <reference field="1" count="1">
            <x v="205"/>
          </reference>
        </references>
      </pivotArea>
    </format>
    <format dxfId="2408">
      <pivotArea collapsedLevelsAreSubtotals="1" fieldPosition="0">
        <references count="2">
          <reference field="4294967294" count="1" selected="0">
            <x v="2"/>
          </reference>
          <reference field="1" count="1">
            <x v="206"/>
          </reference>
        </references>
      </pivotArea>
    </format>
    <format dxfId="2407">
      <pivotArea collapsedLevelsAreSubtotals="1" fieldPosition="0">
        <references count="2">
          <reference field="4294967294" count="1" selected="0">
            <x v="2"/>
          </reference>
          <reference field="1" count="1">
            <x v="209"/>
          </reference>
        </references>
      </pivotArea>
    </format>
    <format dxfId="2406">
      <pivotArea collapsedLevelsAreSubtotals="1" fieldPosition="0">
        <references count="2">
          <reference field="4294967294" count="1" selected="0">
            <x v="2"/>
          </reference>
          <reference field="1" count="1">
            <x v="210"/>
          </reference>
        </references>
      </pivotArea>
    </format>
    <format dxfId="2405">
      <pivotArea collapsedLevelsAreSubtotals="1" fieldPosition="0">
        <references count="2">
          <reference field="4294967294" count="1" selected="0">
            <x v="2"/>
          </reference>
          <reference field="1" count="1">
            <x v="211"/>
          </reference>
        </references>
      </pivotArea>
    </format>
    <format dxfId="2404">
      <pivotArea collapsedLevelsAreSubtotals="1" fieldPosition="0">
        <references count="2">
          <reference field="4294967294" count="1" selected="0">
            <x v="2"/>
          </reference>
          <reference field="1" count="1">
            <x v="212"/>
          </reference>
        </references>
      </pivotArea>
    </format>
    <format dxfId="2403">
      <pivotArea collapsedLevelsAreSubtotals="1" fieldPosition="0">
        <references count="2">
          <reference field="4294967294" count="1" selected="0">
            <x v="2"/>
          </reference>
          <reference field="1" count="1">
            <x v="213"/>
          </reference>
        </references>
      </pivotArea>
    </format>
    <format dxfId="2402">
      <pivotArea collapsedLevelsAreSubtotals="1" fieldPosition="0">
        <references count="2">
          <reference field="4294967294" count="1" selected="0">
            <x v="2"/>
          </reference>
          <reference field="1" count="1">
            <x v="216"/>
          </reference>
        </references>
      </pivotArea>
    </format>
    <format dxfId="2401">
      <pivotArea dataOnly="0" labelOnly="1" fieldPosition="0">
        <references count="1">
          <reference field="1" count="3">
            <x v="98"/>
            <x v="99"/>
            <x v="110"/>
          </reference>
        </references>
      </pivotArea>
    </format>
    <format dxfId="2400">
      <pivotArea dataOnly="0" labelOnly="1" fieldPosition="0">
        <references count="1">
          <reference field="1" count="8">
            <x v="205"/>
            <x v="206"/>
            <x v="209"/>
            <x v="210"/>
            <x v="211"/>
            <x v="212"/>
            <x v="213"/>
            <x v="216"/>
          </reference>
        </references>
      </pivotArea>
    </format>
    <format dxfId="2399">
      <pivotArea collapsedLevelsAreSubtotals="1" fieldPosition="0">
        <references count="1">
          <reference field="1" count="1">
            <x v="221"/>
          </reference>
        </references>
      </pivotArea>
    </format>
    <format dxfId="2398">
      <pivotArea dataOnly="0" labelOnly="1" fieldPosition="0">
        <references count="1">
          <reference field="1" count="1">
            <x v="221"/>
          </reference>
        </references>
      </pivotArea>
    </format>
    <format dxfId="2397">
      <pivotArea collapsedLevelsAreSubtotals="1" fieldPosition="0">
        <references count="1">
          <reference field="1" count="1">
            <x v="221"/>
          </reference>
        </references>
      </pivotArea>
    </format>
    <format dxfId="2396">
      <pivotArea collapsedLevelsAreSubtotals="1" fieldPosition="0">
        <references count="1">
          <reference field="1" count="1">
            <x v="222"/>
          </reference>
        </references>
      </pivotArea>
    </format>
    <format dxfId="2395">
      <pivotArea collapsedLevelsAreSubtotals="1" fieldPosition="0">
        <references count="1">
          <reference field="1" count="1">
            <x v="222"/>
          </reference>
        </references>
      </pivotArea>
    </format>
    <format dxfId="2394">
      <pivotArea collapsedLevelsAreSubtotals="1" fieldPosition="0">
        <references count="1">
          <reference field="1" count="1">
            <x v="222"/>
          </reference>
        </references>
      </pivotArea>
    </format>
    <format dxfId="2393">
      <pivotArea collapsedLevelsAreSubtotals="1" fieldPosition="0">
        <references count="1">
          <reference field="1" count="1">
            <x v="222"/>
          </reference>
        </references>
      </pivotArea>
    </format>
    <format dxfId="2392">
      <pivotArea collapsedLevelsAreSubtotals="1" fieldPosition="0">
        <references count="1">
          <reference field="1" count="1">
            <x v="222"/>
          </reference>
        </references>
      </pivotArea>
    </format>
    <format dxfId="2391">
      <pivotArea collapsedLevelsAreSubtotals="1" fieldPosition="0">
        <references count="1">
          <reference field="1" count="1">
            <x v="222"/>
          </reference>
        </references>
      </pivotArea>
    </format>
    <format dxfId="2390">
      <pivotArea collapsedLevelsAreSubtotals="1" fieldPosition="0">
        <references count="1">
          <reference field="1" count="1">
            <x v="237"/>
          </reference>
        </references>
      </pivotArea>
    </format>
    <format dxfId="2389">
      <pivotArea collapsedLevelsAreSubtotals="1" fieldPosition="0">
        <references count="1">
          <reference field="1" count="1">
            <x v="114"/>
          </reference>
        </references>
      </pivotArea>
    </format>
    <format dxfId="2388">
      <pivotArea collapsedLevelsAreSubtotals="1" fieldPosition="0">
        <references count="1">
          <reference field="1" count="1">
            <x v="235"/>
          </reference>
        </references>
      </pivotArea>
    </format>
    <format dxfId="2387">
      <pivotArea collapsedLevelsAreSubtotals="1" fieldPosition="0">
        <references count="1">
          <reference field="1" count="1">
            <x v="234"/>
          </reference>
        </references>
      </pivotArea>
    </format>
    <format dxfId="2386">
      <pivotArea collapsedLevelsAreSubtotals="1" fieldPosition="0">
        <references count="1">
          <reference field="1" count="1">
            <x v="236"/>
          </reference>
        </references>
      </pivotArea>
    </format>
    <format dxfId="2385">
      <pivotArea collapsedLevelsAreSubtotals="1" fieldPosition="0">
        <references count="1">
          <reference field="1" count="1">
            <x v="233"/>
          </reference>
        </references>
      </pivotArea>
    </format>
    <format dxfId="2384">
      <pivotArea collapsedLevelsAreSubtotals="1" fieldPosition="0">
        <references count="1">
          <reference field="1" count="1">
            <x v="238"/>
          </reference>
        </references>
      </pivotArea>
    </format>
    <format dxfId="2383">
      <pivotArea collapsedLevelsAreSubtotals="1" fieldPosition="0">
        <references count="1">
          <reference field="1" count="1">
            <x v="230"/>
          </reference>
        </references>
      </pivotArea>
    </format>
    <format dxfId="2382">
      <pivotArea dataOnly="0" labelOnly="1" fieldPosition="0">
        <references count="1">
          <reference field="1" count="8">
            <x v="114"/>
            <x v="230"/>
            <x v="233"/>
            <x v="234"/>
            <x v="235"/>
            <x v="236"/>
            <x v="237"/>
            <x v="238"/>
          </reference>
        </references>
      </pivotArea>
    </format>
    <format dxfId="2381">
      <pivotArea collapsedLevelsAreSubtotals="1" fieldPosition="0">
        <references count="1">
          <reference field="1" count="1">
            <x v="237"/>
          </reference>
        </references>
      </pivotArea>
    </format>
    <format dxfId="2380">
      <pivotArea collapsedLevelsAreSubtotals="1" fieldPosition="0">
        <references count="1">
          <reference field="1" count="1">
            <x v="114"/>
          </reference>
        </references>
      </pivotArea>
    </format>
    <format dxfId="2379">
      <pivotArea collapsedLevelsAreSubtotals="1" fieldPosition="0">
        <references count="1">
          <reference field="1" count="1">
            <x v="235"/>
          </reference>
        </references>
      </pivotArea>
    </format>
    <format dxfId="2378">
      <pivotArea collapsedLevelsAreSubtotals="1" fieldPosition="0">
        <references count="1">
          <reference field="1" count="1">
            <x v="234"/>
          </reference>
        </references>
      </pivotArea>
    </format>
    <format dxfId="2377">
      <pivotArea collapsedLevelsAreSubtotals="1" fieldPosition="0">
        <references count="1">
          <reference field="1" count="1">
            <x v="236"/>
          </reference>
        </references>
      </pivotArea>
    </format>
    <format dxfId="2376">
      <pivotArea collapsedLevelsAreSubtotals="1" fieldPosition="0">
        <references count="1">
          <reference field="1" count="1">
            <x v="233"/>
          </reference>
        </references>
      </pivotArea>
    </format>
    <format dxfId="2375">
      <pivotArea collapsedLevelsAreSubtotals="1" fieldPosition="0">
        <references count="1">
          <reference field="1" count="1">
            <x v="238"/>
          </reference>
        </references>
      </pivotArea>
    </format>
    <format dxfId="2374">
      <pivotArea collapsedLevelsAreSubtotals="1" fieldPosition="0">
        <references count="1">
          <reference field="1" count="1">
            <x v="230"/>
          </reference>
        </references>
      </pivotArea>
    </format>
    <format dxfId="2373">
      <pivotArea dataOnly="0" labelOnly="1" fieldPosition="0">
        <references count="1">
          <reference field="1" count="8">
            <x v="114"/>
            <x v="230"/>
            <x v="233"/>
            <x v="234"/>
            <x v="235"/>
            <x v="236"/>
            <x v="237"/>
            <x v="238"/>
          </reference>
        </references>
      </pivotArea>
    </format>
    <format dxfId="2372">
      <pivotArea collapsedLevelsAreSubtotals="1" fieldPosition="0">
        <references count="1">
          <reference field="1" count="1">
            <x v="237"/>
          </reference>
        </references>
      </pivotArea>
    </format>
    <format dxfId="2371">
      <pivotArea collapsedLevelsAreSubtotals="1" fieldPosition="0">
        <references count="1">
          <reference field="1" count="1">
            <x v="114"/>
          </reference>
        </references>
      </pivotArea>
    </format>
    <format dxfId="2370">
      <pivotArea collapsedLevelsAreSubtotals="1" fieldPosition="0">
        <references count="1">
          <reference field="1" count="1">
            <x v="235"/>
          </reference>
        </references>
      </pivotArea>
    </format>
    <format dxfId="2369">
      <pivotArea collapsedLevelsAreSubtotals="1" fieldPosition="0">
        <references count="1">
          <reference field="1" count="1">
            <x v="234"/>
          </reference>
        </references>
      </pivotArea>
    </format>
    <format dxfId="2368">
      <pivotArea collapsedLevelsAreSubtotals="1" fieldPosition="0">
        <references count="1">
          <reference field="1" count="1">
            <x v="236"/>
          </reference>
        </references>
      </pivotArea>
    </format>
    <format dxfId="2367">
      <pivotArea collapsedLevelsAreSubtotals="1" fieldPosition="0">
        <references count="1">
          <reference field="1" count="1">
            <x v="233"/>
          </reference>
        </references>
      </pivotArea>
    </format>
    <format dxfId="2366">
      <pivotArea collapsedLevelsAreSubtotals="1" fieldPosition="0">
        <references count="1">
          <reference field="1" count="1">
            <x v="238"/>
          </reference>
        </references>
      </pivotArea>
    </format>
    <format dxfId="2365">
      <pivotArea collapsedLevelsAreSubtotals="1" fieldPosition="0">
        <references count="1">
          <reference field="1" count="1">
            <x v="230"/>
          </reference>
        </references>
      </pivotArea>
    </format>
    <format dxfId="2364">
      <pivotArea dataOnly="0" labelOnly="1" fieldPosition="0">
        <references count="1">
          <reference field="1" count="8">
            <x v="114"/>
            <x v="230"/>
            <x v="233"/>
            <x v="234"/>
            <x v="235"/>
            <x v="236"/>
            <x v="237"/>
            <x v="238"/>
          </reference>
        </references>
      </pivotArea>
    </format>
    <format dxfId="2363">
      <pivotArea collapsedLevelsAreSubtotals="1" fieldPosition="0">
        <references count="1">
          <reference field="1" count="1">
            <x v="222"/>
          </reference>
        </references>
      </pivotArea>
    </format>
    <format dxfId="2362">
      <pivotArea collapsedLevelsAreSubtotals="1" fieldPosition="0">
        <references count="1">
          <reference field="1" count="1">
            <x v="223"/>
          </reference>
        </references>
      </pivotArea>
    </format>
    <format dxfId="2361">
      <pivotArea collapsedLevelsAreSubtotals="1" fieldPosition="0">
        <references count="1">
          <reference field="1" count="1">
            <x v="224"/>
          </reference>
        </references>
      </pivotArea>
    </format>
    <format dxfId="2360">
      <pivotArea collapsedLevelsAreSubtotals="1" fieldPosition="0">
        <references count="1">
          <reference field="1" count="1">
            <x v="222"/>
          </reference>
        </references>
      </pivotArea>
    </format>
    <format dxfId="2359">
      <pivotArea collapsedLevelsAreSubtotals="1" fieldPosition="0">
        <references count="1">
          <reference field="1" count="1">
            <x v="222"/>
          </reference>
        </references>
      </pivotArea>
    </format>
    <format dxfId="2358">
      <pivotArea collapsedLevelsAreSubtotals="1" fieldPosition="0">
        <references count="1">
          <reference field="1" count="1">
            <x v="222"/>
          </reference>
        </references>
      </pivotArea>
    </format>
    <format dxfId="2357">
      <pivotArea collapsedLevelsAreSubtotals="1" fieldPosition="0">
        <references count="1">
          <reference field="1" count="1">
            <x v="222"/>
          </reference>
        </references>
      </pivotArea>
    </format>
    <format dxfId="2356">
      <pivotArea collapsedLevelsAreSubtotals="1" fieldPosition="0">
        <references count="1">
          <reference field="1" count="1">
            <x v="223"/>
          </reference>
        </references>
      </pivotArea>
    </format>
    <format dxfId="2355">
      <pivotArea collapsedLevelsAreSubtotals="1" fieldPosition="0">
        <references count="1">
          <reference field="1" count="1">
            <x v="224"/>
          </reference>
        </references>
      </pivotArea>
    </format>
    <format dxfId="2354">
      <pivotArea collapsedLevelsAreSubtotals="1" fieldPosition="0">
        <references count="1">
          <reference field="1" count="1">
            <x v="225"/>
          </reference>
        </references>
      </pivotArea>
    </format>
    <format dxfId="2353">
      <pivotArea collapsedLevelsAreSubtotals="1" fieldPosition="0">
        <references count="1">
          <reference field="1" count="1">
            <x v="226"/>
          </reference>
        </references>
      </pivotArea>
    </format>
    <format dxfId="2352">
      <pivotArea dataOnly="0" labelOnly="1" fieldPosition="0">
        <references count="1">
          <reference field="1" count="17">
            <x v="86"/>
            <x v="87"/>
            <x v="92"/>
            <x v="93"/>
            <x v="94"/>
            <x v="95"/>
            <x v="96"/>
            <x v="97"/>
            <x v="98"/>
            <x v="99"/>
            <x v="100"/>
            <x v="101"/>
            <x v="102"/>
            <x v="103"/>
            <x v="104"/>
            <x v="106"/>
            <x v="108"/>
          </reference>
        </references>
      </pivotArea>
    </format>
    <format dxfId="2351">
      <pivotArea outline="0" collapsedLevelsAreSubtotals="1" fieldPosition="0"/>
    </format>
    <format dxfId="2350">
      <pivotArea dataOnly="0" labelOnly="1" fieldPosition="0">
        <references count="1">
          <reference field="1" count="21">
            <x v="80"/>
            <x v="82"/>
            <x v="83"/>
            <x v="89"/>
            <x v="91"/>
            <x v="95"/>
            <x v="96"/>
            <x v="98"/>
            <x v="99"/>
            <x v="100"/>
            <x v="101"/>
            <x v="102"/>
            <x v="103"/>
            <x v="104"/>
            <x v="106"/>
            <x v="109"/>
            <x v="115"/>
            <x v="157"/>
            <x v="171"/>
            <x v="173"/>
            <x v="180"/>
          </reference>
        </references>
      </pivotArea>
    </format>
    <format dxfId="2349">
      <pivotArea outline="0" collapsedLevelsAreSubtotals="1" fieldPosition="0"/>
    </format>
    <format dxfId="2348">
      <pivotArea type="all" dataOnly="0" outline="0" fieldPosition="0"/>
    </format>
    <format dxfId="2347">
      <pivotArea outline="0" collapsedLevelsAreSubtotals="1" fieldPosition="0"/>
    </format>
    <format dxfId="2346">
      <pivotArea field="1" type="button" dataOnly="0" labelOnly="1" outline="0" axis="axisRow" fieldPosition="0"/>
    </format>
    <format dxfId="2345">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2344">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2343">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2342">
      <pivotArea dataOnly="0" labelOnly="1" grandRow="1" outline="0" fieldPosition="0"/>
    </format>
    <format dxfId="2341">
      <pivotArea dataOnly="0" labelOnly="1" fieldPosition="0">
        <references count="2">
          <reference field="1" count="1" selected="0">
            <x v="81"/>
          </reference>
          <reference field="2" count="7">
            <x v="311"/>
            <x v="326"/>
            <x v="415"/>
            <x v="418"/>
            <x v="446"/>
            <x v="648"/>
            <x v="788"/>
          </reference>
        </references>
      </pivotArea>
    </format>
    <format dxfId="2340">
      <pivotArea dataOnly="0" labelOnly="1" outline="0" fieldPosition="0">
        <references count="1">
          <reference field="4294967294" count="3">
            <x v="0"/>
            <x v="1"/>
            <x v="2"/>
          </reference>
        </references>
      </pivotArea>
    </format>
    <format dxfId="2339">
      <pivotArea type="all" dataOnly="0" outline="0" fieldPosition="0"/>
    </format>
    <format dxfId="2338">
      <pivotArea outline="0" collapsedLevelsAreSubtotals="1" fieldPosition="0"/>
    </format>
    <format dxfId="2337">
      <pivotArea field="1" type="button" dataOnly="0" labelOnly="1" outline="0" axis="axisRow" fieldPosition="0"/>
    </format>
    <format dxfId="2336">
      <pivotArea dataOnly="0" labelOnly="1" fieldPosition="0">
        <references count="1">
          <reference field="1" count="50">
            <x v="82"/>
            <x v="83"/>
            <x v="84"/>
            <x v="85"/>
            <x v="86"/>
            <x v="87"/>
            <x v="89"/>
            <x v="90"/>
            <x v="91"/>
            <x v="92"/>
            <x v="93"/>
            <x v="94"/>
            <x v="95"/>
            <x v="96"/>
            <x v="97"/>
            <x v="98"/>
            <x v="99"/>
            <x v="100"/>
            <x v="101"/>
            <x v="102"/>
            <x v="103"/>
            <x v="104"/>
            <x v="106"/>
            <x v="108"/>
            <x v="109"/>
            <x v="110"/>
            <x v="111"/>
            <x v="112"/>
            <x v="113"/>
            <x v="114"/>
            <x v="115"/>
            <x v="116"/>
            <x v="117"/>
            <x v="118"/>
            <x v="119"/>
            <x v="120"/>
            <x v="121"/>
            <x v="122"/>
            <x v="123"/>
            <x v="124"/>
            <x v="125"/>
            <x v="230"/>
            <x v="231"/>
            <x v="232"/>
            <x v="233"/>
            <x v="234"/>
            <x v="235"/>
            <x v="236"/>
            <x v="237"/>
            <x v="238"/>
          </reference>
        </references>
      </pivotArea>
    </format>
    <format dxfId="2335">
      <pivotArea dataOnly="0" labelOnly="1" fieldPosition="0">
        <references count="1">
          <reference field="1" count="50">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reference>
        </references>
      </pivotArea>
    </format>
    <format dxfId="2334">
      <pivotArea dataOnly="0" labelOnly="1" fieldPosition="0">
        <references count="1">
          <reference field="1" count="48">
            <x v="51"/>
            <x v="80"/>
            <x v="81"/>
            <x v="88"/>
            <x v="176"/>
            <x v="177"/>
            <x v="178"/>
            <x v="179"/>
            <x v="180"/>
            <x v="181"/>
            <x v="182"/>
            <x v="183"/>
            <x v="184"/>
            <x v="185"/>
            <x v="186"/>
            <x v="187"/>
            <x v="188"/>
            <x v="189"/>
            <x v="190"/>
            <x v="191"/>
            <x v="192"/>
            <x v="193"/>
            <x v="194"/>
            <x v="195"/>
            <x v="196"/>
            <x v="197"/>
            <x v="198"/>
            <x v="199"/>
            <x v="200"/>
            <x v="201"/>
            <x v="202"/>
            <x v="204"/>
            <x v="205"/>
            <x v="206"/>
            <x v="209"/>
            <x v="210"/>
            <x v="211"/>
            <x v="212"/>
            <x v="213"/>
            <x v="216"/>
            <x v="221"/>
            <x v="222"/>
            <x v="223"/>
            <x v="224"/>
            <x v="225"/>
            <x v="226"/>
            <x v="229"/>
            <x v="239"/>
          </reference>
        </references>
      </pivotArea>
    </format>
    <format dxfId="2333">
      <pivotArea dataOnly="0" labelOnly="1" grandRow="1" outline="0" fieldPosition="0"/>
    </format>
    <format dxfId="2332">
      <pivotArea dataOnly="0" labelOnly="1" fieldPosition="0">
        <references count="2">
          <reference field="1" count="1" selected="0">
            <x v="81"/>
          </reference>
          <reference field="2" count="7">
            <x v="311"/>
            <x v="326"/>
            <x v="415"/>
            <x v="418"/>
            <x v="446"/>
            <x v="648"/>
            <x v="788"/>
          </reference>
        </references>
      </pivotArea>
    </format>
    <format dxfId="2331">
      <pivotArea dataOnly="0" labelOnly="1" outline="0" fieldPosition="0">
        <references count="1">
          <reference field="4294967294" count="3">
            <x v="0"/>
            <x v="1"/>
            <x v="2"/>
          </reference>
        </references>
      </pivotArea>
    </format>
    <format dxfId="2330">
      <pivotArea dataOnly="0" labelOnly="1" fieldPosition="0">
        <references count="1">
          <reference field="1" count="50">
            <x v="51"/>
            <x v="80"/>
            <x v="81"/>
            <x v="82"/>
            <x v="83"/>
            <x v="84"/>
            <x v="85"/>
            <x v="86"/>
            <x v="87"/>
            <x v="89"/>
            <x v="90"/>
            <x v="91"/>
            <x v="92"/>
            <x v="93"/>
            <x v="94"/>
            <x v="95"/>
            <x v="96"/>
            <x v="97"/>
            <x v="98"/>
            <x v="99"/>
            <x v="100"/>
            <x v="101"/>
            <x v="102"/>
            <x v="103"/>
            <x v="104"/>
            <x v="106"/>
            <x v="108"/>
            <x v="109"/>
            <x v="110"/>
            <x v="111"/>
            <x v="112"/>
            <x v="113"/>
            <x v="114"/>
            <x v="115"/>
            <x v="116"/>
            <x v="117"/>
            <x v="118"/>
            <x v="119"/>
            <x v="120"/>
            <x v="121"/>
            <x v="122"/>
            <x v="230"/>
            <x v="231"/>
            <x v="232"/>
            <x v="233"/>
            <x v="234"/>
            <x v="235"/>
            <x v="236"/>
            <x v="237"/>
            <x v="238"/>
          </reference>
        </references>
      </pivotArea>
    </format>
    <format dxfId="2329">
      <pivotArea dataOnly="0" labelOnly="1" fieldPosition="0">
        <references count="1">
          <reference field="1" count="50">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2328">
      <pivotArea dataOnly="0" labelOnly="1" fieldPosition="0">
        <references count="1">
          <reference field="1" count="46">
            <x v="88"/>
            <x v="173"/>
            <x v="174"/>
            <x v="175"/>
            <x v="176"/>
            <x v="177"/>
            <x v="178"/>
            <x v="179"/>
            <x v="180"/>
            <x v="181"/>
            <x v="182"/>
            <x v="183"/>
            <x v="184"/>
            <x v="185"/>
            <x v="186"/>
            <x v="187"/>
            <x v="188"/>
            <x v="189"/>
            <x v="190"/>
            <x v="191"/>
            <x v="192"/>
            <x v="193"/>
            <x v="194"/>
            <x v="195"/>
            <x v="196"/>
            <x v="197"/>
            <x v="198"/>
            <x v="200"/>
            <x v="201"/>
            <x v="202"/>
            <x v="204"/>
            <x v="205"/>
            <x v="206"/>
            <x v="209"/>
            <x v="210"/>
            <x v="211"/>
            <x v="212"/>
            <x v="213"/>
            <x v="216"/>
            <x v="221"/>
            <x v="222"/>
            <x v="223"/>
            <x v="224"/>
            <x v="225"/>
            <x v="226"/>
            <x v="229"/>
          </reference>
        </references>
      </pivotArea>
    </format>
    <format dxfId="2327">
      <pivotArea outline="0" collapsedLevelsAreSubtotals="1" fieldPosition="0"/>
    </format>
    <format dxfId="2326">
      <pivotArea dataOnly="0" labelOnly="1" fieldPosition="0">
        <references count="1">
          <reference field="1" count="50">
            <x v="51"/>
            <x v="80"/>
            <x v="81"/>
            <x v="82"/>
            <x v="83"/>
            <x v="84"/>
            <x v="85"/>
            <x v="86"/>
            <x v="87"/>
            <x v="88"/>
            <x v="89"/>
            <x v="90"/>
            <x v="91"/>
            <x v="92"/>
            <x v="93"/>
            <x v="94"/>
            <x v="95"/>
            <x v="96"/>
            <x v="97"/>
            <x v="98"/>
            <x v="99"/>
            <x v="100"/>
            <x v="101"/>
            <x v="102"/>
            <x v="103"/>
            <x v="104"/>
            <x v="106"/>
            <x v="108"/>
            <x v="109"/>
            <x v="110"/>
            <x v="111"/>
            <x v="112"/>
            <x v="113"/>
            <x v="114"/>
            <x v="115"/>
            <x v="116"/>
            <x v="117"/>
            <x v="118"/>
            <x v="119"/>
            <x v="120"/>
            <x v="121"/>
            <x v="122"/>
            <x v="123"/>
            <x v="124"/>
            <x v="125"/>
            <x v="126"/>
            <x v="127"/>
            <x v="128"/>
            <x v="129"/>
            <x v="130"/>
          </reference>
        </references>
      </pivotArea>
    </format>
    <format dxfId="2325">
      <pivotArea dataOnly="0" labelOnly="1" fieldPosition="0">
        <references count="1">
          <reference field="1" count="5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reference>
        </references>
      </pivotArea>
    </format>
    <format dxfId="2324">
      <pivotArea dataOnly="0" labelOnly="1" fieldPosition="0">
        <references count="1">
          <reference field="1" count="46">
            <x v="181"/>
            <x v="182"/>
            <x v="183"/>
            <x v="184"/>
            <x v="185"/>
            <x v="186"/>
            <x v="187"/>
            <x v="188"/>
            <x v="189"/>
            <x v="190"/>
            <x v="191"/>
            <x v="192"/>
            <x v="193"/>
            <x v="194"/>
            <x v="195"/>
            <x v="196"/>
            <x v="197"/>
            <x v="198"/>
            <x v="200"/>
            <x v="201"/>
            <x v="202"/>
            <x v="204"/>
            <x v="205"/>
            <x v="206"/>
            <x v="209"/>
            <x v="210"/>
            <x v="211"/>
            <x v="212"/>
            <x v="213"/>
            <x v="216"/>
            <x v="221"/>
            <x v="222"/>
            <x v="223"/>
            <x v="224"/>
            <x v="225"/>
            <x v="226"/>
            <x v="229"/>
            <x v="230"/>
            <x v="231"/>
            <x v="232"/>
            <x v="233"/>
            <x v="234"/>
            <x v="235"/>
            <x v="236"/>
            <x v="237"/>
            <x v="238"/>
          </reference>
        </references>
      </pivotArea>
    </format>
    <format dxfId="2323">
      <pivotArea dataOnly="0" labelOnly="1" grandRow="1" outline="0" fieldPosition="0"/>
    </format>
    <format dxfId="2322">
      <pivotArea collapsedLevelsAreSubtotals="1" fieldPosition="0">
        <references count="1">
          <reference field="1" count="1">
            <x v="81"/>
          </reference>
        </references>
      </pivotArea>
    </format>
    <format dxfId="2321">
      <pivotArea collapsedLevelsAreSubtotals="1" fieldPosition="0">
        <references count="1">
          <reference field="1" count="1">
            <x v="82"/>
          </reference>
        </references>
      </pivotArea>
    </format>
    <format dxfId="2320">
      <pivotArea collapsedLevelsAreSubtotals="1" fieldPosition="0">
        <references count="1">
          <reference field="1" count="1">
            <x v="83"/>
          </reference>
        </references>
      </pivotArea>
    </format>
    <format dxfId="2319">
      <pivotArea dataOnly="0" labelOnly="1" fieldPosition="0">
        <references count="1">
          <reference field="1" count="3">
            <x v="81"/>
            <x v="82"/>
            <x v="83"/>
          </reference>
        </references>
      </pivotArea>
    </format>
    <format dxfId="2318">
      <pivotArea collapsedLevelsAreSubtotals="1" fieldPosition="0">
        <references count="1">
          <reference field="1" count="1">
            <x v="80"/>
          </reference>
        </references>
      </pivotArea>
    </format>
    <format dxfId="2317">
      <pivotArea dataOnly="0" labelOnly="1" fieldPosition="0">
        <references count="1">
          <reference field="1" count="1">
            <x v="80"/>
          </reference>
        </references>
      </pivotArea>
    </format>
    <format dxfId="2316">
      <pivotArea collapsedLevelsAreSubtotals="1" fieldPosition="0">
        <references count="1">
          <reference field="1" count="1">
            <x v="79"/>
          </reference>
        </references>
      </pivotArea>
    </format>
    <format dxfId="2315">
      <pivotArea dataOnly="0" labelOnly="1" fieldPosition="0">
        <references count="1">
          <reference field="1" count="1">
            <x v="79"/>
          </reference>
        </references>
      </pivotArea>
    </format>
    <format dxfId="2314">
      <pivotArea collapsedLevelsAreSubtotals="1" fieldPosition="0">
        <references count="1">
          <reference field="1" count="1">
            <x v="79"/>
          </reference>
        </references>
      </pivotArea>
    </format>
    <format dxfId="2313">
      <pivotArea dataOnly="0" labelOnly="1" fieldPosition="0">
        <references count="1">
          <reference field="1" count="1">
            <x v="79"/>
          </reference>
        </references>
      </pivotArea>
    </format>
    <format dxfId="2312">
      <pivotArea dataOnly="0" labelOnly="1" fieldPosition="0">
        <references count="1">
          <reference field="1" count="1">
            <x v="78"/>
          </reference>
        </references>
      </pivotArea>
    </format>
    <format dxfId="2311">
      <pivotArea dataOnly="0" labelOnly="1" fieldPosition="0">
        <references count="1">
          <reference field="1" count="1">
            <x v="77"/>
          </reference>
        </references>
      </pivotArea>
    </format>
    <format dxfId="2310">
      <pivotArea collapsedLevelsAreSubtotals="1" fieldPosition="0">
        <references count="1">
          <reference field="1" count="1">
            <x v="77"/>
          </reference>
        </references>
      </pivotArea>
    </format>
    <format dxfId="2309">
      <pivotArea collapsedLevelsAreSubtotals="1" fieldPosition="0">
        <references count="1">
          <reference field="1" count="1">
            <x v="78"/>
          </reference>
        </references>
      </pivotArea>
    </format>
    <format dxfId="2308">
      <pivotArea collapsedLevelsAreSubtotals="1" fieldPosition="0">
        <references count="1">
          <reference field="1" count="1">
            <x v="75"/>
          </reference>
        </references>
      </pivotArea>
    </format>
    <format dxfId="2307">
      <pivotArea collapsedLevelsAreSubtotals="1" fieldPosition="0">
        <references count="1">
          <reference field="1" count="1">
            <x v="76"/>
          </reference>
        </references>
      </pivotArea>
    </format>
    <format dxfId="2306">
      <pivotArea dataOnly="0" labelOnly="1" fieldPosition="0">
        <references count="1">
          <reference field="1" count="2">
            <x v="75"/>
            <x v="76"/>
          </reference>
        </references>
      </pivotArea>
    </format>
    <format dxfId="2305">
      <pivotArea dataOnly="0" labelOnly="1" fieldPosition="0">
        <references count="1">
          <reference field="1" count="2">
            <x v="240"/>
            <x v="241"/>
          </reference>
        </references>
      </pivotArea>
    </format>
    <format dxfId="2304">
      <pivotArea dataOnly="0" labelOnly="1" fieldPosition="0">
        <references count="1">
          <reference field="1" count="3">
            <x v="72"/>
            <x v="73"/>
            <x v="74"/>
          </reference>
        </references>
      </pivotArea>
    </format>
    <format dxfId="2303">
      <pivotArea collapsedLevelsAreSubtotals="1" fieldPosition="0">
        <references count="1">
          <reference field="1" count="1">
            <x v="72"/>
          </reference>
        </references>
      </pivotArea>
    </format>
    <format dxfId="2302">
      <pivotArea collapsedLevelsAreSubtotals="1" fieldPosition="0">
        <references count="1">
          <reference field="1" count="1">
            <x v="73"/>
          </reference>
        </references>
      </pivotArea>
    </format>
    <format dxfId="2301">
      <pivotArea collapsedLevelsAreSubtotals="1" fieldPosition="0">
        <references count="1">
          <reference field="1" count="1">
            <x v="74"/>
          </reference>
        </references>
      </pivotArea>
    </format>
    <format dxfId="2300">
      <pivotArea collapsedLevelsAreSubtotals="1" fieldPosition="0">
        <references count="1">
          <reference field="1" count="1">
            <x v="70"/>
          </reference>
        </references>
      </pivotArea>
    </format>
    <format dxfId="2299">
      <pivotArea collapsedLevelsAreSubtotals="1" fieldPosition="0">
        <references count="1">
          <reference field="1" count="1">
            <x v="71"/>
          </reference>
        </references>
      </pivotArea>
    </format>
    <format dxfId="2298">
      <pivotArea dataOnly="0" labelOnly="1" fieldPosition="0">
        <references count="1">
          <reference field="1" count="2">
            <x v="70"/>
            <x v="71"/>
          </reference>
        </references>
      </pivotArea>
    </format>
    <format dxfId="2297">
      <pivotArea collapsedLevelsAreSubtotals="1" fieldPosition="0">
        <references count="1">
          <reference field="1" count="1">
            <x v="68"/>
          </reference>
        </references>
      </pivotArea>
    </format>
    <format dxfId="2296">
      <pivotArea collapsedLevelsAreSubtotals="1" fieldPosition="0">
        <references count="1">
          <reference field="1" count="1">
            <x v="69"/>
          </reference>
        </references>
      </pivotArea>
    </format>
    <format dxfId="2295">
      <pivotArea dataOnly="0" labelOnly="1" fieldPosition="0">
        <references count="1">
          <reference field="1" count="2">
            <x v="68"/>
            <x v="69"/>
          </reference>
        </references>
      </pivotArea>
    </format>
    <format dxfId="2294">
      <pivotArea collapsedLevelsAreSubtotals="1" fieldPosition="0">
        <references count="1">
          <reference field="1" count="1">
            <x v="67"/>
          </reference>
        </references>
      </pivotArea>
    </format>
    <format dxfId="2293">
      <pivotArea dataOnly="0" labelOnly="1" fieldPosition="0">
        <references count="1">
          <reference field="1" count="1">
            <x v="67"/>
          </reference>
        </references>
      </pivotArea>
    </format>
    <format dxfId="2292">
      <pivotArea collapsedLevelsAreSubtotals="1" fieldPosition="0">
        <references count="1">
          <reference field="1" count="1">
            <x v="66"/>
          </reference>
        </references>
      </pivotArea>
    </format>
    <format dxfId="2291">
      <pivotArea dataOnly="0" labelOnly="1" fieldPosition="0">
        <references count="1">
          <reference field="1" count="1">
            <x v="66"/>
          </reference>
        </references>
      </pivotArea>
    </format>
    <format dxfId="2290">
      <pivotArea collapsedLevelsAreSubtotals="1" fieldPosition="0">
        <references count="1">
          <reference field="1" count="1">
            <x v="64"/>
          </reference>
        </references>
      </pivotArea>
    </format>
    <format dxfId="2289">
      <pivotArea collapsedLevelsAreSubtotals="1" fieldPosition="0">
        <references count="1">
          <reference field="1" count="1">
            <x v="65"/>
          </reference>
        </references>
      </pivotArea>
    </format>
    <format dxfId="2288">
      <pivotArea dataOnly="0" labelOnly="1" fieldPosition="0">
        <references count="1">
          <reference field="1" count="2">
            <x v="64"/>
            <x v="65"/>
          </reference>
        </references>
      </pivotArea>
    </format>
    <format dxfId="2287">
      <pivotArea collapsedLevelsAreSubtotals="1" fieldPosition="0">
        <references count="1">
          <reference field="1" count="1">
            <x v="63"/>
          </reference>
        </references>
      </pivotArea>
    </format>
    <format dxfId="2286">
      <pivotArea dataOnly="0" labelOnly="1" fieldPosition="0">
        <references count="1">
          <reference field="1" count="1">
            <x v="63"/>
          </reference>
        </references>
      </pivotArea>
    </format>
    <format dxfId="2285">
      <pivotArea collapsedLevelsAreSubtotals="1" fieldPosition="0">
        <references count="1">
          <reference field="1" count="1">
            <x v="62"/>
          </reference>
        </references>
      </pivotArea>
    </format>
    <format dxfId="2284">
      <pivotArea dataOnly="0" labelOnly="1" fieldPosition="0">
        <references count="1">
          <reference field="1" count="1">
            <x v="62"/>
          </reference>
        </references>
      </pivotArea>
    </format>
    <format dxfId="2283">
      <pivotArea collapsedLevelsAreSubtotals="1" fieldPosition="0">
        <references count="1">
          <reference field="1" count="1">
            <x v="60"/>
          </reference>
        </references>
      </pivotArea>
    </format>
    <format dxfId="2282">
      <pivotArea collapsedLevelsAreSubtotals="1" fieldPosition="0">
        <references count="1">
          <reference field="1" count="1">
            <x v="61"/>
          </reference>
        </references>
      </pivotArea>
    </format>
    <format dxfId="2281">
      <pivotArea dataOnly="0" labelOnly="1" fieldPosition="0">
        <references count="1">
          <reference field="1" count="2">
            <x v="60"/>
            <x v="61"/>
          </reference>
        </references>
      </pivotArea>
    </format>
    <format dxfId="2280">
      <pivotArea collapsedLevelsAreSubtotals="1" fieldPosition="0">
        <references count="1">
          <reference field="1" count="1">
            <x v="59"/>
          </reference>
        </references>
      </pivotArea>
    </format>
    <format dxfId="2279">
      <pivotArea dataOnly="0" labelOnly="1" fieldPosition="0">
        <references count="1">
          <reference field="1" count="1">
            <x v="59"/>
          </reference>
        </references>
      </pivotArea>
    </format>
    <format dxfId="2278">
      <pivotArea collapsedLevelsAreSubtotals="1" fieldPosition="0">
        <references count="1">
          <reference field="1" count="1">
            <x v="244"/>
          </reference>
        </references>
      </pivotArea>
    </format>
    <format dxfId="2277">
      <pivotArea collapsedLevelsAreSubtotals="1" fieldPosition="0">
        <references count="1">
          <reference field="1" count="1">
            <x v="56"/>
          </reference>
        </references>
      </pivotArea>
    </format>
    <format dxfId="2276">
      <pivotArea collapsedLevelsAreSubtotals="1" fieldPosition="0">
        <references count="1">
          <reference field="1" count="1">
            <x v="254"/>
          </reference>
        </references>
      </pivotArea>
    </format>
    <format dxfId="2275">
      <pivotArea dataOnly="0" labelOnly="1" fieldPosition="0">
        <references count="1">
          <reference field="1" count="3">
            <x v="56"/>
            <x v="244"/>
            <x v="254"/>
          </reference>
        </references>
      </pivotArea>
    </format>
    <format dxfId="2274">
      <pivotArea collapsedLevelsAreSubtotals="1" fieldPosition="0">
        <references count="1">
          <reference field="1" count="1">
            <x v="58"/>
          </reference>
        </references>
      </pivotArea>
    </format>
    <format dxfId="2273">
      <pivotArea dataOnly="0" labelOnly="1" fieldPosition="0">
        <references count="1">
          <reference field="1" count="1">
            <x v="58"/>
          </reference>
        </references>
      </pivotArea>
    </format>
    <format dxfId="2272">
      <pivotArea collapsedLevelsAreSubtotals="1" fieldPosition="0">
        <references count="1">
          <reference field="1" count="1">
            <x v="56"/>
          </reference>
        </references>
      </pivotArea>
    </format>
    <format dxfId="2271">
      <pivotArea collapsedLevelsAreSubtotals="1" fieldPosition="0">
        <references count="1">
          <reference field="1" count="1">
            <x v="57"/>
          </reference>
        </references>
      </pivotArea>
    </format>
    <format dxfId="2270">
      <pivotArea dataOnly="0" labelOnly="1" fieldPosition="0">
        <references count="1">
          <reference field="1" count="2">
            <x v="56"/>
            <x v="57"/>
          </reference>
        </references>
      </pivotArea>
    </format>
    <format dxfId="2269">
      <pivotArea dataOnly="0" labelOnly="1" fieldPosition="0">
        <references count="1">
          <reference field="1" count="1">
            <x v="57"/>
          </reference>
        </references>
      </pivotArea>
    </format>
    <format dxfId="2268">
      <pivotArea collapsedLevelsAreSubtotals="1" fieldPosition="0">
        <references count="1">
          <reference field="1" count="1">
            <x v="55"/>
          </reference>
        </references>
      </pivotArea>
    </format>
    <format dxfId="2267">
      <pivotArea dataOnly="0" labelOnly="1" fieldPosition="0">
        <references count="1">
          <reference field="1" count="1">
            <x v="55"/>
          </reference>
        </references>
      </pivotArea>
    </format>
    <format dxfId="2266">
      <pivotArea collapsedLevelsAreSubtotals="1" fieldPosition="0">
        <references count="1">
          <reference field="1" count="1">
            <x v="53"/>
          </reference>
        </references>
      </pivotArea>
    </format>
    <format dxfId="2265">
      <pivotArea dataOnly="0" labelOnly="1" fieldPosition="0">
        <references count="1">
          <reference field="1" count="1">
            <x v="53"/>
          </reference>
        </references>
      </pivotArea>
    </format>
    <format dxfId="2264">
      <pivotArea collapsedLevelsAreSubtotals="1" fieldPosition="0">
        <references count="1">
          <reference field="1" count="1">
            <x v="54"/>
          </reference>
        </references>
      </pivotArea>
    </format>
    <format dxfId="2263">
      <pivotArea dataOnly="0" labelOnly="1" fieldPosition="0">
        <references count="1">
          <reference field="1" count="1">
            <x v="54"/>
          </reference>
        </references>
      </pivotArea>
    </format>
    <format dxfId="2262">
      <pivotArea dataOnly="0" labelOnly="1" fieldPosition="0">
        <references count="1">
          <reference field="1" count="1">
            <x v="52"/>
          </reference>
        </references>
      </pivotArea>
    </format>
    <format dxfId="2261">
      <pivotArea collapsedLevelsAreSubtotals="1" fieldPosition="0">
        <references count="1">
          <reference field="1" count="1">
            <x v="52"/>
          </reference>
        </references>
      </pivotArea>
    </format>
    <format dxfId="2260">
      <pivotArea collapsedLevelsAreSubtotals="1" fieldPosition="0">
        <references count="1">
          <reference field="1" count="1">
            <x v="53"/>
          </reference>
        </references>
      </pivotArea>
    </format>
    <format dxfId="2259">
      <pivotArea dataOnly="0" labelOnly="1" fieldPosition="0">
        <references count="1">
          <reference field="1" count="2">
            <x v="52"/>
            <x v="53"/>
          </reference>
        </references>
      </pivotArea>
    </format>
    <format dxfId="2258">
      <pivotArea collapsedLevelsAreSubtotals="1" fieldPosition="0">
        <references count="1">
          <reference field="1" count="1">
            <x v="51"/>
          </reference>
        </references>
      </pivotArea>
    </format>
    <format dxfId="2257">
      <pivotArea dataOnly="0" labelOnly="1" fieldPosition="0">
        <references count="1">
          <reference field="1" count="1">
            <x v="51"/>
          </reference>
        </references>
      </pivotArea>
    </format>
    <format dxfId="2256">
      <pivotArea collapsedLevelsAreSubtotals="1" fieldPosition="0">
        <references count="1">
          <reference field="1" count="1">
            <x v="49"/>
          </reference>
        </references>
      </pivotArea>
    </format>
    <format dxfId="2255">
      <pivotArea collapsedLevelsAreSubtotals="1" fieldPosition="0">
        <references count="1">
          <reference field="1" count="1">
            <x v="50"/>
          </reference>
        </references>
      </pivotArea>
    </format>
    <format dxfId="2254">
      <pivotArea dataOnly="0" labelOnly="1" fieldPosition="0">
        <references count="1">
          <reference field="1" count="2">
            <x v="49"/>
            <x v="50"/>
          </reference>
        </references>
      </pivotArea>
    </format>
    <format dxfId="2253">
      <pivotArea collapsedLevelsAreSubtotals="1" fieldPosition="0">
        <references count="1">
          <reference field="1" count="1">
            <x v="48"/>
          </reference>
        </references>
      </pivotArea>
    </format>
    <format dxfId="2252">
      <pivotArea dataOnly="0" labelOnly="1" fieldPosition="0">
        <references count="1">
          <reference field="1" count="1">
            <x v="48"/>
          </reference>
        </references>
      </pivotArea>
    </format>
    <format dxfId="2251">
      <pivotArea collapsedLevelsAreSubtotals="1" fieldPosition="0">
        <references count="1">
          <reference field="1" count="1">
            <x v="47"/>
          </reference>
        </references>
      </pivotArea>
    </format>
    <format dxfId="2250">
      <pivotArea dataOnly="0" labelOnly="1" fieldPosition="0">
        <references count="1">
          <reference field="1" count="1">
            <x v="47"/>
          </reference>
        </references>
      </pivotArea>
    </format>
    <format dxfId="2249">
      <pivotArea collapsedLevelsAreSubtotals="1" fieldPosition="0">
        <references count="1">
          <reference field="1" count="1">
            <x v="45"/>
          </reference>
        </references>
      </pivotArea>
    </format>
    <format dxfId="2248">
      <pivotArea collapsedLevelsAreSubtotals="1" fieldPosition="0">
        <references count="1">
          <reference field="1" count="1">
            <x v="46"/>
          </reference>
        </references>
      </pivotArea>
    </format>
    <format dxfId="2247">
      <pivotArea dataOnly="0" labelOnly="1" fieldPosition="0">
        <references count="1">
          <reference field="1" count="2">
            <x v="45"/>
            <x v="46"/>
          </reference>
        </references>
      </pivotArea>
    </format>
    <format dxfId="2246">
      <pivotArea collapsedLevelsAreSubtotals="1" fieldPosition="0">
        <references count="1">
          <reference field="1" count="1">
            <x v="263"/>
          </reference>
        </references>
      </pivotArea>
    </format>
    <format dxfId="2245">
      <pivotArea dataOnly="0" labelOnly="1" fieldPosition="0">
        <references count="1">
          <reference field="1" count="1">
            <x v="263"/>
          </reference>
        </references>
      </pivotArea>
    </format>
    <format dxfId="2244">
      <pivotArea collapsedLevelsAreSubtotals="1" fieldPosition="0">
        <references count="1">
          <reference field="1" count="1">
            <x v="41"/>
          </reference>
        </references>
      </pivotArea>
    </format>
    <format dxfId="2243">
      <pivotArea collapsedLevelsAreSubtotals="1" fieldPosition="0">
        <references count="1">
          <reference field="1" count="1">
            <x v="42"/>
          </reference>
        </references>
      </pivotArea>
    </format>
    <format dxfId="2242">
      <pivotArea collapsedLevelsAreSubtotals="1" fieldPosition="0">
        <references count="1">
          <reference field="1" count="1">
            <x v="43"/>
          </reference>
        </references>
      </pivotArea>
    </format>
    <format dxfId="2241">
      <pivotArea collapsedLevelsAreSubtotals="1" fieldPosition="0">
        <references count="1">
          <reference field="1" count="1">
            <x v="44"/>
          </reference>
        </references>
      </pivotArea>
    </format>
    <format dxfId="2240">
      <pivotArea dataOnly="0" labelOnly="1" fieldPosition="0">
        <references count="1">
          <reference field="1" count="4">
            <x v="41"/>
            <x v="42"/>
            <x v="43"/>
            <x v="44"/>
          </reference>
        </references>
      </pivotArea>
    </format>
    <format dxfId="2239">
      <pivotArea collapsedLevelsAreSubtotals="1" fieldPosition="0">
        <references count="1">
          <reference field="1" count="1">
            <x v="40"/>
          </reference>
        </references>
      </pivotArea>
    </format>
    <format dxfId="2238">
      <pivotArea dataOnly="0" labelOnly="1" fieldPosition="0">
        <references count="1">
          <reference field="1" count="1">
            <x v="40"/>
          </reference>
        </references>
      </pivotArea>
    </format>
    <format dxfId="2237">
      <pivotArea collapsedLevelsAreSubtotals="1" fieldPosition="0">
        <references count="1">
          <reference field="1" count="1">
            <x v="36"/>
          </reference>
        </references>
      </pivotArea>
    </format>
    <format dxfId="2236">
      <pivotArea collapsedLevelsAreSubtotals="1" fieldPosition="0">
        <references count="1">
          <reference field="1" count="1">
            <x v="37"/>
          </reference>
        </references>
      </pivotArea>
    </format>
    <format dxfId="2235">
      <pivotArea collapsedLevelsAreSubtotals="1" fieldPosition="0">
        <references count="1">
          <reference field="1" count="1">
            <x v="38"/>
          </reference>
        </references>
      </pivotArea>
    </format>
    <format dxfId="2234">
      <pivotArea collapsedLevelsAreSubtotals="1" fieldPosition="0">
        <references count="1">
          <reference field="1" count="1">
            <x v="39"/>
          </reference>
        </references>
      </pivotArea>
    </format>
    <format dxfId="2233">
      <pivotArea dataOnly="0" labelOnly="1" fieldPosition="0">
        <references count="1">
          <reference field="1" count="4">
            <x v="36"/>
            <x v="37"/>
            <x v="38"/>
            <x v="39"/>
          </reference>
        </references>
      </pivotArea>
    </format>
    <format dxfId="2232">
      <pivotArea collapsedLevelsAreSubtotals="1" fieldPosition="0">
        <references count="1">
          <reference field="1" count="1">
            <x v="35"/>
          </reference>
        </references>
      </pivotArea>
    </format>
    <format dxfId="2231">
      <pivotArea dataOnly="0" labelOnly="1" fieldPosition="0">
        <references count="1">
          <reference field="1" count="1">
            <x v="35"/>
          </reference>
        </references>
      </pivotArea>
    </format>
    <format dxfId="2230">
      <pivotArea collapsedLevelsAreSubtotals="1" fieldPosition="0">
        <references count="1">
          <reference field="1" count="1">
            <x v="32"/>
          </reference>
        </references>
      </pivotArea>
    </format>
    <format dxfId="2229">
      <pivotArea collapsedLevelsAreSubtotals="1" fieldPosition="0">
        <references count="1">
          <reference field="1" count="1">
            <x v="33"/>
          </reference>
        </references>
      </pivotArea>
    </format>
    <format dxfId="2228">
      <pivotArea collapsedLevelsAreSubtotals="1" fieldPosition="0">
        <references count="1">
          <reference field="1" count="1">
            <x v="34"/>
          </reference>
        </references>
      </pivotArea>
    </format>
    <format dxfId="2227">
      <pivotArea dataOnly="0" labelOnly="1" fieldPosition="0">
        <references count="1">
          <reference field="1" count="3">
            <x v="32"/>
            <x v="33"/>
            <x v="34"/>
          </reference>
        </references>
      </pivotArea>
    </format>
    <format dxfId="2226">
      <pivotArea collapsedLevelsAreSubtotals="1" fieldPosition="0">
        <references count="1">
          <reference field="1" count="1">
            <x v="31"/>
          </reference>
        </references>
      </pivotArea>
    </format>
    <format dxfId="2225">
      <pivotArea dataOnly="0" labelOnly="1" fieldPosition="0">
        <references count="1">
          <reference field="1" count="1">
            <x v="31"/>
          </reference>
        </references>
      </pivotArea>
    </format>
    <format dxfId="2224">
      <pivotArea collapsedLevelsAreSubtotals="1" fieldPosition="0">
        <references count="1">
          <reference field="1" count="1">
            <x v="29"/>
          </reference>
        </references>
      </pivotArea>
    </format>
    <format dxfId="2223">
      <pivotArea collapsedLevelsAreSubtotals="1" fieldPosition="0">
        <references count="1">
          <reference field="1" count="1">
            <x v="30"/>
          </reference>
        </references>
      </pivotArea>
    </format>
    <format dxfId="2222">
      <pivotArea dataOnly="0" labelOnly="1" fieldPosition="0">
        <references count="1">
          <reference field="1" count="2">
            <x v="29"/>
            <x v="30"/>
          </reference>
        </references>
      </pivotArea>
    </format>
    <format dxfId="2221">
      <pivotArea collapsedLevelsAreSubtotals="1" fieldPosition="0">
        <references count="1">
          <reference field="1" count="1">
            <x v="28"/>
          </reference>
        </references>
      </pivotArea>
    </format>
    <format dxfId="2220">
      <pivotArea dataOnly="0" labelOnly="1" fieldPosition="0">
        <references count="1">
          <reference field="1" count="1">
            <x v="28"/>
          </reference>
        </references>
      </pivotArea>
    </format>
    <format dxfId="2219">
      <pivotArea collapsedLevelsAreSubtotals="1" fieldPosition="0">
        <references count="1">
          <reference field="1" count="1">
            <x v="27"/>
          </reference>
        </references>
      </pivotArea>
    </format>
    <format dxfId="2218">
      <pivotArea dataOnly="0" labelOnly="1" fieldPosition="0">
        <references count="1">
          <reference field="1" count="1">
            <x v="27"/>
          </reference>
        </references>
      </pivotArea>
    </format>
    <format dxfId="2217">
      <pivotArea collapsedLevelsAreSubtotals="1" fieldPosition="0">
        <references count="1">
          <reference field="1" count="1">
            <x v="26"/>
          </reference>
        </references>
      </pivotArea>
    </format>
    <format dxfId="2216">
      <pivotArea dataOnly="0" labelOnly="1" fieldPosition="0">
        <references count="1">
          <reference field="1" count="1">
            <x v="26"/>
          </reference>
        </references>
      </pivotArea>
    </format>
    <format dxfId="2215">
      <pivotArea collapsedLevelsAreSubtotals="1" fieldPosition="0">
        <references count="1">
          <reference field="1" count="1">
            <x v="25"/>
          </reference>
        </references>
      </pivotArea>
    </format>
    <format dxfId="2214">
      <pivotArea dataOnly="0" labelOnly="1" fieldPosition="0">
        <references count="1">
          <reference field="1" count="1">
            <x v="25"/>
          </reference>
        </references>
      </pivotArea>
    </format>
    <format dxfId="2213">
      <pivotArea collapsedLevelsAreSubtotals="1" fieldPosition="0">
        <references count="1">
          <reference field="1" count="1">
            <x v="24"/>
          </reference>
        </references>
      </pivotArea>
    </format>
    <format dxfId="2212">
      <pivotArea dataOnly="0" labelOnly="1" fieldPosition="0">
        <references count="1">
          <reference field="1" count="1">
            <x v="24"/>
          </reference>
        </references>
      </pivotArea>
    </format>
    <format dxfId="2211">
      <pivotArea collapsedLevelsAreSubtotals="1" fieldPosition="0">
        <references count="1">
          <reference field="1" count="1">
            <x v="22"/>
          </reference>
        </references>
      </pivotArea>
    </format>
    <format dxfId="2210">
      <pivotArea collapsedLevelsAreSubtotals="1" fieldPosition="0">
        <references count="1">
          <reference field="1" count="1">
            <x v="23"/>
          </reference>
        </references>
      </pivotArea>
    </format>
    <format dxfId="2209">
      <pivotArea dataOnly="0" labelOnly="1" fieldPosition="0">
        <references count="1">
          <reference field="1" count="2">
            <x v="22"/>
            <x v="23"/>
          </reference>
        </references>
      </pivotArea>
    </format>
    <format dxfId="2208">
      <pivotArea collapsedLevelsAreSubtotals="1" fieldPosition="0">
        <references count="1">
          <reference field="1" count="1">
            <x v="19"/>
          </reference>
        </references>
      </pivotArea>
    </format>
    <format dxfId="2207">
      <pivotArea collapsedLevelsAreSubtotals="1" fieldPosition="0">
        <references count="1">
          <reference field="1" count="1">
            <x v="20"/>
          </reference>
        </references>
      </pivotArea>
    </format>
    <format dxfId="2206">
      <pivotArea collapsedLevelsAreSubtotals="1" fieldPosition="0">
        <references count="1">
          <reference field="1" count="1">
            <x v="21"/>
          </reference>
        </references>
      </pivotArea>
    </format>
    <format dxfId="2205">
      <pivotArea dataOnly="0" labelOnly="1" fieldPosition="0">
        <references count="1">
          <reference field="1" count="3">
            <x v="19"/>
            <x v="20"/>
            <x v="21"/>
          </reference>
        </references>
      </pivotArea>
    </format>
    <format dxfId="2204">
      <pivotArea collapsedLevelsAreSubtotals="1" fieldPosition="0">
        <references count="1">
          <reference field="1" count="1">
            <x v="15"/>
          </reference>
        </references>
      </pivotArea>
    </format>
    <format dxfId="2203">
      <pivotArea collapsedLevelsAreSubtotals="1" fieldPosition="0">
        <references count="1">
          <reference field="1" count="1">
            <x v="16"/>
          </reference>
        </references>
      </pivotArea>
    </format>
    <format dxfId="2202">
      <pivotArea collapsedLevelsAreSubtotals="1" fieldPosition="0">
        <references count="1">
          <reference field="1" count="1">
            <x v="17"/>
          </reference>
        </references>
      </pivotArea>
    </format>
    <format dxfId="2201">
      <pivotArea collapsedLevelsAreSubtotals="1" fieldPosition="0">
        <references count="1">
          <reference field="1" count="1">
            <x v="18"/>
          </reference>
        </references>
      </pivotArea>
    </format>
    <format dxfId="2200">
      <pivotArea dataOnly="0" labelOnly="1" fieldPosition="0">
        <references count="1">
          <reference field="1" count="4">
            <x v="15"/>
            <x v="16"/>
            <x v="17"/>
            <x v="18"/>
          </reference>
        </references>
      </pivotArea>
    </format>
    <format dxfId="2199">
      <pivotArea collapsedLevelsAreSubtotals="1" fieldPosition="0">
        <references count="1">
          <reference field="1" count="1">
            <x v="14"/>
          </reference>
        </references>
      </pivotArea>
    </format>
    <format dxfId="2198">
      <pivotArea dataOnly="0" labelOnly="1" fieldPosition="0">
        <references count="1">
          <reference field="1" count="1">
            <x v="14"/>
          </reference>
        </references>
      </pivotArea>
    </format>
    <format dxfId="2197">
      <pivotArea collapsedLevelsAreSubtotals="1" fieldPosition="0">
        <references count="1">
          <reference field="1" count="1">
            <x v="13"/>
          </reference>
        </references>
      </pivotArea>
    </format>
    <format dxfId="2196">
      <pivotArea dataOnly="0" labelOnly="1" fieldPosition="0">
        <references count="1">
          <reference field="1" count="1">
            <x v="13"/>
          </reference>
        </references>
      </pivotArea>
    </format>
    <format dxfId="2195">
      <pivotArea collapsedLevelsAreSubtotals="1" fieldPosition="0">
        <references count="1">
          <reference field="1" count="1">
            <x v="11"/>
          </reference>
        </references>
      </pivotArea>
    </format>
    <format dxfId="2194">
      <pivotArea collapsedLevelsAreSubtotals="1" fieldPosition="0">
        <references count="1">
          <reference field="1" count="1">
            <x v="12"/>
          </reference>
        </references>
      </pivotArea>
    </format>
    <format dxfId="2193">
      <pivotArea dataOnly="0" labelOnly="1" fieldPosition="0">
        <references count="1">
          <reference field="1" count="2">
            <x v="11"/>
            <x v="12"/>
          </reference>
        </references>
      </pivotArea>
    </format>
    <format dxfId="2192">
      <pivotArea collapsedLevelsAreSubtotals="1" fieldPosition="0">
        <references count="1">
          <reference field="1" count="1">
            <x v="10"/>
          </reference>
        </references>
      </pivotArea>
    </format>
    <format dxfId="2191">
      <pivotArea dataOnly="0" labelOnly="1" fieldPosition="0">
        <references count="1">
          <reference field="1" count="1">
            <x v="10"/>
          </reference>
        </references>
      </pivotArea>
    </format>
    <format dxfId="2190">
      <pivotArea collapsedLevelsAreSubtotals="1" fieldPosition="0">
        <references count="1">
          <reference field="1" count="1">
            <x v="8"/>
          </reference>
        </references>
      </pivotArea>
    </format>
    <format dxfId="2189">
      <pivotArea collapsedLevelsAreSubtotals="1" fieldPosition="0">
        <references count="1">
          <reference field="1" count="1">
            <x v="9"/>
          </reference>
        </references>
      </pivotArea>
    </format>
    <format dxfId="2188">
      <pivotArea dataOnly="0" labelOnly="1" fieldPosition="0">
        <references count="1">
          <reference field="1" count="2">
            <x v="8"/>
            <x v="9"/>
          </reference>
        </references>
      </pivotArea>
    </format>
    <format dxfId="2187">
      <pivotArea collapsedLevelsAreSubtotals="1" fieldPosition="0">
        <references count="1">
          <reference field="1" count="1">
            <x v="7"/>
          </reference>
        </references>
      </pivotArea>
    </format>
    <format dxfId="2186">
      <pivotArea dataOnly="0" labelOnly="1" fieldPosition="0">
        <references count="1">
          <reference field="1" count="1">
            <x v="7"/>
          </reference>
        </references>
      </pivotArea>
    </format>
    <format dxfId="2185">
      <pivotArea collapsedLevelsAreSubtotals="1" fieldPosition="0">
        <references count="1">
          <reference field="1" count="1">
            <x v="6"/>
          </reference>
        </references>
      </pivotArea>
    </format>
    <format dxfId="2184">
      <pivotArea dataOnly="0" labelOnly="1" fieldPosition="0">
        <references count="1">
          <reference field="1" count="1">
            <x v="6"/>
          </reference>
        </references>
      </pivotArea>
    </format>
    <format dxfId="2183">
      <pivotArea collapsedLevelsAreSubtotals="1" fieldPosition="0">
        <references count="3">
          <reference field="4294967294" count="1" selected="0">
            <x v="0"/>
          </reference>
          <reference field="1" count="1" selected="0">
            <x v="31"/>
          </reference>
          <reference field="2" count="1">
            <x v="854"/>
          </reference>
        </references>
      </pivotArea>
    </format>
    <format dxfId="2182">
      <pivotArea collapsedLevelsAreSubtotals="1" fieldPosition="0">
        <references count="3">
          <reference field="4294967294" count="1" selected="0">
            <x v="0"/>
          </reference>
          <reference field="1" count="1" selected="0">
            <x v="31"/>
          </reference>
          <reference field="2" count="1">
            <x v="1108"/>
          </reference>
        </references>
      </pivotArea>
    </format>
    <format dxfId="2181">
      <pivotArea collapsedLevelsAreSubtotals="1" fieldPosition="0">
        <references count="3">
          <reference field="4294967294" count="1" selected="0">
            <x v="0"/>
          </reference>
          <reference field="1" count="1" selected="0">
            <x v="31"/>
          </reference>
          <reference field="2" count="1">
            <x v="145"/>
          </reference>
        </references>
      </pivotArea>
    </format>
    <format dxfId="2180">
      <pivotArea collapsedLevelsAreSubtotals="1" fieldPosition="0">
        <references count="3">
          <reference field="4294967294" count="1" selected="0">
            <x v="0"/>
          </reference>
          <reference field="1" count="1" selected="0">
            <x v="31"/>
          </reference>
          <reference field="2" count="1">
            <x v="619"/>
          </reference>
        </references>
      </pivotArea>
    </format>
    <format dxfId="2179">
      <pivotArea collapsedLevelsAreSubtotals="1" fieldPosition="0">
        <references count="3">
          <reference field="4294967294" count="1" selected="0">
            <x v="0"/>
          </reference>
          <reference field="1" count="1" selected="0">
            <x v="42"/>
          </reference>
          <reference field="2" count="1">
            <x v="854"/>
          </reference>
        </references>
      </pivotArea>
    </format>
    <format dxfId="2178">
      <pivotArea collapsedLevelsAreSubtotals="1" fieldPosition="0">
        <references count="3">
          <reference field="4294967294" count="1" selected="0">
            <x v="0"/>
          </reference>
          <reference field="1" count="1" selected="0">
            <x v="42"/>
          </reference>
          <reference field="2" count="1">
            <x v="865"/>
          </reference>
        </references>
      </pivotArea>
    </format>
    <format dxfId="2177">
      <pivotArea collapsedLevelsAreSubtotals="1" fieldPosition="0">
        <references count="3">
          <reference field="4294967294" count="1" selected="0">
            <x v="0"/>
          </reference>
          <reference field="1" count="1" selected="0">
            <x v="42"/>
          </reference>
          <reference field="2" count="1">
            <x v="788"/>
          </reference>
        </references>
      </pivotArea>
    </format>
    <format dxfId="2176">
      <pivotArea collapsedLevelsAreSubtotals="1" fieldPosition="0">
        <references count="1">
          <reference field="1" count="1">
            <x v="1"/>
          </reference>
        </references>
      </pivotArea>
    </format>
    <format dxfId="2175">
      <pivotArea collapsedLevelsAreSubtotals="1" fieldPosition="0">
        <references count="1">
          <reference field="1" count="1">
            <x v="3"/>
          </reference>
        </references>
      </pivotArea>
    </format>
    <format dxfId="2174">
      <pivotArea collapsedLevelsAreSubtotals="1" fieldPosition="0">
        <references count="1">
          <reference field="1" count="1">
            <x v="4"/>
          </reference>
        </references>
      </pivotArea>
    </format>
    <format dxfId="2173">
      <pivotArea collapsedLevelsAreSubtotals="1" fieldPosition="0">
        <references count="1">
          <reference field="1" count="1">
            <x v="5"/>
          </reference>
        </references>
      </pivotArea>
    </format>
    <format dxfId="2172">
      <pivotArea dataOnly="0" labelOnly="1" fieldPosition="0">
        <references count="1">
          <reference field="1" count="4">
            <x v="1"/>
            <x v="3"/>
            <x v="4"/>
            <x v="5"/>
          </reference>
        </references>
      </pivotArea>
    </format>
    <format dxfId="2171">
      <pivotArea collapsedLevelsAreSubtotals="1" fieldPosition="0">
        <references count="1">
          <reference field="1" count="1">
            <x v="0"/>
          </reference>
        </references>
      </pivotArea>
    </format>
    <format dxfId="2170">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57"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561">
        <item x="0"/>
        <item x="1"/>
        <item x="2"/>
        <item x="4"/>
        <item x="5"/>
        <item x="7"/>
        <item x="8"/>
        <item x="9"/>
        <item m="1" x="1501"/>
        <item x="10"/>
        <item x="11"/>
        <item m="1" x="1427"/>
        <item x="12"/>
        <item x="13"/>
        <item x="14"/>
        <item x="16"/>
        <item x="18"/>
        <item x="3"/>
        <item x="6"/>
        <item x="17"/>
        <item x="15"/>
        <item m="1" x="1423"/>
        <item m="1" x="1494"/>
        <item x="21"/>
        <item x="19"/>
        <item x="23"/>
        <item m="1" x="1524"/>
        <item x="24"/>
        <item x="20"/>
        <item x="28"/>
        <item m="1" x="1491"/>
        <item x="22"/>
        <item x="39"/>
        <item x="25"/>
        <item x="29"/>
        <item x="35"/>
        <item x="26"/>
        <item x="27"/>
        <item x="38"/>
        <item x="30"/>
        <item x="31"/>
        <item x="32"/>
        <item m="1" x="1429"/>
        <item x="37"/>
        <item m="1" x="1512"/>
        <item m="1" x="1499"/>
        <item x="44"/>
        <item x="34"/>
        <item x="40"/>
        <item x="33"/>
        <item x="36"/>
        <item x="60"/>
        <item x="42"/>
        <item m="1" x="1437"/>
        <item x="41"/>
        <item x="47"/>
        <item x="43"/>
        <item m="1" x="1537"/>
        <item x="50"/>
        <item x="45"/>
        <item x="46"/>
        <item x="52"/>
        <item m="1" x="1535"/>
        <item x="53"/>
        <item x="56"/>
        <item x="49"/>
        <item x="48"/>
        <item m="1" x="1452"/>
        <item x="51"/>
        <item m="1" x="1510"/>
        <item x="54"/>
        <item x="55"/>
        <item x="62"/>
        <item x="57"/>
        <item x="58"/>
        <item x="59"/>
        <item x="61"/>
        <item x="63"/>
        <item x="64"/>
        <item x="65"/>
        <item x="66"/>
        <item x="67"/>
        <item x="68"/>
        <item m="1" x="1508"/>
        <item m="1" x="1461"/>
        <item x="69"/>
        <item x="70"/>
        <item x="76"/>
        <item m="1" x="1527"/>
        <item m="1" x="1542"/>
        <item m="1" x="1451"/>
        <item x="71"/>
        <item x="72"/>
        <item x="73"/>
        <item x="74"/>
        <item x="75"/>
        <item x="77"/>
        <item x="78"/>
        <item x="79"/>
        <item m="1" x="1473"/>
        <item x="87"/>
        <item x="80"/>
        <item m="1" x="1553"/>
        <item x="81"/>
        <item x="82"/>
        <item x="83"/>
        <item x="84"/>
        <item x="85"/>
        <item x="86"/>
        <item x="88"/>
        <item x="89"/>
        <item x="90"/>
        <item x="91"/>
        <item m="1" x="1470"/>
        <item x="92"/>
        <item x="93"/>
        <item x="94"/>
        <item x="95"/>
        <item m="1" x="1480"/>
        <item x="96"/>
        <item m="1" x="1534"/>
        <item x="97"/>
        <item x="104"/>
        <item x="98"/>
        <item x="109"/>
        <item x="99"/>
        <item x="100"/>
        <item x="101"/>
        <item x="102"/>
        <item x="103"/>
        <item x="105"/>
        <item x="106"/>
        <item x="107"/>
        <item x="108"/>
        <item x="110"/>
        <item x="111"/>
        <item m="1" x="1462"/>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87"/>
        <item m="1" x="1468"/>
        <item x="140"/>
        <item x="166"/>
        <item x="145"/>
        <item x="142"/>
        <item x="190"/>
        <item x="143"/>
        <item m="1" x="155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36"/>
        <item x="178"/>
        <item x="179"/>
        <item x="180"/>
        <item x="181"/>
        <item x="141"/>
        <item x="154"/>
        <item x="168"/>
        <item x="182"/>
        <item x="184"/>
        <item x="216"/>
        <item m="1" x="1500"/>
        <item x="186"/>
        <item x="185"/>
        <item x="187"/>
        <item x="188"/>
        <item x="191"/>
        <item x="192"/>
        <item x="193"/>
        <item x="194"/>
        <item x="195"/>
        <item x="196"/>
        <item x="197"/>
        <item x="199"/>
        <item x="200"/>
        <item x="201"/>
        <item m="1" x="1401"/>
        <item m="1" x="1403"/>
        <item m="1" x="1515"/>
        <item m="1" x="1418"/>
        <item x="204"/>
        <item x="202"/>
        <item x="203"/>
        <item x="205"/>
        <item x="206"/>
        <item x="183"/>
        <item x="207"/>
        <item x="208"/>
        <item x="209"/>
        <item x="210"/>
        <item x="211"/>
        <item m="1" x="1502"/>
        <item m="1" x="1414"/>
        <item m="1" x="1408"/>
        <item m="1" x="1448"/>
        <item x="222"/>
        <item x="212"/>
        <item x="213"/>
        <item x="214"/>
        <item x="215"/>
        <item x="217"/>
        <item m="1" x="1525"/>
        <item x="218"/>
        <item x="219"/>
        <item x="220"/>
        <item m="1" x="1426"/>
        <item m="1" x="1522"/>
        <item x="221"/>
        <item x="223"/>
        <item x="224"/>
        <item x="228"/>
        <item x="229"/>
        <item x="230"/>
        <item x="231"/>
        <item x="232"/>
        <item x="233"/>
        <item x="234"/>
        <item x="235"/>
        <item x="241"/>
        <item x="236"/>
        <item x="237"/>
        <item x="238"/>
        <item x="239"/>
        <item x="240"/>
        <item x="242"/>
        <item x="243"/>
        <item m="1" x="1513"/>
        <item x="244"/>
        <item x="245"/>
        <item m="1" x="146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42"/>
        <item x="373"/>
        <item x="114"/>
        <item x="279"/>
        <item x="280"/>
        <item x="226"/>
        <item m="1" x="1478"/>
        <item x="281"/>
        <item x="282"/>
        <item m="1" x="1474"/>
        <item x="283"/>
        <item x="284"/>
        <item x="285"/>
        <item x="286"/>
        <item x="287"/>
        <item x="288"/>
        <item x="135"/>
        <item x="289"/>
        <item x="290"/>
        <item x="291"/>
        <item x="292"/>
        <item x="293"/>
        <item x="294"/>
        <item x="295"/>
        <item x="296"/>
        <item x="370"/>
        <item x="297"/>
        <item x="298"/>
        <item x="299"/>
        <item x="300"/>
        <item x="301"/>
        <item m="1" x="1486"/>
        <item x="303"/>
        <item x="302"/>
        <item x="304"/>
        <item m="1" x="1460"/>
        <item x="312"/>
        <item x="309"/>
        <item x="308"/>
        <item m="1" x="1551"/>
        <item x="305"/>
        <item x="311"/>
        <item x="306"/>
        <item x="307"/>
        <item x="227"/>
        <item x="310"/>
        <item x="313"/>
        <item x="314"/>
        <item x="315"/>
        <item x="316"/>
        <item x="321"/>
        <item x="317"/>
        <item x="318"/>
        <item x="320"/>
        <item x="319"/>
        <item x="322"/>
        <item x="323"/>
        <item x="324"/>
        <item x="325"/>
        <item x="326"/>
        <item x="327"/>
        <item x="328"/>
        <item m="1" x="1421"/>
        <item x="329"/>
        <item x="330"/>
        <item x="331"/>
        <item x="332"/>
        <item x="333"/>
        <item x="334"/>
        <item m="1" x="1548"/>
        <item m="1" x="1557"/>
        <item m="1" x="1539"/>
        <item m="1" x="1475"/>
        <item m="1" x="1471"/>
        <item x="336"/>
        <item x="335"/>
        <item x="337"/>
        <item x="338"/>
        <item x="339"/>
        <item x="351"/>
        <item x="340"/>
        <item x="341"/>
        <item x="342"/>
        <item m="1" x="1428"/>
        <item x="343"/>
        <item x="344"/>
        <item x="345"/>
        <item x="346"/>
        <item x="361"/>
        <item x="347"/>
        <item x="348"/>
        <item x="349"/>
        <item x="350"/>
        <item x="355"/>
        <item x="352"/>
        <item x="354"/>
        <item x="353"/>
        <item x="371"/>
        <item x="362"/>
        <item x="356"/>
        <item x="357"/>
        <item x="358"/>
        <item x="359"/>
        <item x="360"/>
        <item m="1" x="1430"/>
        <item x="363"/>
        <item x="364"/>
        <item x="365"/>
        <item x="366"/>
        <item x="367"/>
        <item x="368"/>
        <item x="369"/>
        <item m="1" x="1416"/>
        <item m="1" x="1489"/>
        <item m="1" x="1495"/>
        <item x="372"/>
        <item x="374"/>
        <item m="1" x="1516"/>
        <item x="378"/>
        <item x="381"/>
        <item x="375"/>
        <item x="376"/>
        <item x="377"/>
        <item m="1" x="1449"/>
        <item x="379"/>
        <item x="380"/>
        <item x="382"/>
        <item x="383"/>
        <item x="384"/>
        <item x="385"/>
        <item m="1" x="1531"/>
        <item m="1" x="1496"/>
        <item x="386"/>
        <item x="387"/>
        <item x="388"/>
        <item m="1" x="1431"/>
        <item m="1" x="1443"/>
        <item x="389"/>
        <item x="390"/>
        <item x="393"/>
        <item x="391"/>
        <item x="392"/>
        <item x="394"/>
        <item x="395"/>
        <item x="396"/>
        <item x="397"/>
        <item x="398"/>
        <item x="399"/>
        <item m="1" x="1465"/>
        <item x="400"/>
        <item x="401"/>
        <item x="402"/>
        <item x="403"/>
        <item x="404"/>
        <item x="405"/>
        <item m="1" x="1547"/>
        <item x="406"/>
        <item x="407"/>
        <item x="409"/>
        <item x="410"/>
        <item x="411"/>
        <item x="412"/>
        <item m="1" x="1523"/>
        <item x="413"/>
        <item x="414"/>
        <item x="415"/>
        <item x="408"/>
        <item x="416"/>
        <item m="1" x="1554"/>
        <item x="421"/>
        <item m="1" x="1439"/>
        <item x="417"/>
        <item x="418"/>
        <item x="420"/>
        <item m="1" x="1541"/>
        <item x="419"/>
        <item m="1" x="1543"/>
        <item x="422"/>
        <item x="423"/>
        <item x="424"/>
        <item x="425"/>
        <item x="426"/>
        <item x="427"/>
        <item x="428"/>
        <item x="429"/>
        <item x="430"/>
        <item x="431"/>
        <item x="432"/>
        <item x="433"/>
        <item x="434"/>
        <item x="435"/>
        <item x="436"/>
        <item x="437"/>
        <item x="438"/>
        <item x="439"/>
        <item x="440"/>
        <item x="441"/>
        <item x="442"/>
        <item x="443"/>
        <item m="1" x="1482"/>
        <item x="444"/>
        <item x="445"/>
        <item x="446"/>
        <item m="1" x="1479"/>
        <item x="447"/>
        <item m="1" x="1485"/>
        <item x="448"/>
        <item m="1" x="1546"/>
        <item x="449"/>
        <item x="450"/>
        <item m="1" x="1406"/>
        <item x="451"/>
        <item x="452"/>
        <item x="453"/>
        <item x="454"/>
        <item x="455"/>
        <item m="1" x="1415"/>
        <item x="456"/>
        <item x="457"/>
        <item x="458"/>
        <item x="459"/>
        <item x="460"/>
        <item x="461"/>
        <item x="462"/>
        <item m="1" x="1424"/>
        <item x="463"/>
        <item x="464"/>
        <item x="465"/>
        <item x="466"/>
        <item x="467"/>
        <item x="468"/>
        <item x="469"/>
        <item x="470"/>
        <item x="471"/>
        <item x="472"/>
        <item m="1" x="1434"/>
        <item x="473"/>
        <item x="474"/>
        <item x="475"/>
        <item x="476"/>
        <item x="477"/>
        <item m="1" x="1518"/>
        <item x="478"/>
        <item x="479"/>
        <item x="480"/>
        <item x="481"/>
        <item m="1" x="1506"/>
        <item x="482"/>
        <item x="483"/>
        <item x="484"/>
        <item x="485"/>
        <item x="486"/>
        <item x="487"/>
        <item x="488"/>
        <item x="489"/>
        <item x="490"/>
        <item x="491"/>
        <item x="492"/>
        <item x="493"/>
        <item x="494"/>
        <item x="495"/>
        <item x="496"/>
        <item m="1" x="1529"/>
        <item x="498"/>
        <item x="497"/>
        <item x="499"/>
        <item x="500"/>
        <item x="501"/>
        <item x="502"/>
        <item x="503"/>
        <item m="1" x="1481"/>
        <item x="505"/>
        <item x="506"/>
        <item x="507"/>
        <item x="508"/>
        <item x="509"/>
        <item x="510"/>
        <item x="511"/>
        <item m="1" x="1444"/>
        <item m="1" x="1438"/>
        <item m="1" x="1440"/>
        <item m="1" x="1432"/>
        <item m="1" x="1528"/>
        <item x="512"/>
        <item x="513"/>
        <item x="514"/>
        <item x="515"/>
        <item x="516"/>
        <item x="517"/>
        <item x="518"/>
        <item x="519"/>
        <item x="520"/>
        <item x="521"/>
        <item x="522"/>
        <item x="523"/>
        <item x="524"/>
        <item x="525"/>
        <item x="526"/>
        <item x="527"/>
        <item x="528"/>
        <item x="529"/>
        <item x="530"/>
        <item x="531"/>
        <item x="532"/>
        <item m="1" x="1492"/>
        <item x="538"/>
        <item x="533"/>
        <item x="534"/>
        <item x="535"/>
        <item x="536"/>
        <item x="537"/>
        <item x="542"/>
        <item x="539"/>
        <item x="540"/>
        <item x="541"/>
        <item x="543"/>
        <item x="544"/>
        <item x="545"/>
        <item x="546"/>
        <item x="547"/>
        <item x="549"/>
        <item x="550"/>
        <item x="551"/>
        <item x="552"/>
        <item x="553"/>
        <item x="554"/>
        <item x="555"/>
        <item m="1" x="144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07"/>
        <item x="607"/>
        <item x="611"/>
        <item x="612"/>
        <item x="613"/>
        <item x="614"/>
        <item x="608"/>
        <item x="609"/>
        <item x="610"/>
        <item x="615"/>
        <item x="616"/>
        <item m="1" x="1420"/>
        <item x="617"/>
        <item x="618"/>
        <item m="1" x="1509"/>
        <item x="619"/>
        <item x="620"/>
        <item x="621"/>
        <item m="1" x="1412"/>
        <item x="622"/>
        <item m="1" x="1517"/>
        <item x="624"/>
        <item x="623"/>
        <item x="625"/>
        <item x="627"/>
        <item x="629"/>
        <item x="630"/>
        <item x="631"/>
        <item x="632"/>
        <item x="633"/>
        <item x="634"/>
        <item m="1" x="1435"/>
        <item x="648"/>
        <item x="635"/>
        <item m="1" x="1450"/>
        <item m="1" x="1538"/>
        <item x="636"/>
        <item x="637"/>
        <item x="626"/>
        <item x="641"/>
        <item x="642"/>
        <item x="643"/>
        <item m="1" x="1532"/>
        <item x="628"/>
        <item x="644"/>
        <item x="645"/>
        <item x="646"/>
        <item m="1" x="1533"/>
        <item x="647"/>
        <item x="649"/>
        <item x="650"/>
        <item x="640"/>
        <item x="651"/>
        <item x="652"/>
        <item m="1" x="1504"/>
        <item x="653"/>
        <item m="1" x="1503"/>
        <item m="1" x="1493"/>
        <item m="1" x="1511"/>
        <item x="654"/>
        <item m="1" x="1445"/>
        <item x="655"/>
        <item x="656"/>
        <item x="657"/>
        <item x="658"/>
        <item x="659"/>
        <item x="639"/>
        <item x="660"/>
        <item x="662"/>
        <item x="665"/>
        <item x="663"/>
        <item x="664"/>
        <item x="638"/>
        <item x="661"/>
        <item x="666"/>
        <item x="667"/>
        <item x="668"/>
        <item x="669"/>
        <item x="670"/>
        <item x="671"/>
        <item x="672"/>
        <item x="673"/>
        <item x="674"/>
        <item m="1" x="1536"/>
        <item x="675"/>
        <item m="1" x="1540"/>
        <item x="679"/>
        <item x="676"/>
        <item x="677"/>
        <item x="678"/>
        <item x="680"/>
        <item m="1" x="1453"/>
        <item x="682"/>
        <item x="681"/>
        <item x="683"/>
        <item x="684"/>
        <item x="685"/>
        <item x="686"/>
        <item x="687"/>
        <item x="688"/>
        <item x="697"/>
        <item x="689"/>
        <item x="690"/>
        <item x="691"/>
        <item x="705"/>
        <item x="700"/>
        <item x="692"/>
        <item x="693"/>
        <item x="694"/>
        <item m="1" x="1459"/>
        <item x="695"/>
        <item x="696"/>
        <item x="698"/>
        <item x="699"/>
        <item x="701"/>
        <item m="1" x="1455"/>
        <item x="702"/>
        <item x="706"/>
        <item x="703"/>
        <item x="704"/>
        <item x="707"/>
        <item x="717"/>
        <item x="709"/>
        <item x="710"/>
        <item x="711"/>
        <item x="712"/>
        <item x="713"/>
        <item x="714"/>
        <item x="715"/>
        <item x="716"/>
        <item m="1" x="1484"/>
        <item x="718"/>
        <item x="719"/>
        <item x="720"/>
        <item m="1" x="1514"/>
        <item m="1" x="1545"/>
        <item m="1" x="1549"/>
        <item x="726"/>
        <item x="721"/>
        <item x="722"/>
        <item x="723"/>
        <item x="724"/>
        <item x="725"/>
        <item x="727"/>
        <item x="758"/>
        <item x="728"/>
        <item x="729"/>
        <item x="730"/>
        <item m="1" x="1497"/>
        <item m="1" x="1413"/>
        <item x="731"/>
        <item x="732"/>
        <item x="733"/>
        <item m="1" x="1469"/>
        <item x="734"/>
        <item x="735"/>
        <item x="736"/>
        <item x="737"/>
        <item x="738"/>
        <item x="739"/>
        <item x="740"/>
        <item x="741"/>
        <item x="742"/>
        <item x="765"/>
        <item x="743"/>
        <item x="744"/>
        <item x="745"/>
        <item x="746"/>
        <item x="753"/>
        <item x="747"/>
        <item m="1" x="1404"/>
        <item x="748"/>
        <item x="749"/>
        <item x="750"/>
        <item x="751"/>
        <item x="767"/>
        <item x="752"/>
        <item x="754"/>
        <item x="755"/>
        <item x="756"/>
        <item x="757"/>
        <item m="1" x="1477"/>
        <item x="759"/>
        <item m="1" x="1559"/>
        <item x="760"/>
        <item m="1" x="1419"/>
        <item x="761"/>
        <item x="762"/>
        <item m="1" x="1425"/>
        <item x="763"/>
        <item m="1" x="1407"/>
        <item x="764"/>
        <item x="766"/>
        <item x="768"/>
        <item m="1" x="1411"/>
        <item x="769"/>
        <item x="770"/>
        <item x="771"/>
        <item x="772"/>
        <item x="773"/>
        <item x="774"/>
        <item x="775"/>
        <item x="776"/>
        <item x="777"/>
        <item x="778"/>
        <item x="779"/>
        <item x="780"/>
        <item x="781"/>
        <item x="782"/>
        <item x="783"/>
        <item x="784"/>
        <item x="785"/>
        <item x="786"/>
        <item x="787"/>
        <item x="788"/>
        <item x="789"/>
        <item x="790"/>
        <item x="791"/>
        <item m="1" x="1410"/>
        <item x="792"/>
        <item m="1" x="1456"/>
        <item x="793"/>
        <item x="799"/>
        <item x="794"/>
        <item x="795"/>
        <item x="796"/>
        <item x="797"/>
        <item x="798"/>
        <item x="800"/>
        <item x="802"/>
        <item x="801"/>
        <item m="1" x="1457"/>
        <item x="803"/>
        <item x="804"/>
        <item x="805"/>
        <item x="808"/>
        <item x="810"/>
        <item x="809"/>
        <item m="1" x="1454"/>
        <item x="812"/>
        <item x="807"/>
        <item m="1" x="1446"/>
        <item x="819"/>
        <item m="1" x="1550"/>
        <item x="811"/>
        <item x="813"/>
        <item x="815"/>
        <item x="816"/>
        <item x="806"/>
        <item x="814"/>
        <item x="817"/>
        <item m="1" x="1467"/>
        <item x="821"/>
        <item x="822"/>
        <item m="1" x="1526"/>
        <item x="824"/>
        <item x="829"/>
        <item x="827"/>
        <item x="823"/>
        <item x="828"/>
        <item x="833"/>
        <item x="831"/>
        <item x="832"/>
        <item x="830"/>
        <item x="708"/>
        <item x="837"/>
        <item x="838"/>
        <item x="835"/>
        <item x="840"/>
        <item x="841"/>
        <item x="842"/>
        <item m="1" x="1544"/>
        <item x="834"/>
        <item m="1" x="1483"/>
        <item m="1" x="1530"/>
        <item x="820"/>
        <item x="836"/>
        <item x="839"/>
        <item x="846"/>
        <item x="845"/>
        <item x="847"/>
        <item x="844"/>
        <item m="1" x="1476"/>
        <item x="849"/>
        <item x="848"/>
        <item x="843"/>
        <item m="1" x="1552"/>
        <item x="850"/>
        <item x="852"/>
        <item x="853"/>
        <item x="854"/>
        <item x="856"/>
        <item x="857"/>
        <item x="851"/>
        <item x="858"/>
        <item x="859"/>
        <item m="1" x="1519"/>
        <item x="818"/>
        <item x="855"/>
        <item x="826"/>
        <item x="860"/>
        <item x="862"/>
        <item x="861"/>
        <item x="863"/>
        <item x="864"/>
        <item x="865"/>
        <item x="868"/>
        <item x="866"/>
        <item x="867"/>
        <item x="870"/>
        <item x="871"/>
        <item x="872"/>
        <item x="874"/>
        <item m="1" x="1472"/>
        <item x="873"/>
        <item x="877"/>
        <item x="879"/>
        <item x="878"/>
        <item x="876"/>
        <item x="880"/>
        <item x="881"/>
        <item x="883"/>
        <item m="1" x="1463"/>
        <item x="875"/>
        <item x="882"/>
        <item x="884"/>
        <item x="886"/>
        <item x="887"/>
        <item x="885"/>
        <item x="825"/>
        <item x="888"/>
        <item x="889"/>
        <item x="890"/>
        <item x="891"/>
        <item m="1" x="1488"/>
        <item x="892"/>
        <item x="893"/>
        <item x="894"/>
        <item x="898"/>
        <item x="896"/>
        <item x="900"/>
        <item x="895"/>
        <item x="897"/>
        <item x="902"/>
        <item x="903"/>
        <item x="904"/>
        <item x="905"/>
        <item x="901"/>
        <item x="899"/>
        <item x="906"/>
        <item x="869"/>
        <item m="1" x="1402"/>
        <item x="908"/>
        <item x="907"/>
        <item x="909"/>
        <item m="1" x="1405"/>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56"/>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490"/>
        <item x="1156"/>
        <item x="1154"/>
        <item x="1159"/>
        <item x="1158"/>
        <item x="1162"/>
        <item x="1133"/>
        <item x="1123"/>
        <item x="1164"/>
        <item x="1161"/>
        <item x="1163"/>
        <item x="1165"/>
        <item x="1166"/>
        <item x="1167"/>
        <item x="1168"/>
        <item x="1169"/>
        <item x="1171"/>
        <item x="1173"/>
        <item x="1174"/>
        <item m="1" x="1409"/>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17"/>
        <item m="1" x="1498"/>
        <item m="1" x="1505"/>
        <item m="1" x="1422"/>
        <item m="1" x="1441"/>
        <item x="1210"/>
        <item x="1213"/>
        <item x="1205"/>
        <item x="1209"/>
        <item x="1211"/>
        <item x="1208"/>
        <item x="1204"/>
        <item x="1206"/>
        <item x="1214"/>
        <item x="1215"/>
        <item x="1207"/>
        <item x="1212"/>
        <item m="1" x="1520"/>
        <item x="1217"/>
        <item x="1222"/>
        <item x="1223"/>
        <item x="1225"/>
        <item m="1" x="1466"/>
        <item x="1219"/>
        <item x="1221"/>
        <item x="1224"/>
        <item x="1218"/>
        <item x="1228"/>
        <item x="1227"/>
        <item x="1229"/>
        <item x="1226"/>
        <item m="1" x="1521"/>
        <item x="1216"/>
        <item x="1232"/>
        <item x="1231"/>
        <item x="1233"/>
        <item x="1234"/>
        <item x="1236"/>
        <item x="1237"/>
        <item x="1239"/>
        <item x="1243"/>
        <item x="1244"/>
        <item x="1245"/>
        <item x="1248"/>
        <item x="1249"/>
        <item x="1242"/>
        <item m="1" x="1458"/>
        <item m="1" x="1433"/>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55"/>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1"/>
        <item x="1369"/>
        <item x="1370"/>
        <item x="1374"/>
        <item x="1378"/>
        <item x="1383"/>
        <item x="1384"/>
        <item x="1372"/>
        <item x="1377"/>
        <item x="1373"/>
        <item x="1375"/>
        <item x="1385"/>
        <item x="1387"/>
        <item x="1382"/>
        <item x="1389"/>
        <item x="1388"/>
        <item x="1376"/>
        <item x="1381"/>
        <item x="1386"/>
        <item x="1380"/>
        <item x="1390"/>
        <item x="1393"/>
        <item x="1394"/>
        <item x="1396"/>
        <item x="1391"/>
        <item x="1398"/>
        <item x="1399"/>
        <item x="1395"/>
        <item x="1397"/>
        <item x="1400"/>
        <item x="1379"/>
        <item x="1392"/>
        <item x="1365"/>
        <item t="default"/>
      </items>
    </pivotField>
    <pivotField axis="axisRow" showAll="0">
      <items count="182">
        <item x="48"/>
        <item x="50"/>
        <item x="39"/>
        <item x="37"/>
        <item x="40"/>
        <item x="0"/>
        <item x="24"/>
        <item x="34"/>
        <item x="31"/>
        <item x="20"/>
        <item x="25"/>
        <item x="29"/>
        <item x="16"/>
        <item m="1" x="16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5"/>
        <item x="45"/>
        <item x="42"/>
        <item m="1" x="167"/>
        <item x="44"/>
        <item x="47"/>
        <item x="49"/>
        <item m="1" x="160"/>
        <item x="27"/>
        <item x="52"/>
        <item x="51"/>
        <item x="53"/>
        <item x="54"/>
        <item x="55"/>
        <item x="56"/>
        <item x="57"/>
        <item x="58"/>
        <item x="59"/>
        <item x="60"/>
        <item x="61"/>
        <item x="62"/>
        <item x="63"/>
        <item x="64"/>
        <item x="65"/>
        <item x="66"/>
        <item x="70"/>
        <item m="1" x="159"/>
        <item x="67"/>
        <item x="69"/>
        <item m="1" x="157"/>
        <item x="71"/>
        <item x="72"/>
        <item x="73"/>
        <item m="1" x="172"/>
        <item x="132"/>
        <item m="1" x="174"/>
        <item x="77"/>
        <item x="76"/>
        <item x="82"/>
        <item x="74"/>
        <item x="75"/>
        <item x="68"/>
        <item x="78"/>
        <item x="79"/>
        <item m="1" x="171"/>
        <item x="80"/>
        <item x="81"/>
        <item m="1" x="173"/>
        <item sd="0" x="83"/>
        <item sd="0" x="85"/>
        <item x="84"/>
        <item x="86"/>
        <item x="87"/>
        <item x="89"/>
        <item x="90"/>
        <item x="91"/>
        <item x="92"/>
        <item x="93"/>
        <item x="94"/>
        <item x="95"/>
        <item x="96"/>
        <item m="1" x="178"/>
        <item m="1" x="179"/>
        <item m="1" x="158"/>
        <item x="97"/>
        <item x="100"/>
        <item m="1" x="177"/>
        <item x="101"/>
        <item x="110"/>
        <item x="106"/>
        <item x="88"/>
        <item x="102"/>
        <item x="112"/>
        <item x="113"/>
        <item m="1" x="180"/>
        <item x="108"/>
        <item x="115"/>
        <item m="1" x="170"/>
        <item x="116"/>
        <item x="98"/>
        <item x="99"/>
        <item x="103"/>
        <item x="114"/>
        <item x="107"/>
        <item x="117"/>
        <item x="118"/>
        <item x="119"/>
        <item x="120"/>
        <item m="1" x="164"/>
        <item x="121"/>
        <item x="104"/>
        <item x="122"/>
        <item x="105"/>
        <item x="111"/>
        <item x="109"/>
        <item m="1" x="161"/>
        <item x="123"/>
        <item m="1" x="166"/>
        <item x="124"/>
        <item x="125"/>
        <item x="126"/>
        <item m="1" x="168"/>
        <item x="130"/>
        <item x="128"/>
        <item x="131"/>
        <item x="133"/>
        <item m="1" x="176"/>
        <item x="129"/>
        <item x="135"/>
        <item x="136"/>
        <item x="134"/>
        <item x="137"/>
        <item x="138"/>
        <item x="139"/>
        <item x="127"/>
        <item x="140"/>
        <item x="142"/>
        <item x="144"/>
        <item x="145"/>
        <item m="1" x="162"/>
        <item x="148"/>
        <item x="149"/>
        <item x="147"/>
        <item x="143"/>
        <item x="151"/>
        <item m="1" x="169"/>
        <item x="150"/>
        <item x="153"/>
        <item x="141"/>
        <item x="152"/>
        <item x="154"/>
        <item x="155"/>
        <item m="1" x="163"/>
        <item x="146"/>
        <item x="156"/>
        <item t="default"/>
      </items>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sd="0" m="1" x="75"/>
        <item sd="0" m="1" x="66"/>
        <item sd="0" m="1" x="49"/>
        <item sd="0" m="1" x="62"/>
        <item sd="0" x="13"/>
        <item sd="0" m="1" x="53"/>
        <item sd="0" m="1" x="79"/>
        <item sd="0" x="14"/>
        <item sd="0" m="1" x="58"/>
        <item sd="0" m="1" x="48"/>
        <item sd="0" m="1" x="65"/>
        <item sd="0" m="1" x="80"/>
        <item sd="0" m="1" x="55"/>
        <item sd="0" m="1" x="74"/>
        <item sd="0" m="1" x="52"/>
        <item sd="0" m="1" x="57"/>
        <item sd="0" m="1" x="42"/>
        <item sd="0" m="1" x="67"/>
        <item sd="0" x="18"/>
        <item sd="0" x="25"/>
        <item sd="0" m="1" x="41"/>
        <item sd="0" m="1" x="40"/>
        <item sd="0" m="1" x="51"/>
        <item sd="0" m="1" x="45"/>
        <item sd="0" m="1" x="56"/>
        <item sd="0" m="1" x="50"/>
        <item sd="0" x="19"/>
        <item sd="0" x="17"/>
        <item sd="0" x="20"/>
        <item sd="0" m="1" x="73"/>
        <item sd="0" m="1" x="72"/>
        <item sd="0" m="1" x="60"/>
        <item sd="0" m="1" x="47"/>
        <item sd="0" x="22"/>
        <item sd="0" x="15"/>
        <item sd="0" m="1" x="39"/>
        <item sd="0" x="34"/>
        <item sd="0" x="26"/>
        <item sd="0" x="27"/>
        <item sd="0" x="28"/>
        <item sd="0" x="32"/>
        <item sd="0" m="1" x="46"/>
        <item sd="0" m="1" x="78"/>
        <item sd="0" m="1" x="54"/>
        <item sd="0" m="1" x="68"/>
        <item sd="0" x="24"/>
        <item sd="0" m="1" x="61"/>
        <item sd="0" m="1" x="76"/>
        <item sd="0" x="30"/>
        <item sd="0" x="31"/>
        <item sd="0" x="23"/>
        <item sd="0" m="1" x="63"/>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9"/>
    </i>
    <i>
      <x v="10"/>
    </i>
    <i>
      <x v="33"/>
    </i>
    <i>
      <x v="30"/>
    </i>
    <i>
      <x v="52"/>
    </i>
    <i>
      <x v="62"/>
    </i>
    <i>
      <x v="80"/>
    </i>
    <i>
      <x v="4"/>
    </i>
    <i>
      <x v="11"/>
    </i>
    <i>
      <x v="45"/>
    </i>
    <i>
      <x v="13"/>
    </i>
    <i>
      <x v="66"/>
    </i>
    <i>
      <x v="78"/>
    </i>
    <i>
      <x v="76"/>
    </i>
    <i>
      <x v="14"/>
    </i>
    <i>
      <x v="20"/>
    </i>
    <i>
      <x v="7"/>
    </i>
    <i>
      <x v="22"/>
    </i>
    <i>
      <x v="60"/>
    </i>
    <i>
      <x v="8"/>
    </i>
    <i>
      <x v="71"/>
    </i>
    <i>
      <x v="65"/>
    </i>
    <i>
      <x v="12"/>
    </i>
    <i>
      <x v="75"/>
    </i>
    <i>
      <x v="53"/>
    </i>
    <i>
      <x v="64"/>
    </i>
    <i>
      <x v="79"/>
    </i>
    <i>
      <x v="19"/>
    </i>
    <i>
      <x v="59"/>
    </i>
    <i>
      <x v="74"/>
    </i>
    <i>
      <x v="23"/>
    </i>
    <i>
      <x v="6"/>
    </i>
    <i>
      <x v="18"/>
    </i>
    <i>
      <x v="5"/>
    </i>
    <i>
      <x v="63"/>
    </i>
    <i>
      <x v="54"/>
    </i>
    <i>
      <x v="4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2169">
      <pivotArea collapsedLevelsAreSubtotals="1" fieldPosition="0">
        <references count="1">
          <reference field="2" count="1">
            <x v="9"/>
          </reference>
        </references>
      </pivotArea>
    </format>
    <format dxfId="2168">
      <pivotArea collapsedLevelsAreSubtotals="1" fieldPosition="0">
        <references count="1">
          <reference field="2" count="1">
            <x v="4"/>
          </reference>
        </references>
      </pivotArea>
    </format>
    <format dxfId="2167">
      <pivotArea grandRow="1" outline="0" collapsedLevelsAreSubtotals="1" fieldPosition="0"/>
    </format>
    <format dxfId="2166">
      <pivotArea dataOnly="0" labelOnly="1" grandRow="1" outline="0" fieldPosition="0"/>
    </format>
    <format dxfId="2165">
      <pivotArea grandRow="1" outline="0" collapsedLevelsAreSubtotals="1" fieldPosition="0"/>
    </format>
    <format dxfId="2164">
      <pivotArea dataOnly="0" labelOnly="1" grandRow="1" outline="0" fieldPosition="0"/>
    </format>
    <format dxfId="2163">
      <pivotArea grandRow="1" outline="0" collapsedLevelsAreSubtotals="1" fieldPosition="0"/>
    </format>
    <format dxfId="2162">
      <pivotArea dataOnly="0" labelOnly="1" grandRow="1" outline="0" fieldPosition="0"/>
    </format>
    <format dxfId="2161">
      <pivotArea outline="0" collapsedLevelsAreSubtotals="1" fieldPosition="0">
        <references count="1">
          <reference field="4294967294" count="1" selected="0">
            <x v="0"/>
          </reference>
        </references>
      </pivotArea>
    </format>
    <format dxfId="2160">
      <pivotArea dataOnly="0" labelOnly="1" outline="0" fieldPosition="0">
        <references count="1">
          <reference field="0" count="0"/>
        </references>
      </pivotArea>
    </format>
    <format dxfId="2159">
      <pivotArea dataOnly="0" labelOnly="1" outline="0" fieldPosition="0">
        <references count="1">
          <reference field="4294967294" count="1">
            <x v="0"/>
          </reference>
        </references>
      </pivotArea>
    </format>
    <format dxfId="2158">
      <pivotArea outline="0" collapsedLevelsAreSubtotals="1" fieldPosition="0">
        <references count="1">
          <reference field="4294967294" count="1" selected="0">
            <x v="1"/>
          </reference>
        </references>
      </pivotArea>
    </format>
    <format dxfId="2157">
      <pivotArea dataOnly="0" labelOnly="1" outline="0" fieldPosition="0">
        <references count="1">
          <reference field="4294967294" count="1">
            <x v="1"/>
          </reference>
        </references>
      </pivotArea>
    </format>
    <format dxfId="2156">
      <pivotArea outline="0" collapsedLevelsAreSubtotals="1" fieldPosition="0">
        <references count="1">
          <reference field="4294967294" count="1" selected="0">
            <x v="2"/>
          </reference>
        </references>
      </pivotArea>
    </format>
    <format dxfId="2155">
      <pivotArea dataOnly="0" labelOnly="1" outline="0" fieldPosition="0">
        <references count="1">
          <reference field="4294967294" count="1">
            <x v="2"/>
          </reference>
        </references>
      </pivotArea>
    </format>
    <format dxfId="2154">
      <pivotArea grandRow="1" outline="0" collapsedLevelsAreSubtotals="1" fieldPosition="0"/>
    </format>
    <format dxfId="2153">
      <pivotArea dataOnly="0" labelOnly="1" grandRow="1" outline="0" fieldPosition="0"/>
    </format>
    <format dxfId="2152">
      <pivotArea type="all" dataOnly="0" outline="0" fieldPosition="0"/>
    </format>
    <format dxfId="2151">
      <pivotArea grandRow="1" outline="0" collapsedLevelsAreSubtotals="1" fieldPosition="0"/>
    </format>
    <format dxfId="2150">
      <pivotArea dataOnly="0" labelOnly="1" grandRow="1" outline="0" fieldPosition="0"/>
    </format>
    <format dxfId="2149">
      <pivotArea collapsedLevelsAreSubtotals="1" fieldPosition="0">
        <references count="2">
          <reference field="4294967294" count="1" selected="0">
            <x v="2"/>
          </reference>
          <reference field="1" count="1">
            <x v="22"/>
          </reference>
        </references>
      </pivotArea>
    </format>
    <format dxfId="2148">
      <pivotArea collapsedLevelsAreSubtotals="1" fieldPosition="0">
        <references count="3">
          <reference field="4294967294" count="1" selected="0">
            <x v="2"/>
          </reference>
          <reference field="1" count="1">
            <x v="22"/>
          </reference>
          <reference field="2" count="1" selected="0">
            <x v="7"/>
          </reference>
        </references>
      </pivotArea>
    </format>
    <format dxfId="2147">
      <pivotArea dataOnly="0" labelOnly="1" outline="0" fieldPosition="0">
        <references count="1">
          <reference field="4294967294" count="3">
            <x v="0"/>
            <x v="1"/>
            <x v="2"/>
          </reference>
        </references>
      </pivotArea>
    </format>
    <format dxfId="2146">
      <pivotArea dataOnly="0" labelOnly="1" outline="0" fieldPosition="0">
        <references count="1">
          <reference field="4294967294" count="1">
            <x v="0"/>
          </reference>
        </references>
      </pivotArea>
    </format>
    <format dxfId="2145">
      <pivotArea dataOnly="0" labelOnly="1" outline="0" fieldPosition="0">
        <references count="1">
          <reference field="4294967294" count="1">
            <x v="1"/>
          </reference>
        </references>
      </pivotArea>
    </format>
    <format dxfId="2144">
      <pivotArea dataOnly="0" labelOnly="1" outline="0" fieldPosition="0">
        <references count="1">
          <reference field="4294967294" count="1">
            <x v="1"/>
          </reference>
        </references>
      </pivotArea>
    </format>
    <format dxfId="2143">
      <pivotArea dataOnly="0" labelOnly="1" outline="0" fieldPosition="0">
        <references count="1">
          <reference field="4294967294" count="1">
            <x v="2"/>
          </reference>
        </references>
      </pivotArea>
    </format>
    <format dxfId="2142">
      <pivotArea dataOnly="0" labelOnly="1" fieldPosition="0">
        <references count="1">
          <reference field="2" count="0"/>
        </references>
      </pivotArea>
    </format>
    <format dxfId="2141">
      <pivotArea collapsedLevelsAreSubtotals="1" fieldPosition="0">
        <references count="2">
          <reference field="4294967294" count="1" selected="0">
            <x v="2"/>
          </reference>
          <reference field="2" count="1">
            <x v="4"/>
          </reference>
        </references>
      </pivotArea>
    </format>
    <format dxfId="2140">
      <pivotArea collapsedLevelsAreSubtotals="1" fieldPosition="0">
        <references count="2">
          <reference field="4294967294" count="1" selected="0">
            <x v="2"/>
          </reference>
          <reference field="2" count="1">
            <x v="9"/>
          </reference>
        </references>
      </pivotArea>
    </format>
    <format dxfId="2139">
      <pivotArea collapsedLevelsAreSubtotals="1" fieldPosition="0">
        <references count="2">
          <reference field="4294967294" count="1" selected="0">
            <x v="2"/>
          </reference>
          <reference field="2" count="1">
            <x v="14"/>
          </reference>
        </references>
      </pivotArea>
    </format>
    <format dxfId="2138">
      <pivotArea collapsedLevelsAreSubtotals="1" fieldPosition="0">
        <references count="3">
          <reference field="4294967294" count="1" selected="0">
            <x v="2"/>
          </reference>
          <reference field="1" count="3">
            <x v="3"/>
            <x v="37"/>
            <x v="41"/>
          </reference>
          <reference field="2" count="1" selected="0">
            <x v="14"/>
          </reference>
        </references>
      </pivotArea>
    </format>
    <format dxfId="2137">
      <pivotArea collapsedLevelsAreSubtotals="1" fieldPosition="0">
        <references count="3">
          <reference field="4294967294" count="1" selected="0">
            <x v="2"/>
          </reference>
          <reference field="1" count="1">
            <x v="6"/>
          </reference>
          <reference field="2" count="1" selected="0">
            <x v="14"/>
          </reference>
        </references>
      </pivotArea>
    </format>
    <format dxfId="2136">
      <pivotArea collapsedLevelsAreSubtotals="1" fieldPosition="0">
        <references count="3">
          <reference field="4294967294" count="1" selected="0">
            <x v="2"/>
          </reference>
          <reference field="1" count="1">
            <x v="27"/>
          </reference>
          <reference field="2" count="1" selected="0">
            <x v="14"/>
          </reference>
        </references>
      </pivotArea>
    </format>
    <format dxfId="2135">
      <pivotArea collapsedLevelsAreSubtotals="1" fieldPosition="0">
        <references count="1">
          <reference field="2" count="1">
            <x v="0"/>
          </reference>
        </references>
      </pivotArea>
    </format>
    <format dxfId="2134">
      <pivotArea collapsedLevelsAreSubtotals="1" fieldPosition="0">
        <references count="1">
          <reference field="2" count="1">
            <x v="14"/>
          </reference>
        </references>
      </pivotArea>
    </format>
    <format dxfId="2133">
      <pivotArea collapsedLevelsAreSubtotals="1" fieldPosition="0">
        <references count="1">
          <reference field="2" count="1">
            <x v="9"/>
          </reference>
        </references>
      </pivotArea>
    </format>
    <format dxfId="2132">
      <pivotArea collapsedLevelsAreSubtotals="1" fieldPosition="0">
        <references count="1">
          <reference field="2" count="1">
            <x v="5"/>
          </reference>
        </references>
      </pivotArea>
    </format>
    <format dxfId="2131">
      <pivotArea collapsedLevelsAreSubtotals="1" fieldPosition="0">
        <references count="1">
          <reference field="2" count="1">
            <x v="17"/>
          </reference>
        </references>
      </pivotArea>
    </format>
    <format dxfId="2130">
      <pivotArea collapsedLevelsAreSubtotals="1" fieldPosition="0">
        <references count="1">
          <reference field="2" count="1">
            <x v="2"/>
          </reference>
        </references>
      </pivotArea>
    </format>
    <format dxfId="2129">
      <pivotArea collapsedLevelsAreSubtotals="1" fieldPosition="0">
        <references count="1">
          <reference field="2" count="1">
            <x v="10"/>
          </reference>
        </references>
      </pivotArea>
    </format>
    <format dxfId="2128">
      <pivotArea collapsedLevelsAreSubtotals="1" fieldPosition="0">
        <references count="1">
          <reference field="2" count="1">
            <x v="1"/>
          </reference>
        </references>
      </pivotArea>
    </format>
    <format dxfId="2127">
      <pivotArea collapsedLevelsAreSubtotals="1" fieldPosition="0">
        <references count="1">
          <reference field="2" count="1">
            <x v="13"/>
          </reference>
        </references>
      </pivotArea>
    </format>
    <format dxfId="2126">
      <pivotArea collapsedLevelsAreSubtotals="1" fieldPosition="0">
        <references count="1">
          <reference field="2" count="1">
            <x v="4"/>
          </reference>
        </references>
      </pivotArea>
    </format>
    <format dxfId="2125">
      <pivotArea collapsedLevelsAreSubtotals="1" fieldPosition="0">
        <references count="1">
          <reference field="2" count="1">
            <x v="8"/>
          </reference>
        </references>
      </pivotArea>
    </format>
    <format dxfId="2124">
      <pivotArea collapsedLevelsAreSubtotals="1" fieldPosition="0">
        <references count="1">
          <reference field="2" count="1">
            <x v="3"/>
          </reference>
        </references>
      </pivotArea>
    </format>
    <format dxfId="2123">
      <pivotArea collapsedLevelsAreSubtotals="1" fieldPosition="0">
        <references count="1">
          <reference field="2" count="1">
            <x v="12"/>
          </reference>
        </references>
      </pivotArea>
    </format>
    <format dxfId="2122">
      <pivotArea collapsedLevelsAreSubtotals="1" fieldPosition="0">
        <references count="1">
          <reference field="2" count="1">
            <x v="6"/>
          </reference>
        </references>
      </pivotArea>
    </format>
    <format dxfId="2121">
      <pivotArea collapsedLevelsAreSubtotals="1" fieldPosition="0">
        <references count="1">
          <reference field="2" count="1">
            <x v="11"/>
          </reference>
        </references>
      </pivotArea>
    </format>
    <format dxfId="2120">
      <pivotArea collapsedLevelsAreSubtotals="1" fieldPosition="0">
        <references count="1">
          <reference field="2" count="1">
            <x v="20"/>
          </reference>
        </references>
      </pivotArea>
    </format>
    <format dxfId="2119">
      <pivotArea collapsedLevelsAreSubtotals="1" fieldPosition="0">
        <references count="2">
          <reference field="1" count="1">
            <x v="6"/>
          </reference>
          <reference field="2" count="1" selected="0">
            <x v="20"/>
          </reference>
        </references>
      </pivotArea>
    </format>
    <format dxfId="2118">
      <pivotArea collapsedLevelsAreSubtotals="1" fieldPosition="0">
        <references count="1">
          <reference field="2" count="1">
            <x v="7"/>
          </reference>
        </references>
      </pivotArea>
    </format>
    <format dxfId="2117">
      <pivotArea collapsedLevelsAreSubtotals="1" fieldPosition="0">
        <references count="1">
          <reference field="2" count="1">
            <x v="16"/>
          </reference>
        </references>
      </pivotArea>
    </format>
    <format dxfId="2116">
      <pivotArea collapsedLevelsAreSubtotals="1" fieldPosition="0">
        <references count="1">
          <reference field="2" count="1">
            <x v="19"/>
          </reference>
        </references>
      </pivotArea>
    </format>
    <format dxfId="2115">
      <pivotArea collapsedLevelsAreSubtotals="1" fieldPosition="0">
        <references count="1">
          <reference field="2" count="1">
            <x v="18"/>
          </reference>
        </references>
      </pivotArea>
    </format>
    <format dxfId="2114">
      <pivotArea collapsedLevelsAreSubtotals="1" fieldPosition="0">
        <references count="1">
          <reference field="2" count="1">
            <x v="15"/>
          </reference>
        </references>
      </pivotArea>
    </format>
    <format dxfId="2113">
      <pivotArea collapsedLevelsAreSubtotals="1" fieldPosition="0">
        <references count="1">
          <reference field="2" count="1">
            <x v="21"/>
          </reference>
        </references>
      </pivotArea>
    </format>
    <format dxfId="2112">
      <pivotArea collapsedLevelsAreSubtotals="1" fieldPosition="0">
        <references count="1">
          <reference field="2" count="1">
            <x v="22"/>
          </reference>
        </references>
      </pivotArea>
    </format>
    <format dxfId="2111">
      <pivotArea collapsedLevelsAreSubtotals="1" fieldPosition="0">
        <references count="1">
          <reference field="2" count="1">
            <x v="23"/>
          </reference>
        </references>
      </pivotArea>
    </format>
    <format dxfId="2110">
      <pivotArea collapsedLevelsAreSubtotals="1" fieldPosition="0">
        <references count="2">
          <reference field="4294967294" count="1" selected="0">
            <x v="2"/>
          </reference>
          <reference field="2" count="1">
            <x v="24"/>
          </reference>
        </references>
      </pivotArea>
    </format>
    <format dxfId="2109">
      <pivotArea collapsedLevelsAreSubtotals="1" fieldPosition="0">
        <references count="2">
          <reference field="4294967294" count="1" selected="0">
            <x v="2"/>
          </reference>
          <reference field="2" count="1">
            <x v="25"/>
          </reference>
        </references>
      </pivotArea>
    </format>
    <format dxfId="2108">
      <pivotArea collapsedLevelsAreSubtotals="1" fieldPosition="0">
        <references count="2">
          <reference field="4294967294" count="1" selected="0">
            <x v="2"/>
          </reference>
          <reference field="2" count="1">
            <x v="26"/>
          </reference>
        </references>
      </pivotArea>
    </format>
    <format dxfId="2107">
      <pivotArea collapsedLevelsAreSubtotals="1" fieldPosition="0">
        <references count="2">
          <reference field="4294967294" count="1" selected="0">
            <x v="2"/>
          </reference>
          <reference field="2" count="1">
            <x v="27"/>
          </reference>
        </references>
      </pivotArea>
    </format>
    <format dxfId="2106">
      <pivotArea collapsedLevelsAreSubtotals="1" fieldPosition="0">
        <references count="2">
          <reference field="4294967294" count="1" selected="0">
            <x v="2"/>
          </reference>
          <reference field="2" count="1">
            <x v="27"/>
          </reference>
        </references>
      </pivotArea>
    </format>
    <format dxfId="2105">
      <pivotArea collapsedLevelsAreSubtotals="1" fieldPosition="0">
        <references count="2">
          <reference field="4294967294" count="1" selected="0">
            <x v="2"/>
          </reference>
          <reference field="2" count="1">
            <x v="28"/>
          </reference>
        </references>
      </pivotArea>
    </format>
    <format dxfId="2104">
      <pivotArea collapsedLevelsAreSubtotals="1" fieldPosition="0">
        <references count="2">
          <reference field="4294967294" count="1" selected="0">
            <x v="2"/>
          </reference>
          <reference field="2" count="1">
            <x v="28"/>
          </reference>
        </references>
      </pivotArea>
    </format>
    <format dxfId="2103">
      <pivotArea collapsedLevelsAreSubtotals="1" fieldPosition="0">
        <references count="2">
          <reference field="4294967294" count="1" selected="0">
            <x v="2"/>
          </reference>
          <reference field="2" count="1">
            <x v="29"/>
          </reference>
        </references>
      </pivotArea>
    </format>
    <format dxfId="2102">
      <pivotArea collapsedLevelsAreSubtotals="1" fieldPosition="0">
        <references count="2">
          <reference field="4294967294" count="1" selected="0">
            <x v="2"/>
          </reference>
          <reference field="2" count="1">
            <x v="29"/>
          </reference>
        </references>
      </pivotArea>
    </format>
    <format dxfId="2101">
      <pivotArea collapsedLevelsAreSubtotals="1" fieldPosition="0">
        <references count="2">
          <reference field="4294967294" count="1" selected="0">
            <x v="2"/>
          </reference>
          <reference field="2" count="1">
            <x v="30"/>
          </reference>
        </references>
      </pivotArea>
    </format>
    <format dxfId="2100">
      <pivotArea collapsedLevelsAreSubtotals="1" fieldPosition="0">
        <references count="2">
          <reference field="4294967294" count="1" selected="0">
            <x v="2"/>
          </reference>
          <reference field="2" count="1">
            <x v="31"/>
          </reference>
        </references>
      </pivotArea>
    </format>
    <format dxfId="2099">
      <pivotArea collapsedLevelsAreSubtotals="1" fieldPosition="0">
        <references count="2">
          <reference field="4294967294" count="1" selected="0">
            <x v="2"/>
          </reference>
          <reference field="2" count="1">
            <x v="31"/>
          </reference>
        </references>
      </pivotArea>
    </format>
    <format dxfId="2098">
      <pivotArea collapsedLevelsAreSubtotals="1" fieldPosition="0">
        <references count="2">
          <reference field="4294967294" count="1" selected="0">
            <x v="2"/>
          </reference>
          <reference field="2" count="1">
            <x v="32"/>
          </reference>
        </references>
      </pivotArea>
    </format>
    <format dxfId="2097">
      <pivotArea collapsedLevelsAreSubtotals="1" fieldPosition="0">
        <references count="2">
          <reference field="4294967294" count="1" selected="0">
            <x v="2"/>
          </reference>
          <reference field="2" count="1">
            <x v="32"/>
          </reference>
        </references>
      </pivotArea>
    </format>
    <format dxfId="2096">
      <pivotArea collapsedLevelsAreSubtotals="1" fieldPosition="0">
        <references count="2">
          <reference field="4294967294" count="1" selected="0">
            <x v="2"/>
          </reference>
          <reference field="2" count="1">
            <x v="33"/>
          </reference>
        </references>
      </pivotArea>
    </format>
    <format dxfId="2095">
      <pivotArea collapsedLevelsAreSubtotals="1" fieldPosition="0">
        <references count="2">
          <reference field="4294967294" count="1" selected="0">
            <x v="2"/>
          </reference>
          <reference field="2" count="1">
            <x v="33"/>
          </reference>
        </references>
      </pivotArea>
    </format>
    <format dxfId="2094">
      <pivotArea collapsedLevelsAreSubtotals="1" fieldPosition="0">
        <references count="2">
          <reference field="4294967294" count="1" selected="0">
            <x v="2"/>
          </reference>
          <reference field="2" count="1">
            <x v="34"/>
          </reference>
        </references>
      </pivotArea>
    </format>
    <format dxfId="2093">
      <pivotArea collapsedLevelsAreSubtotals="1" fieldPosition="0">
        <references count="2">
          <reference field="4294967294" count="1" selected="0">
            <x v="2"/>
          </reference>
          <reference field="2" count="1">
            <x v="35"/>
          </reference>
        </references>
      </pivotArea>
    </format>
    <format dxfId="2092">
      <pivotArea collapsedLevelsAreSubtotals="1" fieldPosition="0">
        <references count="2">
          <reference field="4294967294" count="1" selected="0">
            <x v="2"/>
          </reference>
          <reference field="2" count="1">
            <x v="36"/>
          </reference>
        </references>
      </pivotArea>
    </format>
    <format dxfId="2091">
      <pivotArea collapsedLevelsAreSubtotals="1" fieldPosition="0">
        <references count="2">
          <reference field="4294967294" count="1" selected="0">
            <x v="2"/>
          </reference>
          <reference field="2" count="1">
            <x v="36"/>
          </reference>
        </references>
      </pivotArea>
    </format>
    <format dxfId="2090">
      <pivotArea collapsedLevelsAreSubtotals="1" fieldPosition="0">
        <references count="2">
          <reference field="4294967294" count="1" selected="0">
            <x v="2"/>
          </reference>
          <reference field="2" count="1">
            <x v="38"/>
          </reference>
        </references>
      </pivotArea>
    </format>
    <format dxfId="2089">
      <pivotArea collapsedLevelsAreSubtotals="1" fieldPosition="0">
        <references count="2">
          <reference field="4294967294" count="1" selected="0">
            <x v="2"/>
          </reference>
          <reference field="2" count="1">
            <x v="38"/>
          </reference>
        </references>
      </pivotArea>
    </format>
    <format dxfId="2088">
      <pivotArea collapsedLevelsAreSubtotals="1" fieldPosition="0">
        <references count="2">
          <reference field="4294967294" count="1" selected="0">
            <x v="2"/>
          </reference>
          <reference field="2" count="1">
            <x v="39"/>
          </reference>
        </references>
      </pivotArea>
    </format>
    <format dxfId="2087">
      <pivotArea collapsedLevelsAreSubtotals="1" fieldPosition="0">
        <references count="2">
          <reference field="4294967294" count="1" selected="0">
            <x v="2"/>
          </reference>
          <reference field="2" count="1">
            <x v="39"/>
          </reference>
        </references>
      </pivotArea>
    </format>
    <format dxfId="2086">
      <pivotArea collapsedLevelsAreSubtotals="1" fieldPosition="0">
        <references count="2">
          <reference field="4294967294" count="1" selected="0">
            <x v="2"/>
          </reference>
          <reference field="2" count="1">
            <x v="40"/>
          </reference>
        </references>
      </pivotArea>
    </format>
    <format dxfId="2085">
      <pivotArea collapsedLevelsAreSubtotals="1" fieldPosition="0">
        <references count="2">
          <reference field="4294967294" count="1" selected="0">
            <x v="2"/>
          </reference>
          <reference field="2" count="1">
            <x v="42"/>
          </reference>
        </references>
      </pivotArea>
    </format>
    <format dxfId="2084">
      <pivotArea collapsedLevelsAreSubtotals="1" fieldPosition="0">
        <references count="2">
          <reference field="4294967294" count="1" selected="0">
            <x v="2"/>
          </reference>
          <reference field="2" count="1">
            <x v="41"/>
          </reference>
        </references>
      </pivotArea>
    </format>
    <format dxfId="2083">
      <pivotArea collapsedLevelsAreSubtotals="1" fieldPosition="0">
        <references count="2">
          <reference field="4294967294" count="1" selected="0">
            <x v="2"/>
          </reference>
          <reference field="2" count="1">
            <x v="44"/>
          </reference>
        </references>
      </pivotArea>
    </format>
    <format dxfId="2082">
      <pivotArea collapsedLevelsAreSubtotals="1" fieldPosition="0">
        <references count="2">
          <reference field="4294967294" count="1" selected="0">
            <x v="2"/>
          </reference>
          <reference field="2" count="1">
            <x v="45"/>
          </reference>
        </references>
      </pivotArea>
    </format>
    <format dxfId="2081">
      <pivotArea collapsedLevelsAreSubtotals="1" fieldPosition="0">
        <references count="2">
          <reference field="4294967294" count="1" selected="0">
            <x v="2"/>
          </reference>
          <reference field="2" count="1">
            <x v="46"/>
          </reference>
        </references>
      </pivotArea>
    </format>
    <format dxfId="2080">
      <pivotArea collapsedLevelsAreSubtotals="1" fieldPosition="0">
        <references count="2">
          <reference field="4294967294" count="1" selected="0">
            <x v="2"/>
          </reference>
          <reference field="2" count="1">
            <x v="47"/>
          </reference>
        </references>
      </pivotArea>
    </format>
    <format dxfId="2079">
      <pivotArea collapsedLevelsAreSubtotals="1" fieldPosition="0">
        <references count="2">
          <reference field="4294967294" count="1" selected="0">
            <x v="2"/>
          </reference>
          <reference field="2" count="1">
            <x v="48"/>
          </reference>
        </references>
      </pivotArea>
    </format>
    <format dxfId="2078">
      <pivotArea collapsedLevelsAreSubtotals="1" fieldPosition="0">
        <references count="2">
          <reference field="4294967294" count="1" selected="0">
            <x v="2"/>
          </reference>
          <reference field="2" count="1">
            <x v="49"/>
          </reference>
        </references>
      </pivotArea>
    </format>
    <format dxfId="2077">
      <pivotArea collapsedLevelsAreSubtotals="1" fieldPosition="0">
        <references count="2">
          <reference field="4294967294" count="1" selected="0">
            <x v="2"/>
          </reference>
          <reference field="2" count="1">
            <x v="49"/>
          </reference>
        </references>
      </pivotArea>
    </format>
    <format dxfId="2076">
      <pivotArea collapsedLevelsAreSubtotals="1" fieldPosition="0">
        <references count="2">
          <reference field="4294967294" count="1" selected="0">
            <x v="2"/>
          </reference>
          <reference field="2" count="1">
            <x v="50"/>
          </reference>
        </references>
      </pivotArea>
    </format>
    <format dxfId="2075">
      <pivotArea collapsedLevelsAreSubtotals="1" fieldPosition="0">
        <references count="3">
          <reference field="4294967294" count="1" selected="0">
            <x v="2"/>
          </reference>
          <reference field="1" count="1" selected="0">
            <x v="95"/>
          </reference>
          <reference field="2" count="1">
            <x v="51"/>
          </reference>
        </references>
      </pivotArea>
    </format>
    <format dxfId="2074">
      <pivotArea collapsedLevelsAreSubtotals="1" fieldPosition="0">
        <references count="3">
          <reference field="4294967294" count="1" selected="0">
            <x v="2"/>
          </reference>
          <reference field="1" count="1" selected="0">
            <x v="95"/>
          </reference>
          <reference field="2" count="1">
            <x v="51"/>
          </reference>
        </references>
      </pivotArea>
    </format>
    <format dxfId="2073">
      <pivotArea collapsedLevelsAreSubtotals="1" fieldPosition="0">
        <references count="2">
          <reference field="4294967294" count="1" selected="0">
            <x v="2"/>
          </reference>
          <reference field="2" count="1">
            <x v="51"/>
          </reference>
        </references>
      </pivotArea>
    </format>
    <format dxfId="2072">
      <pivotArea collapsedLevelsAreSubtotals="1" fieldPosition="0">
        <references count="2">
          <reference field="4294967294" count="1" selected="0">
            <x v="2"/>
          </reference>
          <reference field="2" count="1">
            <x v="51"/>
          </reference>
        </references>
      </pivotArea>
    </format>
    <format dxfId="2071">
      <pivotArea collapsedLevelsAreSubtotals="1" fieldPosition="0">
        <references count="2">
          <reference field="4294967294" count="1" selected="0">
            <x v="2"/>
          </reference>
          <reference field="2" count="1">
            <x v="52"/>
          </reference>
        </references>
      </pivotArea>
    </format>
    <format dxfId="2070">
      <pivotArea collapsedLevelsAreSubtotals="1" fieldPosition="0">
        <references count="2">
          <reference field="4294967294" count="1" selected="0">
            <x v="2"/>
          </reference>
          <reference field="2" count="1">
            <x v="52"/>
          </reference>
        </references>
      </pivotArea>
    </format>
    <format dxfId="2069">
      <pivotArea collapsedLevelsAreSubtotals="1" fieldPosition="0">
        <references count="2">
          <reference field="4294967294" count="1" selected="0">
            <x v="2"/>
          </reference>
          <reference field="2" count="1">
            <x v="53"/>
          </reference>
        </references>
      </pivotArea>
    </format>
    <format dxfId="2068">
      <pivotArea collapsedLevelsAreSubtotals="1" fieldPosition="0">
        <references count="2">
          <reference field="4294967294" count="1" selected="0">
            <x v="2"/>
          </reference>
          <reference field="2" count="1">
            <x v="54"/>
          </reference>
        </references>
      </pivotArea>
    </format>
    <format dxfId="2067">
      <pivotArea collapsedLevelsAreSubtotals="1" fieldPosition="0">
        <references count="2">
          <reference field="4294967294" count="1" selected="0">
            <x v="2"/>
          </reference>
          <reference field="2" count="1">
            <x v="54"/>
          </reference>
        </references>
      </pivotArea>
    </format>
    <format dxfId="2066">
      <pivotArea collapsedLevelsAreSubtotals="1" fieldPosition="0">
        <references count="2">
          <reference field="4294967294" count="1" selected="0">
            <x v="2"/>
          </reference>
          <reference field="2" count="1">
            <x v="55"/>
          </reference>
        </references>
      </pivotArea>
    </format>
    <format dxfId="2065">
      <pivotArea collapsedLevelsAreSubtotals="1" fieldPosition="0">
        <references count="2">
          <reference field="4294967294" count="1" selected="0">
            <x v="2"/>
          </reference>
          <reference field="2" count="1">
            <x v="56"/>
          </reference>
        </references>
      </pivotArea>
    </format>
    <format dxfId="2064">
      <pivotArea type="all" dataOnly="0" outline="0" fieldPosition="0"/>
    </format>
    <format dxfId="2063">
      <pivotArea outline="0" collapsedLevelsAreSubtotals="1" fieldPosition="0"/>
    </format>
    <format dxfId="2062">
      <pivotArea dataOnly="0" labelOnly="1" fieldPosition="0">
        <references count="1">
          <reference field="2" count="0"/>
        </references>
      </pivotArea>
    </format>
    <format dxfId="2061">
      <pivotArea dataOnly="0" labelOnly="1" grandRow="1" outline="0" fieldPosition="0"/>
    </format>
    <format dxfId="2060">
      <pivotArea dataOnly="0" labelOnly="1" outline="0" fieldPosition="0">
        <references count="1">
          <reference field="4294967294" count="3">
            <x v="0"/>
            <x v="1"/>
            <x v="2"/>
          </reference>
        </references>
      </pivotArea>
    </format>
    <format dxfId="2059">
      <pivotArea collapsedLevelsAreSubtotals="1" fieldPosition="0">
        <references count="2">
          <reference field="4294967294" count="1" selected="0">
            <x v="2"/>
          </reference>
          <reference field="2" count="1">
            <x v="57"/>
          </reference>
        </references>
      </pivotArea>
    </format>
    <format dxfId="2058">
      <pivotArea collapsedLevelsAreSubtotals="1" fieldPosition="0">
        <references count="2">
          <reference field="4294967294" count="1" selected="0">
            <x v="2"/>
          </reference>
          <reference field="2" count="1">
            <x v="53"/>
          </reference>
        </references>
      </pivotArea>
    </format>
    <format dxfId="2057">
      <pivotArea collapsedLevelsAreSubtotals="1" fieldPosition="0">
        <references count="2">
          <reference field="4294967294" count="1" selected="0">
            <x v="2"/>
          </reference>
          <reference field="2" count="1">
            <x v="58"/>
          </reference>
        </references>
      </pivotArea>
    </format>
    <format dxfId="2056">
      <pivotArea collapsedLevelsAreSubtotals="1" fieldPosition="0">
        <references count="2">
          <reference field="4294967294" count="1" selected="0">
            <x v="2"/>
          </reference>
          <reference field="2" count="1">
            <x v="37"/>
          </reference>
        </references>
      </pivotArea>
    </format>
    <format dxfId="2055">
      <pivotArea collapsedLevelsAreSubtotals="1" fieldPosition="0">
        <references count="2">
          <reference field="4294967294" count="1" selected="0">
            <x v="2"/>
          </reference>
          <reference field="2" count="1">
            <x v="59"/>
          </reference>
        </references>
      </pivotArea>
    </format>
    <format dxfId="2054">
      <pivotArea collapsedLevelsAreSubtotals="1" fieldPosition="0">
        <references count="2">
          <reference field="4294967294" count="1" selected="0">
            <x v="2"/>
          </reference>
          <reference field="2" count="1">
            <x v="64"/>
          </reference>
        </references>
      </pivotArea>
    </format>
    <format dxfId="2053">
      <pivotArea collapsedLevelsAreSubtotals="1" fieldPosition="0">
        <references count="2">
          <reference field="4294967294" count="1" selected="0">
            <x v="2"/>
          </reference>
          <reference field="2" count="1">
            <x v="65"/>
          </reference>
        </references>
      </pivotArea>
    </format>
    <format dxfId="2052">
      <pivotArea collapsedLevelsAreSubtotals="1" fieldPosition="0">
        <references count="2">
          <reference field="4294967294" count="1" selected="0">
            <x v="2"/>
          </reference>
          <reference field="2" count="1">
            <x v="59"/>
          </reference>
        </references>
      </pivotArea>
    </format>
    <format dxfId="2051">
      <pivotArea collapsedLevelsAreSubtotals="1" fieldPosition="0">
        <references count="2">
          <reference field="4294967294" count="1" selected="0">
            <x v="2"/>
          </reference>
          <reference field="2" count="1">
            <x v="64"/>
          </reference>
        </references>
      </pivotArea>
    </format>
    <format dxfId="2050">
      <pivotArea collapsedLevelsAreSubtotals="1" fieldPosition="0">
        <references count="2">
          <reference field="4294967294" count="1" selected="0">
            <x v="2"/>
          </reference>
          <reference field="2" count="1">
            <x v="65"/>
          </reference>
        </references>
      </pivotArea>
    </format>
    <format dxfId="2049">
      <pivotArea collapsedLevelsAreSubtotals="1" fieldPosition="0">
        <references count="2">
          <reference field="4294967294" count="1" selected="0">
            <x v="2"/>
          </reference>
          <reference field="2" count="1">
            <x v="63"/>
          </reference>
        </references>
      </pivotArea>
    </format>
    <format dxfId="2048">
      <pivotArea collapsedLevelsAreSubtotals="1" fieldPosition="0">
        <references count="2">
          <reference field="4294967294" count="1" selected="0">
            <x v="2"/>
          </reference>
          <reference field="2" count="1">
            <x v="61"/>
          </reference>
        </references>
      </pivotArea>
    </format>
    <format dxfId="2047">
      <pivotArea collapsedLevelsAreSubtotals="1" fieldPosition="0">
        <references count="2">
          <reference field="4294967294" count="1" selected="0">
            <x v="2"/>
          </reference>
          <reference field="2" count="1">
            <x v="62"/>
          </reference>
        </references>
      </pivotArea>
    </format>
    <format dxfId="2046">
      <pivotArea collapsedLevelsAreSubtotals="1" fieldPosition="0">
        <references count="2">
          <reference field="4294967294" count="1" selected="0">
            <x v="2"/>
          </reference>
          <reference field="2" count="1">
            <x v="66"/>
          </reference>
        </references>
      </pivotArea>
    </format>
    <format dxfId="2045">
      <pivotArea collapsedLevelsAreSubtotals="1" fieldPosition="0">
        <references count="2">
          <reference field="4294967294" count="1" selected="0">
            <x v="2"/>
          </reference>
          <reference field="2" count="1">
            <x v="66"/>
          </reference>
        </references>
      </pivotArea>
    </format>
    <format dxfId="2044">
      <pivotArea collapsedLevelsAreSubtotals="1" fieldPosition="0">
        <references count="2">
          <reference field="4294967294" count="1" selected="0">
            <x v="2"/>
          </reference>
          <reference field="2" count="1">
            <x v="67"/>
          </reference>
        </references>
      </pivotArea>
    </format>
    <format dxfId="2043">
      <pivotArea collapsedLevelsAreSubtotals="1" fieldPosition="0">
        <references count="2">
          <reference field="4294967294" count="1" selected="0">
            <x v="2"/>
          </reference>
          <reference field="2" count="1">
            <x v="68"/>
          </reference>
        </references>
      </pivotArea>
    </format>
    <format dxfId="2042">
      <pivotArea collapsedLevelsAreSubtotals="1" fieldPosition="0">
        <references count="2">
          <reference field="4294967294" count="1" selected="0">
            <x v="2"/>
          </reference>
          <reference field="2" count="1">
            <x v="71"/>
          </reference>
        </references>
      </pivotArea>
    </format>
    <format dxfId="2041">
      <pivotArea collapsedLevelsAreSubtotals="1" fieldPosition="0">
        <references count="2">
          <reference field="4294967294" count="1" selected="0">
            <x v="2"/>
          </reference>
          <reference field="2" count="1">
            <x v="72"/>
          </reference>
        </references>
      </pivotArea>
    </format>
    <format dxfId="2040">
      <pivotArea collapsedLevelsAreSubtotals="1" fieldPosition="0">
        <references count="2">
          <reference field="4294967294" count="1" selected="0">
            <x v="2"/>
          </reference>
          <reference field="2" count="1">
            <x v="60"/>
          </reference>
        </references>
      </pivotArea>
    </format>
    <format dxfId="2039">
      <pivotArea collapsedLevelsAreSubtotals="1" fieldPosition="0">
        <references count="2">
          <reference field="4294967294" count="1" selected="0">
            <x v="2"/>
          </reference>
          <reference field="2" count="1">
            <x v="70"/>
          </reference>
        </references>
      </pivotArea>
    </format>
    <format dxfId="2038">
      <pivotArea collapsedLevelsAreSubtotals="1" fieldPosition="0">
        <references count="2">
          <reference field="4294967294" count="1" selected="0">
            <x v="2"/>
          </reference>
          <reference field="2" count="1">
            <x v="73"/>
          </reference>
        </references>
      </pivotArea>
    </format>
    <format dxfId="2037">
      <pivotArea collapsedLevelsAreSubtotals="1" fieldPosition="0">
        <references count="2">
          <reference field="4294967294" count="1" selected="0">
            <x v="2"/>
          </reference>
          <reference field="2" count="1">
            <x v="74"/>
          </reference>
        </references>
      </pivotArea>
    </format>
    <format dxfId="2036">
      <pivotArea collapsedLevelsAreSubtotals="1" fieldPosition="0">
        <references count="2">
          <reference field="4294967294" count="1" selected="0">
            <x v="2"/>
          </reference>
          <reference field="2" count="1">
            <x v="75"/>
          </reference>
        </references>
      </pivotArea>
    </format>
    <format dxfId="2035">
      <pivotArea collapsedLevelsAreSubtotals="1" fieldPosition="0">
        <references count="2">
          <reference field="4294967294" count="1" selected="0">
            <x v="2"/>
          </reference>
          <reference field="2" count="1">
            <x v="76"/>
          </reference>
        </references>
      </pivotArea>
    </format>
    <format dxfId="2034">
      <pivotArea collapsedLevelsAreSubtotals="1" fieldPosition="0">
        <references count="2">
          <reference field="4294967294" count="1" selected="0">
            <x v="2"/>
          </reference>
          <reference field="2" count="1">
            <x v="77"/>
          </reference>
        </references>
      </pivotArea>
    </format>
    <format dxfId="2033">
      <pivotArea collapsedLevelsAreSubtotals="1" fieldPosition="0">
        <references count="2">
          <reference field="4294967294" count="1" selected="0">
            <x v="2"/>
          </reference>
          <reference field="2" count="1">
            <x v="78"/>
          </reference>
        </references>
      </pivotArea>
    </format>
    <format dxfId="2032">
      <pivotArea collapsedLevelsAreSubtotals="1" fieldPosition="0">
        <references count="2">
          <reference field="4294967294" count="1" selected="0">
            <x v="2"/>
          </reference>
          <reference field="2" count="1">
            <x v="79"/>
          </reference>
        </references>
      </pivotArea>
    </format>
    <format dxfId="1801">
      <pivotArea collapsedLevelsAreSubtotals="1" fieldPosition="0">
        <references count="2">
          <reference field="4294967294" count="1" selected="0">
            <x v="2"/>
          </reference>
          <reference field="2" count="1">
            <x v="80"/>
          </reference>
        </references>
      </pivotArea>
    </format>
    <format dxfId="180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5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65">
        <item x="249"/>
        <item m="1" x="2526"/>
        <item m="1" x="2487"/>
        <item m="1" x="2511"/>
        <item m="1" x="2513"/>
        <item m="1" x="2547"/>
        <item m="1" x="2538"/>
        <item m="1" x="2544"/>
        <item m="1" x="2469"/>
        <item m="1" x="2551"/>
        <item m="1" x="2509"/>
        <item m="1" x="2552"/>
        <item m="1" x="2522"/>
        <item m="1" x="2555"/>
        <item m="1" x="2485"/>
        <item m="1" x="2483"/>
        <item m="1" x="2468"/>
        <item m="1" x="2495"/>
        <item m="1" x="2559"/>
        <item m="1" x="2525"/>
        <item m="1" x="2527"/>
        <item m="1" x="2529"/>
        <item m="1" x="2539"/>
        <item m="1" x="2501"/>
        <item m="1" x="2537"/>
        <item m="1" x="2514"/>
        <item m="1" x="2521"/>
        <item m="1" x="2542"/>
        <item m="1" x="2477"/>
        <item m="1" x="2517"/>
        <item m="1" x="2540"/>
        <item m="1" x="2482"/>
        <item m="1" x="2556"/>
        <item m="1" x="2548"/>
        <item m="1" x="2560"/>
        <item m="1" x="2498"/>
        <item m="1" x="2524"/>
        <item m="1" x="2557"/>
        <item x="0"/>
        <item m="1" x="2503"/>
        <item m="1" x="2563"/>
        <item m="1" x="2492"/>
        <item x="1"/>
        <item m="1" x="2520"/>
        <item m="1" x="2478"/>
        <item x="2"/>
        <item x="3"/>
        <item m="1" x="2561"/>
        <item m="1" x="2508"/>
        <item m="1" x="2504"/>
        <item m="1" x="2532"/>
        <item m="1" x="2493"/>
        <item m="1" x="2545"/>
        <item x="4"/>
        <item m="1" x="2515"/>
        <item x="5"/>
        <item x="6"/>
        <item m="1" x="247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96"/>
        <item x="157"/>
        <item x="158"/>
        <item x="159"/>
        <item x="160"/>
        <item x="161"/>
        <item x="162"/>
        <item x="163"/>
        <item x="164"/>
        <item x="165"/>
        <item x="166"/>
        <item x="167"/>
        <item x="168"/>
        <item x="169"/>
        <item m="1" x="249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3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6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70"/>
        <item x="276"/>
        <item x="277"/>
        <item x="278"/>
        <item x="275"/>
        <item m="1" x="2543"/>
        <item x="279"/>
        <item x="280"/>
        <item x="281"/>
        <item x="282"/>
        <item x="283"/>
        <item x="284"/>
        <item x="285"/>
        <item x="286"/>
        <item x="287"/>
        <item x="288"/>
        <item x="289"/>
        <item x="290"/>
        <item x="291"/>
        <item x="292"/>
        <item x="293"/>
        <item x="294"/>
        <item x="295"/>
        <item x="296"/>
        <item m="1" x="2528"/>
        <item x="297"/>
        <item x="298"/>
        <item x="299"/>
        <item m="1" x="2472"/>
        <item x="300"/>
        <item x="302"/>
        <item x="303"/>
        <item x="301"/>
        <item x="304"/>
        <item x="305"/>
        <item x="306"/>
        <item x="307"/>
        <item x="308"/>
        <item x="309"/>
        <item x="310"/>
        <item x="311"/>
        <item x="312"/>
        <item m="1" x="2550"/>
        <item x="313"/>
        <item m="1" x="2473"/>
        <item x="314"/>
        <item x="315"/>
        <item x="316"/>
        <item x="317"/>
        <item x="318"/>
        <item x="319"/>
        <item x="320"/>
        <item x="321"/>
        <item m="1" x="2476"/>
        <item x="323"/>
        <item x="324"/>
        <item x="325"/>
        <item x="326"/>
        <item x="322"/>
        <item x="327"/>
        <item x="328"/>
        <item x="329"/>
        <item x="330"/>
        <item x="331"/>
        <item m="1" x="2488"/>
        <item x="332"/>
        <item m="1" x="2512"/>
        <item x="333"/>
        <item x="334"/>
        <item x="335"/>
        <item x="336"/>
        <item x="337"/>
        <item x="338"/>
        <item x="344"/>
        <item m="1" x="2490"/>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02"/>
        <item x="375"/>
        <item x="376"/>
        <item x="373"/>
        <item x="377"/>
        <item x="378"/>
        <item x="379"/>
        <item x="380"/>
        <item m="1" x="2489"/>
        <item x="381"/>
        <item x="382"/>
        <item x="383"/>
        <item x="384"/>
        <item x="385"/>
        <item x="386"/>
        <item x="387"/>
        <item x="388"/>
        <item x="389"/>
        <item x="390"/>
        <item x="391"/>
        <item x="392"/>
        <item x="393"/>
        <item x="394"/>
        <item x="395"/>
        <item x="396"/>
        <item x="397"/>
        <item x="399"/>
        <item x="400"/>
        <item x="401"/>
        <item x="398"/>
        <item x="402"/>
        <item m="1" x="2549"/>
        <item x="403"/>
        <item x="404"/>
        <item x="405"/>
        <item x="406"/>
        <item x="407"/>
        <item x="408"/>
        <item x="409"/>
        <item m="1" x="2531"/>
        <item x="410"/>
        <item x="411"/>
        <item x="421"/>
        <item x="412"/>
        <item x="413"/>
        <item x="414"/>
        <item x="415"/>
        <item x="416"/>
        <item x="417"/>
        <item m="1" x="2534"/>
        <item x="418"/>
        <item x="419"/>
        <item x="420"/>
        <item x="423"/>
        <item x="443"/>
        <item x="424"/>
        <item x="422"/>
        <item x="425"/>
        <item x="426"/>
        <item x="427"/>
        <item x="428"/>
        <item x="429"/>
        <item x="430"/>
        <item x="431"/>
        <item x="432"/>
        <item m="1" x="2519"/>
        <item x="433"/>
        <item x="434"/>
        <item x="435"/>
        <item x="436"/>
        <item x="438"/>
        <item x="437"/>
        <item x="439"/>
        <item x="440"/>
        <item x="442"/>
        <item x="441"/>
        <item x="445"/>
        <item x="446"/>
        <item x="447"/>
        <item x="444"/>
        <item x="448"/>
        <item x="449"/>
        <item x="450"/>
        <item x="451"/>
        <item x="452"/>
        <item x="453"/>
        <item x="454"/>
        <item x="455"/>
        <item x="456"/>
        <item x="457"/>
        <item m="1" x="2554"/>
        <item x="458"/>
        <item x="459"/>
        <item m="1" x="2484"/>
        <item x="460"/>
        <item x="461"/>
        <item x="462"/>
        <item x="463"/>
        <item m="1" x="2535"/>
        <item x="464"/>
        <item x="465"/>
        <item x="466"/>
        <item x="467"/>
        <item x="468"/>
        <item x="469"/>
        <item x="470"/>
        <item m="1" x="2530"/>
        <item x="471"/>
        <item x="472"/>
        <item x="473"/>
        <item x="474"/>
        <item x="475"/>
        <item x="476"/>
        <item x="477"/>
        <item x="478"/>
        <item x="479"/>
        <item x="480"/>
        <item x="481"/>
        <item x="482"/>
        <item x="483"/>
        <item x="484"/>
        <item m="1" x="2510"/>
        <item x="490"/>
        <item x="485"/>
        <item x="486"/>
        <item x="487"/>
        <item x="488"/>
        <item x="489"/>
        <item x="491"/>
        <item x="492"/>
        <item m="1" x="2500"/>
        <item m="1" x="2505"/>
        <item x="503"/>
        <item m="1" x="2523"/>
        <item x="493"/>
        <item x="494"/>
        <item x="504"/>
        <item x="495"/>
        <item x="496"/>
        <item x="497"/>
        <item x="498"/>
        <item x="499"/>
        <item x="500"/>
        <item x="501"/>
        <item x="502"/>
        <item x="505"/>
        <item x="506"/>
        <item x="507"/>
        <item x="508"/>
        <item m="1" x="254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46"/>
        <item x="564"/>
        <item x="565"/>
        <item x="566"/>
        <item x="567"/>
        <item x="568"/>
        <item x="569"/>
        <item x="570"/>
        <item x="571"/>
        <item x="572"/>
        <item x="573"/>
        <item x="574"/>
        <item m="1" x="247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97"/>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16"/>
        <item x="698"/>
        <item x="708"/>
        <item x="709"/>
        <item x="710"/>
        <item x="699"/>
        <item x="700"/>
        <item x="701"/>
        <item x="702"/>
        <item x="703"/>
        <item x="704"/>
        <item x="705"/>
        <item x="706"/>
        <item x="707"/>
        <item x="711"/>
        <item x="726"/>
        <item x="727"/>
        <item x="734"/>
        <item x="712"/>
        <item x="728"/>
        <item x="729"/>
        <item m="1" x="2475"/>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81"/>
        <item x="753"/>
        <item m="1" x="2499"/>
        <item x="740"/>
        <item x="754"/>
        <item x="741"/>
        <item x="742"/>
        <item x="743"/>
        <item x="744"/>
        <item x="745"/>
        <item x="746"/>
        <item x="747"/>
        <item x="755"/>
        <item x="748"/>
        <item x="757"/>
        <item x="758"/>
        <item x="769"/>
        <item x="759"/>
        <item m="1" x="2553"/>
        <item x="760"/>
        <item x="761"/>
        <item x="770"/>
        <item m="1" x="2506"/>
        <item x="762"/>
        <item x="771"/>
        <item x="763"/>
        <item x="764"/>
        <item x="765"/>
        <item x="766"/>
        <item x="772"/>
        <item x="773"/>
        <item x="767"/>
        <item x="768"/>
        <item x="774"/>
        <item x="775"/>
        <item x="790"/>
        <item x="776"/>
        <item x="791"/>
        <item x="777"/>
        <item x="778"/>
        <item x="792"/>
        <item x="779"/>
        <item x="780"/>
        <item x="781"/>
        <item x="782"/>
        <item x="793"/>
        <item x="783"/>
        <item x="794"/>
        <item x="795"/>
        <item x="246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3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18"/>
        <item x="944"/>
        <item m="1" x="250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9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5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86"/>
        <item x="1583"/>
        <item x="1577"/>
        <item x="1578"/>
        <item x="1576"/>
        <item x="1579"/>
        <item x="1580"/>
        <item x="1586"/>
        <item x="1587"/>
        <item x="1581"/>
        <item x="1582"/>
        <item x="1588"/>
        <item x="1589"/>
        <item x="1590"/>
        <item x="1602"/>
        <item x="1612"/>
        <item m="1" x="247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80"/>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t="default"/>
      </items>
    </pivotField>
    <pivotField axis="axisRow" showAll="0">
      <items count="301">
        <item sd="0" x="43"/>
        <item sd="0" x="46"/>
        <item sd="0" x="45"/>
        <item sd="0" x="35"/>
        <item sd="0" m="1" x="180"/>
        <item sd="0" x="44"/>
        <item sd="0" m="1" x="235"/>
        <item sd="0" m="1" x="218"/>
        <item sd="0" x="42"/>
        <item sd="0" x="41"/>
        <item sd="0" x="40"/>
        <item sd="0" x="39"/>
        <item sd="0" x="38"/>
        <item sd="0" x="37"/>
        <item sd="0" x="20"/>
        <item sd="0" x="36"/>
        <item sd="0" m="1" x="190"/>
        <item sd="0" x="15"/>
        <item sd="0" x="18"/>
        <item n="JPMC (Main Project)" sd="0" x="11"/>
        <item sd="0" x="32"/>
        <item sd="0" x="31"/>
        <item sd="0" x="33"/>
        <item sd="0" x="34"/>
        <item sd="0" x="27"/>
        <item sd="0" x="30"/>
        <item sd="0" x="29"/>
        <item sd="0" x="26"/>
        <item sd="0" x="24"/>
        <item sd="0" x="25"/>
        <item sd="0" x="0"/>
        <item sd="0" x="19"/>
        <item sd="0" x="22"/>
        <item sd="0" x="23"/>
        <item sd="0" m="1" x="169"/>
        <item sd="0" x="21"/>
        <item sd="0" m="1" x="184"/>
        <item sd="0" m="1" x="198"/>
        <item sd="0" m="1" x="241"/>
        <item sd="0" x="8"/>
        <item sd="0" x="9"/>
        <item sd="0" m="1" x="262"/>
        <item sd="0" m="1" x="214"/>
        <item sd="0" m="1" x="293"/>
        <item sd="0" m="1" x="157"/>
        <item sd="0" m="1" x="299"/>
        <item sd="0" m="1" x="238"/>
        <item sd="0" x="13"/>
        <item sd="0" m="1" x="284"/>
        <item sd="0" m="1" x="294"/>
        <item sd="0" m="1" x="298"/>
        <item sd="0" m="1" x="217"/>
        <item sd="0" m="1" x="204"/>
        <item sd="0" m="1" x="286"/>
        <item sd="0" m="1" x="221"/>
        <item sd="0" m="1" x="168"/>
        <item sd="0" m="1" x="223"/>
        <item sd="0" m="1" x="220"/>
        <item sd="0" m="1" x="234"/>
        <item sd="0" m="1" x="213"/>
        <item sd="0" x="17"/>
        <item sd="0" m="1" x="245"/>
        <item sd="0" m="1" x="224"/>
        <item sd="0" m="1" x="159"/>
        <item sd="0" x="14"/>
        <item sd="0" m="1" x="153"/>
        <item sd="0" x="86"/>
        <item sd="0" m="1" x="193"/>
        <item sd="0" m="1" x="183"/>
        <item sd="0" m="1" x="268"/>
        <item sd="0" m="1" x="229"/>
        <item sd="0" m="1" x="216"/>
        <item sd="0" m="1" x="280"/>
        <item sd="0" m="1" x="253"/>
        <item sd="0" m="1" x="225"/>
        <item sd="0" m="1" x="192"/>
        <item sd="0" m="1" x="211"/>
        <item sd="0" m="1" x="254"/>
        <item sd="0" m="1" x="164"/>
        <item sd="0" x="10"/>
        <item sd="0" m="1" x="292"/>
        <item sd="0" x="1"/>
        <item sd="0" m="1" x="259"/>
        <item sd="0" m="1" x="149"/>
        <item sd="0" m="1" x="257"/>
        <item sd="0" m="1" x="203"/>
        <item sd="0" m="1" x="283"/>
        <item sd="0" m="1" x="226"/>
        <item sd="0" m="1" x="199"/>
        <item sd="0" m="1" x="195"/>
        <item sd="0" m="1" x="237"/>
        <item sd="0" m="1" x="269"/>
        <item sd="0" m="1" x="161"/>
        <item sd="0" m="1" x="197"/>
        <item sd="0" m="1" x="162"/>
        <item sd="0" x="3"/>
        <item sd="0" m="1" x="271"/>
        <item sd="0" x="7"/>
        <item sd="0" m="1" x="291"/>
        <item sd="0" x="2"/>
        <item sd="0" m="1" x="158"/>
        <item sd="0" m="1" x="154"/>
        <item sd="0" x="12"/>
        <item sd="0" x="5"/>
        <item sd="0" m="1" x="182"/>
        <item sd="0" x="4"/>
        <item sd="0" m="1" x="187"/>
        <item sd="0" m="1" x="179"/>
        <item sd="0" m="1" x="248"/>
        <item sd="0" m="1" x="151"/>
        <item sd="0" x="116"/>
        <item sd="0" m="1" x="209"/>
        <item sd="0" m="1" x="264"/>
        <item sd="0" m="1" x="167"/>
        <item sd="0" m="1" x="188"/>
        <item sd="0" m="1" x="267"/>
        <item sd="0" x="6"/>
        <item sd="0" m="1" x="172"/>
        <item sd="0" m="1" x="174"/>
        <item sd="0" m="1" x="252"/>
        <item sd="0" m="1" x="247"/>
        <item sd="0" m="1" x="270"/>
        <item sd="0" x="16"/>
        <item sd="0" m="1" x="152"/>
        <item sd="0" m="1" x="176"/>
        <item sd="0" m="1" x="244"/>
        <item sd="0" m="1" x="282"/>
        <item sd="0" m="1" x="191"/>
        <item m="1" x="249"/>
        <item sd="0" m="1" x="290"/>
        <item sd="0" m="1" x="189"/>
        <item sd="0" m="1" x="256"/>
        <item sd="0" m="1" x="194"/>
        <item sd="0" m="1" x="273"/>
        <item sd="0" x="28"/>
        <item sd="0" m="1" x="228"/>
        <item sd="0" m="1" x="281"/>
        <item sd="0" m="1" x="276"/>
        <item sd="0" m="1" x="266"/>
        <item m="1" x="251"/>
        <item sd="0" m="1" x="207"/>
        <item sd="0" m="1" x="277"/>
        <item sd="0" m="1" x="261"/>
        <item m="1" x="202"/>
        <item sd="0" m="1" x="175"/>
        <item m="1" x="201"/>
        <item m="1" x="155"/>
        <item m="1" x="296"/>
        <item x="47"/>
        <item x="48"/>
        <item x="49"/>
        <item m="1" x="208"/>
        <item x="51"/>
        <item x="52"/>
        <item x="50"/>
        <item x="53"/>
        <item x="54"/>
        <item x="55"/>
        <item x="56"/>
        <item x="57"/>
        <item m="1" x="205"/>
        <item x="59"/>
        <item x="58"/>
        <item x="60"/>
        <item x="63"/>
        <item x="61"/>
        <item x="62"/>
        <item x="64"/>
        <item m="1" x="173"/>
        <item m="1" x="285"/>
        <item x="65"/>
        <item x="67"/>
        <item x="66"/>
        <item x="68"/>
        <item x="69"/>
        <item x="70"/>
        <item x="71"/>
        <item m="1" x="255"/>
        <item m="1" x="231"/>
        <item x="72"/>
        <item x="75"/>
        <item x="73"/>
        <item x="76"/>
        <item m="1" x="165"/>
        <item m="1" x="160"/>
        <item x="78"/>
        <item x="74"/>
        <item m="1" x="287"/>
        <item m="1" x="170"/>
        <item x="80"/>
        <item m="1" x="278"/>
        <item m="1" x="212"/>
        <item m="1" x="246"/>
        <item x="77"/>
        <item m="1" x="222"/>
        <item x="81"/>
        <item x="82"/>
        <item x="83"/>
        <item m="1" x="206"/>
        <item m="1" x="274"/>
        <item x="84"/>
        <item m="1" x="258"/>
        <item x="79"/>
        <item x="145"/>
        <item m="1" x="219"/>
        <item x="85"/>
        <item m="1" x="242"/>
        <item x="87"/>
        <item m="1" x="295"/>
        <item x="88"/>
        <item x="89"/>
        <item x="90"/>
        <item m="1" x="181"/>
        <item m="1" x="233"/>
        <item x="91"/>
        <item x="92"/>
        <item m="1" x="163"/>
        <item m="1" x="227"/>
        <item m="1" x="186"/>
        <item x="93"/>
        <item m="1" x="250"/>
        <item m="1" x="289"/>
        <item x="96"/>
        <item m="1" x="185"/>
        <item x="95"/>
        <item m="1" x="263"/>
        <item m="1" x="200"/>
        <item x="98"/>
        <item x="99"/>
        <item m="1" x="239"/>
        <item x="100"/>
        <item m="1" x="210"/>
        <item x="101"/>
        <item x="97"/>
        <item x="94"/>
        <item x="104"/>
        <item x="102"/>
        <item x="107"/>
        <item m="1" x="178"/>
        <item x="105"/>
        <item x="106"/>
        <item x="108"/>
        <item x="110"/>
        <item x="111"/>
        <item m="1" x="177"/>
        <item x="112"/>
        <item x="113"/>
        <item x="115"/>
        <item x="114"/>
        <item x="103"/>
        <item m="1" x="230"/>
        <item x="121"/>
        <item m="1" x="272"/>
        <item x="122"/>
        <item x="123"/>
        <item x="117"/>
        <item x="124"/>
        <item x="118"/>
        <item x="125"/>
        <item m="1" x="265"/>
        <item x="119"/>
        <item m="1" x="288"/>
        <item x="109"/>
        <item x="120"/>
        <item m="1" x="196"/>
        <item x="126"/>
        <item m="1" x="156"/>
        <item m="1" x="243"/>
        <item m="1" x="166"/>
        <item x="129"/>
        <item x="130"/>
        <item x="131"/>
        <item x="132"/>
        <item x="127"/>
        <item m="1" x="150"/>
        <item x="134"/>
        <item x="135"/>
        <item m="1" x="215"/>
        <item m="1" x="275"/>
        <item m="1" x="260"/>
        <item x="128"/>
        <item x="139"/>
        <item x="138"/>
        <item m="1" x="232"/>
        <item x="137"/>
        <item m="1" x="279"/>
        <item x="140"/>
        <item m="1" x="240"/>
        <item m="1" x="297"/>
        <item x="136"/>
        <item x="133"/>
        <item x="141"/>
        <item x="142"/>
        <item x="143"/>
        <item m="1" x="171"/>
        <item m="1" x="236"/>
        <item x="144"/>
        <item x="146"/>
        <item x="147"/>
        <item x="148"/>
        <item t="default"/>
      </items>
    </pivotField>
    <pivotField axis="axisRow" showAll="0" sortType="ascending">
      <items count="1204">
        <item h="1" sd="0" x="60"/>
        <item h="1" sd="0" x="149"/>
        <item h="1" x="755"/>
        <item h="1" sd="0" m="1" x="968"/>
        <item h="1" sd="0" x="724"/>
        <item h="1" sd="0" m="1" x="1043"/>
        <item h="1" sd="0" x="572"/>
        <item h="1" sd="0" m="1" x="1143"/>
        <item h="1" sd="0" m="1" x="981"/>
        <item h="1" sd="0" x="464"/>
        <item h="1" sd="0" m="1" x="1003"/>
        <item h="1" x="921"/>
        <item h="1" x="928"/>
        <item h="1" x="756"/>
        <item h="1" sd="0" x="18"/>
        <item h="1" sd="0" x="288"/>
        <item h="1" sd="0" m="1" x="1185"/>
        <item h="1" sd="0" x="146"/>
        <item h="1" sd="0" x="179"/>
        <item h="1" sd="0" x="490"/>
        <item h="1" sd="0" x="673"/>
        <item h="1" sd="0" m="1" x="1182"/>
        <item h="1" sd="0" x="641"/>
        <item h="1" sd="0" x="623"/>
        <item h="1" x="805"/>
        <item h="1" sd="0" x="100"/>
        <item h="1" sd="0" x="606"/>
        <item h="1" sd="0" m="1" x="987"/>
        <item h="1" sd="0" m="1" x="1147"/>
        <item h="1" x="871"/>
        <item h="1" sd="0" x="137"/>
        <item h="1" x="907"/>
        <item h="1" sd="0" m="1" x="1129"/>
        <item h="1" sd="0" x="231"/>
        <item h="1" sd="0" m="1" x="957"/>
        <item sd="0" x="758"/>
        <item h="1" x="830"/>
        <item h="1" sd="0" m="1" x="1134"/>
        <item h="1" sd="0" m="1" x="1020"/>
        <item h="1" sd="0" x="363"/>
        <item h="1" sd="0" x="510"/>
        <item h="1" m="1" x="942"/>
        <item h="1" x="878"/>
        <item sd="0" x="563"/>
        <item h="1" sd="0" x="651"/>
        <item h="1" x="735"/>
        <item h="1" sd="0" x="375"/>
        <item h="1" sd="0" x="379"/>
        <item h="1" sd="0" m="1" x="1017"/>
        <item h="1" sd="0" x="718"/>
        <item h="1" x="924"/>
        <item h="1" sd="0" m="1" x="994"/>
        <item h="1" sd="0" m="1" x="1050"/>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3"/>
        <item h="1" sd="0" x="325"/>
        <item h="1" sd="0" x="481"/>
        <item h="1" sd="0" m="1" x="1186"/>
        <item h="1" sd="0" m="1" x="1081"/>
        <item h="1" sd="0" x="528"/>
        <item h="1" sd="0" x="630"/>
        <item h="1" sd="0" x="223"/>
        <item h="1" sd="0" m="1" x="970"/>
        <item h="1" x="856"/>
        <item h="1" sd="0" x="239"/>
        <item h="1" sd="0" x="521"/>
        <item h="1" sd="0" x="135"/>
        <item h="1" sd="0" x="140"/>
        <item h="1" sd="0" x="479"/>
        <item h="1" sd="0" m="1" x="1158"/>
        <item h="1" sd="0" m="1" x="1087"/>
        <item h="1" sd="0" x="219"/>
        <item h="1" sd="0" m="1" x="1198"/>
        <item h="1" x="906"/>
        <item h="1" x="859"/>
        <item h="1" sd="0" x="562"/>
        <item h="1" x="743"/>
        <item h="1" x="760"/>
        <item h="1" sd="0" x="711"/>
        <item h="1" sd="0" x="683"/>
        <item h="1" x="799"/>
        <item h="1" sd="0" x="93"/>
        <item h="1" sd="0" m="1" x="1155"/>
        <item h="1" sd="0" x="399"/>
        <item h="1" sd="0" x="222"/>
        <item h="1" sd="0" m="1" x="983"/>
        <item h="1" sd="0" x="337"/>
        <item h="1" sd="0" x="207"/>
        <item h="1" sd="0" x="517"/>
        <item h="1" sd="0" x="489"/>
        <item h="1" sd="0" x="184"/>
        <item h="1" x="920"/>
        <item h="1" sd="0" x="152"/>
        <item h="1" sd="0" m="1" x="1169"/>
        <item h="1" sd="0" x="40"/>
        <item h="1" sd="0" x="281"/>
        <item h="1" sd="0" x="170"/>
        <item h="1" x="797"/>
        <item h="1" sd="0" x="317"/>
        <item h="1" sd="0" x="358"/>
        <item h="1" sd="0" x="214"/>
        <item h="1" sd="0" x="370"/>
        <item h="1" sd="0" x="378"/>
        <item h="1" sd="0" x="279"/>
        <item h="1" sd="0" m="1" x="1021"/>
        <item h="1" sd="0" x="156"/>
        <item h="1" sd="0" x="700"/>
        <item h="1" sd="0" x="639"/>
        <item h="1" sd="0" x="253"/>
        <item h="1" sd="0" m="1" x="1144"/>
        <item h="1" sd="0" x="442"/>
        <item h="1" sd="0" m="1" x="946"/>
        <item h="1" sd="0" x="409"/>
        <item h="1" sd="0" x="365"/>
        <item h="1" sd="0" m="1" x="1002"/>
        <item h="1" sd="0" m="1" x="965"/>
        <item sd="0" x="666"/>
        <item h="1" sd="0" x="556"/>
        <item h="1" sd="0" x="383"/>
        <item h="1" x="890"/>
        <item h="1" sd="0" x="259"/>
        <item h="1" sd="0" x="463"/>
        <item h="1" sd="0" x="252"/>
        <item h="1" x="898"/>
        <item h="1" sd="0" x="643"/>
        <item h="1" sd="0" x="537"/>
        <item h="1" sd="0" m="1" x="1086"/>
        <item h="1" sd="0" x="577"/>
        <item h="1" x="926"/>
        <item h="1" x="869"/>
        <item h="1" sd="0" x="597"/>
        <item h="1" sd="0" x="12"/>
        <item h="1" sd="0" x="571"/>
        <item h="1" sd="0" m="1" x="1157"/>
        <item h="1" sd="0" x="569"/>
        <item h="1" sd="0" x="352"/>
        <item h="1" sd="0" x="218"/>
        <item h="1" x="810"/>
        <item h="1" sd="0" x="371"/>
        <item h="1" sd="0" x="224"/>
        <item h="1" sd="0" x="63"/>
        <item h="1" sd="0" x="8"/>
        <item h="1" sd="0" x="102"/>
        <item h="1" sd="0" m="1" x="988"/>
        <item h="1" sd="0" m="1" x="1188"/>
        <item h="1" sd="0" x="550"/>
        <item h="1" sd="0" x="319"/>
        <item h="1" sd="0" m="1" x="993"/>
        <item h="1" sd="0" m="1" x="1199"/>
        <item h="1" m="1" x="1095"/>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74"/>
        <item h="1" sd="0" m="1" x="966"/>
        <item h="1" sd="0" m="1" x="1174"/>
        <item h="1" sd="0" x="668"/>
        <item h="1" x="762"/>
        <item h="1" x="841"/>
        <item h="1" sd="0" x="681"/>
        <item h="1" sd="0" x="685"/>
        <item h="1" x="850"/>
        <item h="1" sd="0" x="46"/>
        <item h="1" sd="0" x="374"/>
        <item h="1" sd="0" m="1" x="976"/>
        <item h="1" sd="0" x="423"/>
        <item h="1" sd="0" x="574"/>
        <item h="1" sd="0" x="367"/>
        <item h="1" sd="0" x="270"/>
        <item h="1" sd="0" m="1" x="1062"/>
        <item h="1" sd="0" m="1" x="1023"/>
        <item h="1" sd="0" x="427"/>
        <item h="1" sd="0" x="411"/>
        <item h="1" sd="0" x="465"/>
        <item h="1" sd="0" m="1" x="1063"/>
        <item h="1" sd="0" m="1" x="1041"/>
        <item h="1" sd="0" m="1" x="1154"/>
        <item h="1" sd="0" m="1" x="1097"/>
        <item h="1" sd="0" m="1" x="1058"/>
        <item h="1" sd="0" x="366"/>
        <item h="1" x="873"/>
        <item h="1" sd="0" x="437"/>
        <item h="1" x="897"/>
        <item h="1" sd="0" x="506"/>
        <item h="1" sd="0" x="632"/>
        <item h="1" sd="0" m="1" x="1072"/>
        <item h="1" sd="0" x="567"/>
        <item h="1" sd="0" x="665"/>
        <item h="1" x="848"/>
        <item h="1" x="791"/>
        <item h="1" sd="0" x="534"/>
        <item h="1" sd="0" x="456"/>
        <item h="1" sd="0" x="318"/>
        <item h="1" x="851"/>
        <item h="1" sd="0" m="1" x="1016"/>
        <item h="1" x="794"/>
        <item h="1" sd="0" x="697"/>
        <item h="1" x="893"/>
        <item h="1" sd="0" x="312"/>
        <item h="1" sd="0" x="273"/>
        <item h="1" sd="0" x="428"/>
        <item h="1" sd="0" x="519"/>
        <item h="1" sd="0" m="1" x="1119"/>
        <item h="1" sd="0" x="396"/>
        <item h="1" x="751"/>
        <item h="1" sd="0" x="605"/>
        <item h="1" x="876"/>
        <item h="1" sd="0" x="402"/>
        <item h="1" sd="0" x="710"/>
        <item h="1" x="877"/>
        <item h="1" x="870"/>
        <item h="1" sd="0" x="201"/>
        <item h="1" sd="0" m="1" x="1045"/>
        <item h="1" x="777"/>
        <item h="1" sd="0" x="160"/>
        <item h="1" sd="0" x="443"/>
        <item h="1" sd="0" m="1" x="1151"/>
        <item h="1" x="934"/>
        <item h="1" x="862"/>
        <item h="1" sd="0" m="1" x="1111"/>
        <item h="1" sd="0" m="1" x="1001"/>
        <item h="1" x="746"/>
        <item h="1" x="821"/>
        <item h="1" sd="0" x="451"/>
        <item h="1" sd="0" x="538"/>
        <item h="1" sd="0" x="414"/>
        <item h="1" sd="0" x="413"/>
        <item h="1" sd="0" x="277"/>
        <item h="1" sd="0" x="467"/>
        <item h="1" sd="0" m="1" x="1105"/>
        <item h="1" sd="0" x="225"/>
        <item h="1" sd="0" m="1" x="972"/>
        <item h="1" sd="0" m="1" x="975"/>
        <item h="1" sd="0" x="522"/>
        <item h="1" x="812"/>
        <item h="1" sd="0" x="468"/>
        <item h="1" sd="0" x="539"/>
        <item h="1" x="798"/>
        <item h="1" sd="0" x="633"/>
        <item h="1" sd="0" m="1" x="986"/>
        <item h="1" sd="0" x="292"/>
        <item h="1" sd="0" x="15"/>
        <item h="1" sd="0" m="1" x="1014"/>
        <item h="1" sd="0" m="1" x="1030"/>
        <item h="1" sd="0" x="662"/>
        <item h="1" sd="0" x="0"/>
        <item h="1" sd="0" x="232"/>
        <item h="1" sd="0" x="679"/>
        <item h="1" sd="0" x="213"/>
        <item h="1" sd="0" m="1" x="1153"/>
        <item h="1" sd="0" x="316"/>
        <item h="1" x="925"/>
        <item h="1" x="863"/>
        <item h="1" x="749"/>
        <item h="1" sd="0" x="702"/>
        <item h="1" x="845"/>
        <item h="1" sd="0" x="513"/>
        <item h="1" sd="0" x="436"/>
        <item h="1" sd="0" x="449"/>
        <item h="1" sd="0" m="1" x="956"/>
        <item h="1" sd="0" x="291"/>
        <item h="1" x="738"/>
        <item h="1" sd="0" x="391"/>
        <item h="1" sd="0" x="333"/>
        <item h="1" x="888"/>
        <item h="1" x="787"/>
        <item h="1" x="742"/>
        <item sd="0" x="339"/>
        <item h="1" x="929"/>
        <item h="1" x="881"/>
        <item h="1" sd="0" x="275"/>
        <item h="1" sd="0" m="1" x="989"/>
        <item sd="0" x="174"/>
        <item h="1" sd="0" x="171"/>
        <item h="1" sd="0" x="233"/>
        <item h="1" sd="0" x="78"/>
        <item h="1" x="936"/>
        <item h="1" sd="0" m="1" x="1051"/>
        <item h="1" sd="0" x="236"/>
        <item h="1" sd="0" x="58"/>
        <item h="1" sd="0" m="1" x="1122"/>
        <item h="1" sd="0" x="474"/>
        <item h="1" sd="0" x="511"/>
        <item h="1" sd="0" x="408"/>
        <item h="1" x="806"/>
        <item h="1" sd="0" x="587"/>
        <item h="1" sd="0" x="240"/>
        <item h="1" sd="0" m="1" x="982"/>
        <item h="1" sd="0" x="182"/>
        <item h="1" x="800"/>
        <item h="1" sd="0" x="307"/>
        <item h="1" sd="0" x="779"/>
        <item h="1" x="820"/>
        <item h="1" sd="0" x="648"/>
        <item h="1" x="774"/>
        <item h="1" sd="0" x="290"/>
        <item h="1" sd="0" m="1" x="1078"/>
        <item h="1" sd="0" m="1" x="1140"/>
        <item h="1" sd="0" x="636"/>
        <item h="1" sd="0" x="499"/>
        <item h="1" sd="0" x="447"/>
        <item h="1" sd="0" x="132"/>
        <item h="1" x="931"/>
        <item h="1" sd="0" x="56"/>
        <item h="1" sd="0" x="126"/>
        <item h="1" sd="0" x="22"/>
        <item h="1" sd="0" x="187"/>
        <item h="1" sd="0" m="1" x="962"/>
        <item h="1" sd="0" m="1" x="1172"/>
        <item h="1" sd="0" m="1" x="969"/>
        <item h="1" sd="0" x="11"/>
        <item h="1" sd="0" x="670"/>
        <item h="1" sd="0" x="353"/>
        <item h="1" sd="0" x="542"/>
        <item h="1" sd="0" m="1" x="1057"/>
        <item h="1" sd="0" x="124"/>
        <item h="1" sd="0" x="646"/>
        <item h="1" sd="0" m="1" x="1202"/>
        <item h="1" sd="0" x="77"/>
        <item h="1" sd="0" m="1" x="1082"/>
        <item h="1" sd="0" x="435"/>
        <item h="1" sd="0" x="92"/>
        <item h="1" sd="0" x="35"/>
        <item h="1" sd="0" x="196"/>
        <item h="1" sd="0" m="1" x="1181"/>
        <item h="1" sd="0" x="1"/>
        <item h="1" sd="0" x="180"/>
        <item h="1" sd="0" x="430"/>
        <item h="1" sd="0" x="285"/>
        <item h="1" x="747"/>
        <item h="1" sd="0" x="581"/>
        <item h="1" sd="0" m="1" x="1100"/>
        <item h="1" sd="0" x="42"/>
        <item h="1" sd="0" x="469"/>
        <item h="1" sd="0" x="440"/>
        <item h="1" sd="0" m="1" x="1121"/>
        <item h="1" sd="0" m="1" x="1090"/>
        <item h="1" sd="0" m="1" x="1108"/>
        <item h="1" sd="0" m="1" x="1039"/>
        <item h="1" sd="0" x="84"/>
        <item h="1" sd="0" x="106"/>
        <item h="1" sd="0" x="727"/>
        <item h="1" sd="0" m="1" x="945"/>
        <item h="1" sd="0" x="526"/>
        <item h="1" sd="0" x="592"/>
        <item h="1" sd="0" x="484"/>
        <item h="1" sd="0" x="336"/>
        <item h="1" sd="0" x="659"/>
        <item h="1" x="879"/>
        <item h="1" sd="0" x="669"/>
        <item h="1" sd="0" m="1" x="1114"/>
        <item h="1" sd="0" x="560"/>
        <item h="1" sd="0" x="714"/>
        <item sd="0" x="709"/>
        <item h="1" x="789"/>
        <item sd="0" x="599"/>
        <item h="1" sd="0" m="1" x="948"/>
        <item h="1" sd="0" m="1" x="940"/>
        <item h="1" sd="0" m="1" x="1101"/>
        <item h="1" sd="0" m="1" x="978"/>
        <item h="1" sd="0" x="515"/>
        <item h="1" sd="0" x="715"/>
        <item h="1" sd="0" x="677"/>
        <item h="1" x="808"/>
        <item h="1" sd="0" x="698"/>
        <item h="1" sd="0" m="1" x="1131"/>
        <item h="1" x="780"/>
        <item h="1" x="796"/>
        <item h="1" sd="0" m="1" x="979"/>
        <item h="1" sd="0" x="16"/>
        <item h="1" sd="0" m="1" x="1067"/>
        <item h="1" sd="0" x="407"/>
        <item h="1" sd="0" x="603"/>
        <item h="1" sd="0" m="1" x="1110"/>
        <item h="1" sd="0" m="1" x="1019"/>
        <item h="1" sd="0" x="280"/>
        <item h="1" sd="0" x="104"/>
        <item h="1" sd="0" x="332"/>
        <item h="1" sd="0" m="1" x="1044"/>
        <item h="1" sd="0" x="348"/>
        <item h="1" sd="0" x="23"/>
        <item sd="0" x="693"/>
        <item h="1" sd="0" m="1" x="996"/>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92"/>
        <item h="1" sd="0" m="1" x="1168"/>
        <item h="1" x="838"/>
        <item h="1" sd="0" x="87"/>
        <item h="1" sd="0" x="501"/>
        <item h="1" sd="0" x="690"/>
        <item h="1" sd="0" x="450"/>
        <item h="1" sd="0" x="33"/>
        <item h="1" x="814"/>
        <item h="1" sd="0" x="19"/>
        <item h="1" sd="0" x="389"/>
        <item h="1" x="831"/>
        <item h="1" sd="0" m="1" x="950"/>
        <item h="1" sd="0" x="403"/>
        <item h="1" sd="0" x="20"/>
        <item h="1" sd="0" m="1" x="963"/>
        <item h="1" sd="0" x="584"/>
        <item h="1" sd="0" x="96"/>
        <item h="1" sd="0" x="555"/>
        <item h="1" sd="0" x="438"/>
        <item h="1" sd="0" m="1" x="991"/>
        <item h="1" sd="0" m="1" x="1184"/>
        <item h="1" sd="0" m="1" x="1161"/>
        <item h="1" sd="0" m="1" x="1032"/>
        <item h="1" sd="0" x="588"/>
        <item h="1" sd="0" x="120"/>
        <item h="1" m="1" x="944"/>
        <item h="1" sd="0" x="590"/>
        <item h="1" sd="0" x="131"/>
        <item h="1" sd="0" x="119"/>
        <item h="1" sd="0" m="1" x="1112"/>
        <item h="1" sd="0" m="1" x="1076"/>
        <item h="1" sd="0" m="1" x="1103"/>
        <item h="1" sd="0" m="1" x="961"/>
        <item h="1" sd="0" m="1" x="1088"/>
        <item h="1" sd="0" x="228"/>
        <item h="1" sd="0" x="39"/>
        <item h="1" sd="0" x="619"/>
        <item h="1" sd="0" x="108"/>
        <item h="1" sd="0" x="24"/>
        <item h="1" x="729"/>
        <item h="1" sd="0" x="139"/>
        <item h="1" sd="0" x="393"/>
        <item h="1" sd="0" m="1" x="1171"/>
        <item h="1" sd="0" x="613"/>
        <item h="1" sd="0" x="17"/>
        <item h="1" x="884"/>
        <item h="1" x="887"/>
        <item h="1" sd="0" x="461"/>
        <item h="1" x="741"/>
        <item h="1" x="793"/>
        <item h="1" x="768"/>
        <item h="1" x="913"/>
        <item h="1" sd="0" x="441"/>
        <item h="1" sd="0" x="248"/>
        <item h="1" sd="0" x="48"/>
        <item h="1" sd="0" m="1" x="1084"/>
        <item h="1" sd="0" m="1" x="1145"/>
        <item h="1" x="874"/>
        <item h="1" sd="0" x="134"/>
        <item h="1" sd="0" x="596"/>
        <item h="1" sd="0" m="1" x="1054"/>
        <item h="1" sd="0" x="69"/>
        <item h="1" x="527"/>
        <item h="1" x="827"/>
        <item h="1" x="882"/>
        <item h="1" sd="0" x="654"/>
        <item h="1" sd="0" m="1" x="1118"/>
        <item h="1" sd="0" x="34"/>
        <item h="1" sd="0" x="206"/>
        <item h="1" sd="0" m="1" x="1187"/>
        <item h="1" sd="0" m="1" x="1060"/>
        <item h="1" sd="0" m="1" x="1079"/>
        <item h="1" sd="0" m="1" x="1018"/>
        <item h="1" x="783"/>
        <item h="1" sd="0" x="268"/>
        <item h="1" sd="0" x="376"/>
        <item h="1" sd="0" x="331"/>
        <item h="1" sd="0" m="1" x="1010"/>
        <item h="1" x="817"/>
        <item h="1" sd="0" x="360"/>
        <item h="1" sd="0" m="1" x="1163"/>
        <item h="1" sd="0" x="89"/>
        <item h="1" sd="0" x="355"/>
        <item sd="0" x="642"/>
        <item h="1" sd="0" m="1" x="1059"/>
        <item h="1" sd="0" x="168"/>
        <item h="1" sd="0" m="1" x="951"/>
        <item h="1" sd="0" m="1" x="941"/>
        <item h="1" sd="0" x="473"/>
        <item h="1" x="836"/>
        <item h="1" x="834"/>
        <item h="1" sd="0" x="272"/>
        <item h="1" sd="0" x="523"/>
        <item h="1" sd="0" x="51"/>
        <item h="1" sd="0" x="190"/>
        <item h="1" sd="0" x="625"/>
        <item h="1" sd="0" x="50"/>
        <item h="1" x="815"/>
        <item h="1" x="864"/>
        <item h="1" sd="0" x="79"/>
        <item h="1" sd="0" x="32"/>
        <item h="1" sd="0" m="1" x="1148"/>
        <item h="1" sd="0" x="667"/>
        <item h="1" sd="0" x="188"/>
        <item h="1" m="1" x="1162"/>
        <item h="1" x="764"/>
        <item h="1" sd="0" x="110"/>
        <item h="1" sd="0" x="935"/>
        <item h="1" m="1" x="967"/>
        <item h="1" sd="0" m="1" x="1166"/>
        <item h="1" sd="0" m="1" x="1071"/>
        <item h="1" sd="0" m="1" x="1012"/>
        <item h="1" sd="0" m="1" x="1066"/>
        <item h="1" sd="0" m="1" x="1035"/>
        <item h="1" sd="0" x="226"/>
        <item h="1" sd="0" x="57"/>
        <item h="1" sd="0" m="1" x="1069"/>
        <item h="1" sd="0" x="530"/>
        <item h="1" sd="0" x="554"/>
        <item h="1" x="733"/>
        <item h="1" sd="0" x="340"/>
        <item h="1" sd="0" x="604"/>
        <item h="1" sd="0" x="265"/>
        <item h="1" sd="0" x="448"/>
        <item h="1" sd="0" x="628"/>
        <item h="1" x="922"/>
        <item h="1" sd="0" m="1" x="1106"/>
        <item h="1" sd="0" x="294"/>
        <item h="1" sd="0" m="1" x="1094"/>
        <item h="1" sd="0" x="585"/>
        <item h="1" x="914"/>
        <item h="1" sd="0" x="583"/>
        <item h="1" sd="0" x="62"/>
        <item h="1" sd="0" x="295"/>
        <item h="1" sd="0" x="3"/>
        <item h="1" sd="0" x="151"/>
        <item h="1" sd="0" x="415"/>
        <item h="1" sd="0" x="503"/>
        <item h="1" sd="0" x="210"/>
        <item h="1" x="852"/>
        <item h="1" sd="0" x="54"/>
        <item h="1" sd="0" m="1" x="1126"/>
        <item h="1" sd="0" m="1" x="1109"/>
        <item h="1" sd="0" x="387"/>
        <item h="1" sd="0" m="1" x="964"/>
        <item h="1" sd="0" x="323"/>
        <item h="1" x="923"/>
        <item h="1" sd="0" x="713"/>
        <item h="1" x="846"/>
        <item h="1" sd="0" x="678"/>
        <item h="1" sd="0" m="1" x="999"/>
        <item h="1" sd="0" x="75"/>
        <item h="1" sd="0" x="476"/>
        <item h="1" sd="0" m="1" x="947"/>
        <item h="1" sd="0" m="1" x="1028"/>
        <item h="1" sd="0" x="186"/>
        <item h="1" x="861"/>
        <item h="1" sd="0" x="486"/>
        <item h="1" sd="0" x="674"/>
        <item h="1" sd="0" x="429"/>
        <item h="1" sd="0" x="361"/>
        <item h="1" sd="0" x="368"/>
        <item h="1" x="826"/>
        <item h="1" m="1" x="1029"/>
        <item h="1" x="813"/>
        <item sd="0" x="721"/>
        <item sd="0" x="766"/>
        <item h="1" sd="0" x="327"/>
        <item h="1" sd="0" x="195"/>
        <item h="1" sd="0" x="687"/>
        <item h="1" x="918"/>
        <item h="1" x="773"/>
        <item h="1" sd="0" x="566"/>
        <item h="1" sd="0" m="1" x="1099"/>
        <item h="1" sd="0" m="1" x="1139"/>
        <item h="1" sd="0" x="123"/>
        <item h="1" sd="0" x="497"/>
        <item h="1" x="835"/>
        <item sd="0" x="719"/>
        <item h="1" sd="0" m="1" x="1025"/>
        <item h="1" sd="0" x="194"/>
        <item h="1" sd="0" x="557"/>
        <item h="1" sd="0" x="663"/>
        <item h="1" sd="0" x="121"/>
        <item h="1" x="771"/>
        <item h="1" sd="0" x="53"/>
        <item h="1" x="842"/>
        <item h="1" sd="0" x="472"/>
        <item h="1" sd="0" x="549"/>
        <item h="1" sd="0" x="565"/>
        <item h="1" sd="0" m="1" x="1156"/>
        <item h="1" m="1" x="1080"/>
        <item h="1" sd="0" x="278"/>
        <item h="1" x="750"/>
        <item h="1" x="840"/>
        <item h="1" sd="0" x="212"/>
        <item h="1" sd="0" m="1" x="1036"/>
        <item h="1" sd="0" m="1" x="1141"/>
        <item h="1" sd="0" m="1" x="1132"/>
        <item h="1" sd="0" x="631"/>
        <item h="1" x="867"/>
        <item h="1" x="857"/>
        <item h="1" sd="0" m="1" x="1200"/>
        <item h="1" sd="0" m="1" x="980"/>
        <item h="1" sd="0" x="675"/>
        <item h="1" sd="0" m="1" x="1194"/>
        <item h="1" sd="0" x="691"/>
        <item h="1" sd="0" x="117"/>
        <item h="1" sd="0" x="111"/>
        <item h="1" x="790"/>
        <item h="1" sd="0" x="671"/>
        <item h="1" sd="0" x="502"/>
        <item h="1" sd="0" x="417"/>
        <item h="1" sd="0" x="81"/>
        <item h="1" sd="0" x="7"/>
        <item h="1" sd="0" x="235"/>
        <item h="1" x="872"/>
        <item h="1" sd="0" x="434"/>
        <item h="1" sd="0" x="287"/>
        <item h="1" sd="0" m="1" x="1130"/>
        <item h="1" sd="0" m="1" x="1178"/>
        <item h="1" sd="0" x="491"/>
        <item h="1" sd="0" x="722"/>
        <item h="1" sd="0" x="2"/>
        <item h="1" sd="0" x="637"/>
        <item h="1" sd="0" m="1" x="1193"/>
        <item h="1" sd="0" m="1" x="1049"/>
        <item h="1" sd="0" x="692"/>
        <item h="1" x="823"/>
        <item h="1" sd="0" x="536"/>
        <item h="1" x="839"/>
        <item h="1" x="811"/>
        <item h="1" sd="0" x="163"/>
        <item h="1" sd="0" x="431"/>
        <item h="1" sd="0" m="1" x="1124"/>
        <item h="1" sd="0" x="650"/>
        <item h="1" sd="0" x="680"/>
        <item h="1" sd="0" x="478"/>
        <item h="1" sd="0" x="602"/>
        <item h="1" x="837"/>
        <item h="1" sd="0" m="1" x="1007"/>
        <item h="1" sd="0" x="445"/>
        <item h="1" sd="0" m="1" x="992"/>
        <item h="1" x="892"/>
        <item h="1" sd="0" m="1" x="1201"/>
        <item h="1" sd="0" m="1" x="958"/>
        <item h="1" sd="0" m="1" x="955"/>
        <item h="1" sd="0" x="130"/>
        <item h="1" sd="0" x="88"/>
        <item h="1" sd="0" m="1" x="1196"/>
        <item h="1" sd="0" x="204"/>
        <item h="1" sd="0" x="72"/>
        <item h="1" sd="0" x="73"/>
        <item h="1" sd="0" x="28"/>
        <item h="1" sd="0" x="47"/>
        <item h="1" sd="0" x="181"/>
        <item h="1" sd="0" x="26"/>
        <item h="1" sd="0" x="86"/>
        <item h="1" sd="0" x="230"/>
        <item h="1" x="819"/>
        <item h="1" sd="0" m="1" x="1068"/>
        <item h="1" sd="0" m="1" x="1048"/>
        <item h="1" x="736"/>
        <item h="1" sd="0" m="1" x="1085"/>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4"/>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06"/>
        <item h="1" sd="0" x="359"/>
        <item h="1" sd="0" m="1" x="1191"/>
        <item h="1" sd="0" x="425"/>
        <item h="1" sd="0" x="269"/>
        <item h="1" sd="0" x="215"/>
        <item h="1" sd="0" x="349"/>
        <item h="1" x="843"/>
        <item h="1" sd="0" x="283"/>
        <item h="1" sd="0" x="185"/>
        <item h="1" sd="0" x="460"/>
        <item h="1" sd="0" x="220"/>
        <item h="1" x="801"/>
        <item h="1" sd="0" x="703"/>
        <item h="1" sd="0" x="598"/>
        <item h="1" x="937"/>
        <item h="1" sd="0" x="644"/>
        <item h="1" x="753"/>
        <item h="1" sd="0" x="624"/>
        <item h="1" sd="0" x="547"/>
        <item h="1" sd="0" m="1" x="1179"/>
        <item h="1" sd="0" m="1" x="949"/>
        <item h="1" sd="0" x="4"/>
        <item h="1" sd="0" x="377"/>
        <item h="1" x="802"/>
        <item h="1" sd="0" x="262"/>
        <item h="1" sd="0" x="454"/>
        <item h="1" sd="0" x="326"/>
        <item h="1" sd="0" x="173"/>
        <item h="1" sd="0" x="200"/>
        <item h="1" x="803"/>
        <item h="1" x="894"/>
        <item h="1" x="782"/>
        <item h="1" sd="0" m="1" x="990"/>
        <item h="1" sd="0" x="725"/>
        <item h="1" x="792"/>
        <item h="1" sd="0" x="495"/>
        <item h="1" x="865"/>
        <item h="1" sd="0" x="345"/>
        <item h="1" sd="0" x="717"/>
        <item h="1" sd="0" x="568"/>
        <item h="1" sd="0" x="640"/>
        <item h="1" sd="0" x="482"/>
        <item h="1" sd="0" x="726"/>
        <item h="1" sd="0" x="30"/>
        <item h="1" sd="0" m="1" x="1127"/>
        <item h="1" x="909"/>
        <item h="1" sd="0" x="242"/>
        <item h="1" sd="0" x="591"/>
        <item h="1" sd="0" x="645"/>
        <item h="1" sd="0" m="1" x="1056"/>
        <item h="1" sd="0" m="1" x="959"/>
        <item h="1" x="917"/>
        <item h="1" sd="0" x="694"/>
        <item h="1" sd="0" x="470"/>
        <item h="1" x="844"/>
        <item h="1" x="868"/>
        <item h="1" x="885"/>
        <item h="1" sd="0" x="243"/>
        <item h="1" sd="0" m="1" x="1173"/>
        <item h="1" sd="0" x="622"/>
        <item h="1" sd="0" x="398"/>
        <item h="1" sd="0" m="1" x="1000"/>
        <item h="1" sd="0" m="1" x="1176"/>
        <item h="1" sd="0" m="1" x="1074"/>
        <item h="1" sd="0" x="551"/>
        <item h="1" m="1" x="1061"/>
        <item h="1" sd="0" x="303"/>
        <item h="1" sd="0" x="532"/>
        <item h="1" sd="0" x="37"/>
        <item h="1" sd="0" x="357"/>
        <item h="1" x="818"/>
        <item h="1" sd="0" x="487"/>
        <item h="1" sd="0" x="658"/>
        <item h="1" sd="0" x="686"/>
        <item h="1" sd="0" x="512"/>
        <item h="1" x="778"/>
        <item h="1" sd="0" m="1" x="1070"/>
        <item h="1" sd="0" m="1" x="1120"/>
        <item h="1" x="822"/>
        <item h="1" sd="0" x="115"/>
        <item h="1" sd="0" m="1" x="1170"/>
        <item h="1" sd="0" m="1" x="971"/>
        <item h="1" sd="0" x="324"/>
        <item sd="0" x="518"/>
        <item h="1" sd="0" m="1" x="1037"/>
        <item h="1" sd="0" x="128"/>
        <item h="1" sd="0" x="520"/>
        <item h="1" sd="0" m="1" x="1177"/>
        <item h="1" sd="0" m="1" x="1152"/>
        <item h="1" sd="0" x="255"/>
        <item h="1" sd="0" x="199"/>
        <item h="1" sd="0" x="329"/>
        <item h="1" sd="0" x="297"/>
        <item h="1" sd="0" x="310"/>
        <item h="1" x="740"/>
        <item h="1" sd="0" x="83"/>
        <item h="1" sd="0" m="1" x="1075"/>
        <item h="1" sd="0" x="600"/>
        <item h="1" sd="0" m="1" x="953"/>
        <item h="1" sd="0" x="80"/>
        <item h="1" sd="0" m="1" x="1024"/>
        <item h="1" sd="0" m="1" x="1167"/>
        <item h="1" sd="0" x="97"/>
        <item h="1" sd="0" x="564"/>
        <item h="1" sd="0" x="289"/>
        <item h="1" x="932"/>
        <item h="1" sd="0" m="1" x="1115"/>
        <item h="1" sd="0" x="116"/>
        <item h="1" sd="0" x="209"/>
        <item h="1" sd="0" x="452"/>
        <item h="1" sd="0" x="684"/>
        <item h="1" sd="0" x="198"/>
        <item h="1" x="911"/>
        <item h="1" x="896"/>
        <item h="1" sd="0" x="401"/>
        <item h="1" sd="0" x="656"/>
        <item h="1" sd="0" x="150"/>
        <item h="1" sd="0" x="136"/>
        <item h="1" sd="0" m="1" x="1055"/>
        <item h="1" sd="0" x="676"/>
        <item h="1" sd="0" m="1" x="984"/>
        <item h="1" sd="0" x="109"/>
        <item h="1" sd="0" x="397"/>
        <item sd="0" x="664"/>
        <item h="1" sd="0" x="498"/>
        <item h="1" sd="0" x="706"/>
        <item h="1" sd="0" x="649"/>
        <item h="1" sd="0" x="514"/>
        <item h="1" sd="0" x="558"/>
        <item h="1" sd="0" x="524"/>
        <item h="1" sd="0" m="1" x="1033"/>
        <item h="1" x="899"/>
        <item h="1" x="854"/>
        <item h="1" x="832"/>
        <item h="1" sd="0" x="660"/>
        <item h="1" sd="0" m="1" x="1136"/>
        <item h="1" x="334"/>
        <item sd="0" x="757"/>
        <item h="1" sd="0" x="728"/>
        <item h="1" sd="0" x="284"/>
        <item h="1" sd="0" x="296"/>
        <item h="1" sd="0" x="211"/>
        <item h="1" sd="0" x="582"/>
        <item h="1" sd="0" x="45"/>
        <item h="1" sd="0" m="1" x="1116"/>
        <item h="1" x="853"/>
        <item h="1" x="939"/>
        <item h="1" sd="0" m="1" x="1107"/>
        <item h="1" sd="0" x="507"/>
        <item h="1" sd="0" x="155"/>
        <item h="1" sd="0" m="1" x="1137"/>
        <item h="1" sd="0" x="61"/>
        <item h="1" sd="0" x="129"/>
        <item h="1" sd="0" x="105"/>
        <item h="1" sd="0" x="614"/>
        <item h="1" m="1" x="1031"/>
        <item sd="0" x="716"/>
        <item h="1" sd="0" m="1" x="977"/>
        <item h="1" sd="0" x="157"/>
        <item h="1" sd="0" x="14"/>
        <item h="1" sd="0" x="43"/>
        <item h="1" sd="0" x="250"/>
        <item h="1" sd="0" x="238"/>
        <item h="1" sd="0" x="103"/>
        <item h="1" sd="0" x="385"/>
        <item h="1" sd="0" x="70"/>
        <item h="1" sd="0" x="299"/>
        <item h="1" sd="0" x="127"/>
        <item h="1" sd="0" m="1" x="943"/>
        <item h="1" sd="0" x="193"/>
        <item h="1" x="824"/>
        <item h="1" sd="0" x="147"/>
        <item h="1" sd="0" x="933"/>
        <item h="1" sd="0" x="548"/>
        <item h="1" sd="0" m="1" x="1091"/>
        <item h="1" sd="0" x="610"/>
        <item h="1" sd="0" x="405"/>
        <item sd="0" x="748"/>
        <item h="1" sd="0" x="875"/>
        <item h="1" m="1" x="1004"/>
        <item h="1" x="594"/>
        <item h="1" sd="0" x="99"/>
        <item h="1" sd="0" x="344"/>
        <item h="1" sd="0" x="541"/>
        <item h="1" x="883"/>
        <item h="1" sd="0" x="689"/>
        <item h="1" m="1" x="1053"/>
        <item h="1" sd="0" x="612"/>
        <item h="1" x="905"/>
        <item h="1" sd="0" x="221"/>
        <item h="1" sd="0" x="607"/>
        <item h="1" sd="0" m="1" x="1190"/>
        <item h="1" sd="0" m="1" x="1195"/>
        <item h="1" sd="0" x="271"/>
        <item h="1" sd="0" m="1" x="1102"/>
        <item h="1" sd="0" x="166"/>
        <item h="1" sd="0" x="286"/>
        <item sd="0" x="611"/>
        <item h="1" sd="0" x="531"/>
        <item h="1" sd="0" x="621"/>
        <item h="1" sd="0" x="304"/>
        <item h="1" sd="0" m="1" x="1064"/>
        <item h="1" sd="0" x="458"/>
        <item h="1" sd="0" x="439"/>
        <item h="1" sd="0" x="543"/>
        <item h="1" sd="0" x="609"/>
        <item h="1" sd="0" x="138"/>
        <item h="1" sd="0" x="41"/>
        <item h="1" sd="0" x="229"/>
        <item h="1" sd="0" x="420"/>
        <item h="1" sd="0" m="1" x="1123"/>
        <item h="1" sd="0" x="617"/>
        <item h="1" sd="0" x="71"/>
        <item h="1" sd="0" x="64"/>
        <item h="1" sd="0" x="492"/>
        <item h="1" sd="0" m="1" x="1046"/>
        <item h="1" sd="0" m="1" x="1040"/>
        <item h="1" x="866"/>
        <item h="1" x="731"/>
        <item h="1" sd="0" x="432"/>
        <item h="1" x="745"/>
        <item h="1" sd="0" x="540"/>
        <item h="1" sd="0" x="455"/>
        <item h="1" sd="0" x="44"/>
        <item h="1" sd="0" x="114"/>
        <item h="1" sd="0" x="52"/>
        <item h="1" sd="0" x="142"/>
        <item h="1" sd="0" x="579"/>
        <item h="1" sd="0" x="82"/>
        <item h="1" sd="0" x="245"/>
        <item h="1" sd="0" x="457"/>
        <item h="1" sd="0" x="314"/>
        <item h="1" sd="0" m="1" x="1164"/>
        <item h="1" sd="0" x="373"/>
        <item h="1" sd="0" m="1" x="1133"/>
        <item h="1" x="767"/>
        <item h="1" sd="0" x="720"/>
        <item h="1" x="927"/>
        <item h="1" sd="0" x="418"/>
        <item h="1" sd="0" x="308"/>
        <item h="1" sd="0" m="1" x="1092"/>
        <item h="1" sd="0" m="1" x="1160"/>
        <item h="1" sd="0" x="122"/>
        <item h="1" sd="0" x="118"/>
        <item h="1" x="908"/>
        <item h="1" sd="0" x="661"/>
        <item h="1" x="915"/>
        <item h="1" sd="0" m="1" x="1113"/>
        <item h="1" x="784"/>
        <item h="1" sd="0" x="169"/>
        <item h="1" sd="0" x="197"/>
        <item h="1" sd="0" x="723"/>
        <item h="1" x="752"/>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sd="0" x="302"/>
        <item h="1" sd="0" x="260"/>
        <item h="1" x="910"/>
        <item h="1" sd="0" x="261"/>
        <item h="1" sd="0" m="1" x="1098"/>
        <item h="1" sd="0" x="652"/>
        <item h="1" sd="0" x="647"/>
        <item h="1" sd="0" x="608"/>
        <item h="1" x="855"/>
        <item h="1" sd="0" x="328"/>
        <item h="1" sd="0" x="350"/>
        <item h="1" sd="0" x="254"/>
        <item h="1" sd="0" x="320"/>
        <item h="1" sd="0" x="620"/>
        <item h="1" x="816"/>
        <item h="1" sd="0" x="241"/>
        <item h="1" sd="0" x="158"/>
        <item h="1" sd="0" m="1" x="1089"/>
        <item h="1" sd="0" x="475"/>
        <item h="1" x="781"/>
        <item h="1" sd="0" x="416"/>
        <item h="1" sd="0" m="1" x="1052"/>
        <item h="1" sd="0" m="1" x="1146"/>
        <item h="1" sd="0" m="1" x="954"/>
        <item h="1" sd="0" x="529"/>
        <item h="1" sd="0" m="1" x="995"/>
        <item h="1" sd="0" x="657"/>
        <item h="1" x="739"/>
        <item h="1" sd="0" m="1" x="1008"/>
        <item h="1" sd="0" x="143"/>
        <item h="1" sd="0" m="1" x="1022"/>
        <item h="1" sd="0" m="1" x="1150"/>
        <item h="1" sd="0" x="276"/>
        <item h="1" sd="0" x="298"/>
        <item h="1" sd="0" x="424"/>
        <item h="1" sd="0" x="696"/>
        <item h="1" sd="0" x="346"/>
        <item h="1" sd="0" x="485"/>
        <item h="1" sd="0" x="306"/>
        <item h="1" sd="0" x="561"/>
        <item h="1" sd="0" m="1" x="1175"/>
        <item h="1" sd="0" x="321"/>
        <item h="1" sd="0" x="313"/>
        <item h="1" sd="0" x="49"/>
        <item h="1" sd="0" x="384"/>
        <item h="1" x="833"/>
        <item h="1" sd="0" x="315"/>
        <item h="1" x="919"/>
        <item h="1" sd="0" x="466"/>
        <item h="1" sd="0" x="59"/>
        <item h="1" sd="0" x="183"/>
        <item h="1" sd="0" x="707"/>
        <item h="1" sd="0" x="330"/>
        <item h="1" sd="0" x="573"/>
        <item h="1" sd="0" x="274"/>
        <item h="1" sd="0" x="730"/>
        <item h="1" sd="0" m="1" x="952"/>
        <item h="1" sd="0" x="638"/>
        <item h="1" sd="0" x="504"/>
        <item h="1" sd="0" x="311"/>
        <item h="1" sd="0" x="249"/>
        <item h="1" sd="0" m="1" x="985"/>
        <item h="1" sd="0" m="1" x="1093"/>
        <item h="1" sd="0" x="578"/>
        <item h="1" sd="0" m="1" x="1197"/>
        <item h="1" x="895"/>
        <item h="1" x="858"/>
        <item h="1" sd="0" x="552"/>
        <item h="1" sd="0" m="1" x="1047"/>
        <item h="1" sd="0" m="1" x="1027"/>
        <item h="1" sd="0" m="1" x="1026"/>
        <item h="1" sd="0" x="382"/>
        <item h="1" sd="0" x="90"/>
        <item h="1" sd="0" x="390"/>
        <item h="1" x="902"/>
        <item h="1" x="901"/>
        <item h="1" sd="0" x="202"/>
        <item h="1" sd="0" x="67"/>
        <item h="1" sd="0" m="1" x="1125"/>
        <item h="1" sd="0" x="701"/>
        <item h="1" sd="0" x="65"/>
        <item h="1" sd="0" x="247"/>
        <item h="1" sd="0" m="1" x="997"/>
        <item h="1" sd="0" x="712"/>
        <item h="1" sd="0" x="216"/>
        <item h="1" sd="0" m="1" x="1009"/>
        <item h="1" sd="0" x="141"/>
        <item h="1" sd="0" x="177"/>
        <item h="1" sd="0" x="305"/>
        <item h="1" sd="0" m="1" x="1005"/>
        <item h="1" sd="0" x="426"/>
        <item h="1" x="916"/>
        <item h="1" sd="0" x="404"/>
        <item sd="0" x="655"/>
        <item h="1" x="737"/>
        <item h="1" sd="0" x="400"/>
        <item h="1" sd="0" x="347"/>
        <item h="1" sd="0" m="1" x="1189"/>
        <item h="1" sd="0" m="1" x="1073"/>
        <item h="1" sd="0" x="293"/>
        <item h="1" sd="0" x="148"/>
        <item h="1" sd="0" x="354"/>
        <item h="1" x="880"/>
        <item h="1" x="785"/>
        <item h="1" sd="0" m="1" x="1128"/>
        <item h="1" sd="0" x="27"/>
        <item h="1" sd="0" m="1" x="1138"/>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1"/>
        <item h="1" sd="0" x="586"/>
        <item h="1" x="886"/>
        <item h="1" sd="0" x="412"/>
        <item h="1" sd="0" x="516"/>
        <item h="1" x="912"/>
        <item h="1" x="829"/>
        <item h="1" sd="0" x="29"/>
        <item h="1" sd="0" m="1" x="1183"/>
        <item h="1" sd="0" x="9"/>
        <item h="1" x="761"/>
        <item h="1" sd="0" x="335"/>
        <item h="1" sd="0" m="1" x="1077"/>
        <item h="1" sd="0" m="1" x="1104"/>
        <item h="1" sd="0" m="1" x="1042"/>
        <item h="1" sd="0" x="234"/>
        <item h="1" sd="0" x="162"/>
        <item h="1" sd="0" x="410"/>
        <item h="1" sd="0" m="1" x="1013"/>
        <item h="1" sd="0" x="629"/>
        <item h="1" sd="0" m="1" x="1149"/>
        <item h="1" sd="0" m="1" x="1180"/>
        <item h="1" sd="0" x="477"/>
        <item h="1" sd="0" x="544"/>
        <item h="1" sd="0" x="546"/>
        <item h="1" sd="0" m="1" x="998"/>
        <item h="1" x="903"/>
        <item h="1" sd="0" x="615"/>
        <item h="1" sd="0" x="682"/>
        <item h="1" sd="0" m="1" x="1165"/>
        <item h="1" sd="0" x="300"/>
        <item h="1" sd="0" x="167"/>
        <item h="1" sd="0" x="76"/>
        <item h="1" sd="0" x="444"/>
        <item h="1" sd="0" m="1" x="1142"/>
        <item h="1" sd="0" x="342"/>
        <item sd="0" x="734"/>
        <item h="1" x="891"/>
        <item h="1" m="1" x="1065"/>
        <item h="1" sd="0" x="341"/>
        <item h="1" x="769"/>
        <item h="1" sd="0" m="1" x="973"/>
        <item h="1" sd="0" m="1" x="1038"/>
        <item h="1" sd="0" x="618"/>
        <item h="1" sd="0" m="1" x="1117"/>
        <item h="1" sd="0" m="1" x="1096"/>
        <item h="1" sd="0" x="380"/>
        <item h="1" m="1" x="1159"/>
        <item h="1" sd="0" x="433"/>
        <item h="1" sd="0" m="1" x="1135"/>
        <item h="1" x="904"/>
        <item h="1" sd="0" x="113"/>
        <item h="1" x="770"/>
        <item h="1" sd="0" x="559"/>
        <item h="1" sd="0" x="251"/>
        <item h="1" sd="0" x="176"/>
        <item h="1" sd="0" x="446"/>
        <item h="1" sd="0" x="372"/>
        <item h="1" sd="0" x="246"/>
        <item h="1" x="732"/>
        <item h="1" sd="0" m="1" x="960"/>
        <item h="1" sd="0" x="257"/>
        <item h="1" sd="0" x="95"/>
        <item h="1" x="807"/>
        <item h="1" x="772"/>
        <item sd="0" x="338"/>
        <item h="1" sd="0" x="36"/>
        <item h="1" sd="0" m="1" x="1015"/>
        <item h="1" sd="0" x="381"/>
        <item h="1" sd="0" x="21"/>
        <item t="default" sd="0"/>
      </items>
    </pivotField>
    <pivotField axis="axisPage" showAll="0">
      <items count="1199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4"/>
        <item x="11895"/>
        <item x="11896"/>
        <item x="11897"/>
        <item x="11898"/>
        <item x="11908"/>
        <item x="11909"/>
        <item x="11910"/>
        <item x="11911"/>
        <item x="11913"/>
        <item x="11914"/>
        <item x="11915"/>
        <item x="11808"/>
        <item x="11809"/>
        <item x="11810"/>
        <item x="11811"/>
        <item x="11812"/>
        <item x="11813"/>
        <item x="11814"/>
        <item x="11815"/>
        <item x="11816"/>
        <item x="11817"/>
        <item x="11822"/>
        <item x="11899"/>
        <item x="11900"/>
        <item x="11901"/>
        <item x="11916"/>
        <item x="10286"/>
        <item x="10943"/>
        <item x="11818"/>
        <item x="11819"/>
        <item x="11820"/>
        <item x="11821"/>
        <item x="11823"/>
        <item x="11824"/>
        <item x="11825"/>
        <item x="11826"/>
        <item x="11827"/>
        <item x="11828"/>
        <item x="11829"/>
        <item x="11830"/>
        <item x="11831"/>
        <item x="11832"/>
        <item x="11833"/>
        <item x="11834"/>
        <item x="11835"/>
        <item x="11836"/>
        <item x="11837"/>
        <item x="11906"/>
        <item x="11838"/>
        <item x="11839"/>
        <item x="11840"/>
        <item x="11841"/>
        <item x="11842"/>
        <item x="11843"/>
        <item x="11844"/>
        <item x="11845"/>
        <item x="11846"/>
        <item x="11847"/>
        <item x="11848"/>
        <item x="11849"/>
        <item x="11850"/>
        <item x="11851"/>
        <item x="11852"/>
        <item x="11853"/>
        <item x="11854"/>
        <item x="11855"/>
        <item x="11856"/>
        <item x="11902"/>
        <item x="11903"/>
        <item x="11904"/>
        <item x="11905"/>
        <item x="11917"/>
        <item x="11918"/>
        <item x="11919"/>
        <item x="11735"/>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907"/>
        <item x="11912"/>
        <item x="11920"/>
        <item x="11921"/>
        <item x="11922"/>
        <item x="11923"/>
        <item x="11924"/>
        <item x="11925"/>
        <item x="11926"/>
        <item x="11927"/>
        <item x="11928"/>
        <item x="11929"/>
        <item x="11930"/>
        <item x="11931"/>
        <item x="11932"/>
        <item x="11933"/>
        <item x="11934"/>
        <item x="11991"/>
        <item x="11993"/>
        <item x="11935"/>
        <item x="11936"/>
        <item x="11937"/>
        <item x="11938"/>
        <item x="11939"/>
        <item x="11940"/>
        <item x="11941"/>
        <item x="11942"/>
        <item x="11943"/>
        <item x="11944"/>
        <item x="11947"/>
        <item x="11948"/>
        <item x="11949"/>
        <item x="11950"/>
        <item x="11951"/>
        <item x="11952"/>
        <item x="11953"/>
        <item x="11954"/>
        <item x="11959"/>
        <item x="11988"/>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1992"/>
        <item x="11977"/>
        <item x="11978"/>
        <item x="11979"/>
        <item x="11980"/>
        <item x="11981"/>
        <item x="11982"/>
        <item x="11983"/>
        <item x="11984"/>
        <item x="11985"/>
        <item x="11986"/>
        <item x="11987"/>
        <item x="11989"/>
        <item x="11990"/>
        <item t="default"/>
      </items>
    </pivotField>
    <pivotField dataField="1" showAll="0"/>
    <pivotField dataField="1" showAll="0"/>
    <pivotField dataField="1" showAll="0"/>
    <pivotField axis="axisPage" showAll="0">
      <items count="285">
        <item m="1" x="276"/>
        <item m="1" x="256"/>
        <item m="1" x="262"/>
        <item m="1" x="253"/>
        <item m="1" x="252"/>
        <item m="1" x="266"/>
        <item m="1" x="260"/>
        <item m="1" x="255"/>
        <item m="1" x="274"/>
        <item m="1" x="257"/>
        <item m="1" x="258"/>
        <item m="1" x="265"/>
        <item x="8"/>
        <item x="20"/>
        <item x="32"/>
        <item x="1"/>
        <item x="12"/>
        <item x="24"/>
        <item x="37"/>
        <item x="4"/>
        <item x="16"/>
        <item x="28"/>
        <item x="41"/>
        <item x="6"/>
        <item x="18"/>
        <item x="30"/>
        <item x="5"/>
        <item x="17"/>
        <item x="29"/>
        <item m="1" x="259"/>
        <item x="11"/>
        <item x="23"/>
        <item x="35"/>
        <item x="0"/>
        <item x="10"/>
        <item x="22"/>
        <item x="34"/>
        <item x="7"/>
        <item x="19"/>
        <item x="31"/>
        <item x="9"/>
        <item x="21"/>
        <item x="33"/>
        <item x="3"/>
        <item x="15"/>
        <item x="27"/>
        <item x="40"/>
        <item m="1" x="28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272"/>
        <item m="1" x="270"/>
        <item m="1" x="268"/>
        <item m="1" x="267"/>
        <item m="1" x="264"/>
        <item m="1" x="281"/>
        <item m="1" x="280"/>
        <item m="1" x="279"/>
        <item m="1" x="278"/>
        <item m="1" x="277"/>
        <item m="1" x="275"/>
        <item m="1" x="273"/>
        <item m="1" x="271"/>
        <item m="1" x="269"/>
        <item x="83"/>
        <item x="84"/>
        <item x="85"/>
        <item x="86"/>
        <item x="87"/>
        <item x="88"/>
        <item x="89"/>
        <item x="90"/>
        <item x="92"/>
        <item x="93"/>
        <item x="91"/>
        <item x="95"/>
        <item x="96"/>
        <item x="97"/>
        <item x="106"/>
        <item x="98"/>
        <item x="99"/>
        <item x="100"/>
        <item x="101"/>
        <item x="102"/>
        <item x="103"/>
        <item x="104"/>
        <item x="105"/>
        <item x="107"/>
        <item x="108"/>
        <item x="119"/>
        <item m="1" x="283"/>
        <item m="1" x="251"/>
        <item m="1" x="254"/>
        <item m="1" x="261"/>
        <item m="1" x="263"/>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t="default"/>
      </items>
    </pivotField>
  </pivotFields>
  <rowFields count="2">
    <field x="2"/>
    <field x="1"/>
  </rowFields>
  <rowItems count="25">
    <i>
      <x v="35"/>
    </i>
    <i>
      <x v="43"/>
    </i>
    <i>
      <x v="134"/>
    </i>
    <i>
      <x v="299"/>
    </i>
    <i>
      <x v="304"/>
    </i>
    <i>
      <x v="385"/>
    </i>
    <i>
      <x v="387"/>
    </i>
    <i>
      <x v="413"/>
    </i>
    <i>
      <x v="518"/>
    </i>
    <i>
      <x v="600"/>
    </i>
    <i>
      <x v="601"/>
    </i>
    <i>
      <x v="613"/>
    </i>
    <i>
      <x v="729"/>
    </i>
    <i>
      <x v="735"/>
    </i>
    <i>
      <x v="820"/>
    </i>
    <i>
      <x v="860"/>
    </i>
    <i>
      <x v="874"/>
    </i>
    <i>
      <x v="893"/>
    </i>
    <i>
      <x v="914"/>
    </i>
    <i>
      <x v="934"/>
    </i>
    <i>
      <x v="1100"/>
    </i>
    <i>
      <x v="1125"/>
    </i>
    <i>
      <x v="1169"/>
    </i>
    <i>
      <x v="119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031">
      <pivotArea type="all" dataOnly="0" outline="0" fieldPosition="0"/>
    </format>
    <format dxfId="2030">
      <pivotArea outline="0" collapsedLevelsAreSubtotals="1" fieldPosition="0"/>
    </format>
    <format dxfId="2029">
      <pivotArea dataOnly="0" labelOnly="1" outline="0" fieldPosition="0">
        <references count="1">
          <reference field="4294967294" count="3">
            <x v="0"/>
            <x v="1"/>
            <x v="2"/>
          </reference>
        </references>
      </pivotArea>
    </format>
    <format dxfId="2028">
      <pivotArea type="all" dataOnly="0" outline="0" fieldPosition="0"/>
    </format>
    <format dxfId="2027">
      <pivotArea outline="0" collapsedLevelsAreSubtotals="1" fieldPosition="0"/>
    </format>
    <format dxfId="2026">
      <pivotArea field="1" type="button" dataOnly="0" labelOnly="1" outline="0" axis="axisRow" fieldPosition="1"/>
    </format>
    <format dxfId="202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2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23">
      <pivotArea dataOnly="0" labelOnly="1" grandRow="1" outline="0" fieldPosition="0"/>
    </format>
    <format dxfId="2022">
      <pivotArea dataOnly="0" labelOnly="1" outline="0" fieldPosition="0">
        <references count="1">
          <reference field="4294967294" count="3">
            <x v="0"/>
            <x v="1"/>
            <x v="2"/>
          </reference>
        </references>
      </pivotArea>
    </format>
    <format dxfId="2021">
      <pivotArea type="all" dataOnly="0" outline="0" fieldPosition="0"/>
    </format>
    <format dxfId="2020">
      <pivotArea outline="0" collapsedLevelsAreSubtotals="1" fieldPosition="0"/>
    </format>
    <format dxfId="2019">
      <pivotArea field="1" type="button" dataOnly="0" labelOnly="1" outline="0" axis="axisRow" fieldPosition="1"/>
    </format>
    <format dxfId="201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1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16">
      <pivotArea dataOnly="0" labelOnly="1" grandRow="1" outline="0" fieldPosition="0"/>
    </format>
    <format dxfId="2015">
      <pivotArea dataOnly="0" labelOnly="1" outline="0" fieldPosition="0">
        <references count="1">
          <reference field="4294967294" count="3">
            <x v="0"/>
            <x v="1"/>
            <x v="2"/>
          </reference>
        </references>
      </pivotArea>
    </format>
    <format dxfId="2014">
      <pivotArea type="all" dataOnly="0" outline="0" fieldPosition="0"/>
    </format>
    <format dxfId="2013">
      <pivotArea outline="0" collapsedLevelsAreSubtotals="1" fieldPosition="0"/>
    </format>
    <format dxfId="2012">
      <pivotArea field="1" type="button" dataOnly="0" labelOnly="1" outline="0" axis="axisRow" fieldPosition="1"/>
    </format>
    <format dxfId="201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1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09">
      <pivotArea dataOnly="0" labelOnly="1" grandRow="1" outline="0" fieldPosition="0"/>
    </format>
    <format dxfId="2008">
      <pivotArea dataOnly="0" labelOnly="1" outline="0" fieldPosition="0">
        <references count="1">
          <reference field="4294967294" count="3">
            <x v="0"/>
            <x v="1"/>
            <x v="2"/>
          </reference>
        </references>
      </pivotArea>
    </format>
    <format dxfId="2007">
      <pivotArea dataOnly="0" labelOnly="1" outline="0" fieldPosition="0">
        <references count="1">
          <reference field="4294967294" count="1">
            <x v="2"/>
          </reference>
        </references>
      </pivotArea>
    </format>
    <format dxfId="2006">
      <pivotArea dataOnly="0" labelOnly="1" outline="0" fieldPosition="0">
        <references count="1">
          <reference field="4294967294" count="1">
            <x v="2"/>
          </reference>
        </references>
      </pivotArea>
    </format>
    <format dxfId="2005">
      <pivotArea dataOnly="0" labelOnly="1" outline="0" fieldPosition="0">
        <references count="1">
          <reference field="4294967294" count="2">
            <x v="0"/>
            <x v="1"/>
          </reference>
        </references>
      </pivotArea>
    </format>
    <format dxfId="2004">
      <pivotArea dataOnly="0" labelOnly="1" outline="0" fieldPosition="0">
        <references count="1">
          <reference field="4294967294" count="2">
            <x v="0"/>
            <x v="1"/>
          </reference>
        </references>
      </pivotArea>
    </format>
    <format dxfId="2003">
      <pivotArea dataOnly="0" labelOnly="1" outline="0" fieldPosition="0">
        <references count="1">
          <reference field="4294967294" count="2">
            <x v="0"/>
            <x v="1"/>
          </reference>
        </references>
      </pivotArea>
    </format>
    <format dxfId="2002">
      <pivotArea dataOnly="0" labelOnly="1" outline="0" fieldPosition="0">
        <references count="1">
          <reference field="4294967294" count="2">
            <x v="0"/>
            <x v="1"/>
          </reference>
        </references>
      </pivotArea>
    </format>
    <format dxfId="2001">
      <pivotArea field="1" type="button" dataOnly="0" labelOnly="1" outline="0" axis="axisRow" fieldPosition="1"/>
    </format>
    <format dxfId="2000">
      <pivotArea field="1" type="button" dataOnly="0" labelOnly="1" outline="0" axis="axisRow" fieldPosition="1"/>
    </format>
    <format dxfId="1999">
      <pivotArea field="1" type="button" dataOnly="0" labelOnly="1" outline="0" axis="axisRow" fieldPosition="1"/>
    </format>
    <format dxfId="1998">
      <pivotArea dataOnly="0" labelOnly="1" outline="0" fieldPosition="0">
        <references count="1">
          <reference field="4294967294" count="3">
            <x v="0"/>
            <x v="1"/>
            <x v="2"/>
          </reference>
        </references>
      </pivotArea>
    </format>
    <format dxfId="1997">
      <pivotArea field="1" type="button" dataOnly="0" labelOnly="1" outline="0" axis="axisRow" fieldPosition="1"/>
    </format>
    <format dxfId="1996">
      <pivotArea dataOnly="0" labelOnly="1" outline="0" fieldPosition="0">
        <references count="1">
          <reference field="4294967294" count="3">
            <x v="0"/>
            <x v="1"/>
            <x v="2"/>
          </reference>
        </references>
      </pivotArea>
    </format>
    <format dxfId="1995">
      <pivotArea outline="0" collapsedLevelsAreSubtotals="1" fieldPosition="0"/>
    </format>
    <format dxfId="199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9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92">
      <pivotArea dataOnly="0" labelOnly="1" grandRow="1" outline="0" fieldPosition="0"/>
    </format>
    <format dxfId="1991">
      <pivotArea collapsedLevelsAreSubtotals="1" fieldPosition="0">
        <references count="1">
          <reference field="1" count="1">
            <x v="67"/>
          </reference>
        </references>
      </pivotArea>
    </format>
    <format dxfId="1990">
      <pivotArea collapsedLevelsAreSubtotals="1" fieldPosition="0">
        <references count="1">
          <reference field="1" count="1">
            <x v="68"/>
          </reference>
        </references>
      </pivotArea>
    </format>
    <format dxfId="1989">
      <pivotArea collapsedLevelsAreSubtotals="1" fieldPosition="0">
        <references count="1">
          <reference field="1" count="1">
            <x v="69"/>
          </reference>
        </references>
      </pivotArea>
    </format>
    <format dxfId="1988">
      <pivotArea collapsedLevelsAreSubtotals="1" fieldPosition="0">
        <references count="1">
          <reference field="1" count="1">
            <x v="70"/>
          </reference>
        </references>
      </pivotArea>
    </format>
    <format dxfId="1987">
      <pivotArea collapsedLevelsAreSubtotals="1" fieldPosition="0">
        <references count="1">
          <reference field="1" count="1">
            <x v="71"/>
          </reference>
        </references>
      </pivotArea>
    </format>
    <format dxfId="1986">
      <pivotArea collapsedLevelsAreSubtotals="1" fieldPosition="0">
        <references count="1">
          <reference field="1" count="1">
            <x v="72"/>
          </reference>
        </references>
      </pivotArea>
    </format>
    <format dxfId="1985">
      <pivotArea collapsedLevelsAreSubtotals="1" fieldPosition="0">
        <references count="1">
          <reference field="1" count="1">
            <x v="73"/>
          </reference>
        </references>
      </pivotArea>
    </format>
    <format dxfId="1984">
      <pivotArea collapsedLevelsAreSubtotals="1" fieldPosition="0">
        <references count="1">
          <reference field="1" count="1">
            <x v="74"/>
          </reference>
        </references>
      </pivotArea>
    </format>
    <format dxfId="1983">
      <pivotArea collapsedLevelsAreSubtotals="1" fieldPosition="0">
        <references count="1">
          <reference field="1" count="1">
            <x v="75"/>
          </reference>
        </references>
      </pivotArea>
    </format>
    <format dxfId="1982">
      <pivotArea collapsedLevelsAreSubtotals="1" fieldPosition="0">
        <references count="1">
          <reference field="1" count="1">
            <x v="76"/>
          </reference>
        </references>
      </pivotArea>
    </format>
    <format dxfId="1981">
      <pivotArea collapsedLevelsAreSubtotals="1" fieldPosition="0">
        <references count="1">
          <reference field="1" count="1">
            <x v="77"/>
          </reference>
        </references>
      </pivotArea>
    </format>
    <format dxfId="1980">
      <pivotArea collapsedLevelsAreSubtotals="1" fieldPosition="0">
        <references count="1">
          <reference field="1" count="1">
            <x v="78"/>
          </reference>
        </references>
      </pivotArea>
    </format>
    <format dxfId="1979">
      <pivotArea collapsedLevelsAreSubtotals="1" fieldPosition="0">
        <references count="1">
          <reference field="1" count="1">
            <x v="79"/>
          </reference>
        </references>
      </pivotArea>
    </format>
    <format dxfId="1978">
      <pivotArea collapsedLevelsAreSubtotals="1" fieldPosition="0">
        <references count="1">
          <reference field="1" count="1">
            <x v="80"/>
          </reference>
        </references>
      </pivotArea>
    </format>
    <format dxfId="1977">
      <pivotArea collapsedLevelsAreSubtotals="1" fieldPosition="0">
        <references count="1">
          <reference field="1" count="1">
            <x v="81"/>
          </reference>
        </references>
      </pivotArea>
    </format>
    <format dxfId="1976">
      <pivotArea collapsedLevelsAreSubtotals="1" fieldPosition="0">
        <references count="1">
          <reference field="1" count="1">
            <x v="82"/>
          </reference>
        </references>
      </pivotArea>
    </format>
    <format dxfId="1975">
      <pivotArea collapsedLevelsAreSubtotals="1" fieldPosition="0">
        <references count="1">
          <reference field="1" count="1">
            <x v="83"/>
          </reference>
        </references>
      </pivotArea>
    </format>
    <format dxfId="1974">
      <pivotArea collapsedLevelsAreSubtotals="1" fieldPosition="0">
        <references count="1">
          <reference field="1" count="1">
            <x v="84"/>
          </reference>
        </references>
      </pivotArea>
    </format>
    <format dxfId="1973">
      <pivotArea collapsedLevelsAreSubtotals="1" fieldPosition="0">
        <references count="1">
          <reference field="1" count="1">
            <x v="85"/>
          </reference>
        </references>
      </pivotArea>
    </format>
    <format dxfId="1972">
      <pivotArea collapsedLevelsAreSubtotals="1" fieldPosition="0">
        <references count="1">
          <reference field="1" count="1">
            <x v="86"/>
          </reference>
        </references>
      </pivotArea>
    </format>
    <format dxfId="1971">
      <pivotArea collapsedLevelsAreSubtotals="1" fieldPosition="0">
        <references count="1">
          <reference field="1" count="1">
            <x v="87"/>
          </reference>
        </references>
      </pivotArea>
    </format>
    <format dxfId="1970">
      <pivotArea collapsedLevelsAreSubtotals="1" fieldPosition="0">
        <references count="1">
          <reference field="1" count="1">
            <x v="88"/>
          </reference>
        </references>
      </pivotArea>
    </format>
    <format dxfId="1969">
      <pivotArea collapsedLevelsAreSubtotals="1" fieldPosition="0">
        <references count="1">
          <reference field="1" count="1">
            <x v="89"/>
          </reference>
        </references>
      </pivotArea>
    </format>
    <format dxfId="1968">
      <pivotArea collapsedLevelsAreSubtotals="1" fieldPosition="0">
        <references count="1">
          <reference field="1" count="1">
            <x v="90"/>
          </reference>
        </references>
      </pivotArea>
    </format>
    <format dxfId="1967">
      <pivotArea collapsedLevelsAreSubtotals="1" fieldPosition="0">
        <references count="1">
          <reference field="1" count="1">
            <x v="91"/>
          </reference>
        </references>
      </pivotArea>
    </format>
    <format dxfId="1966">
      <pivotArea collapsedLevelsAreSubtotals="1" fieldPosition="0">
        <references count="1">
          <reference field="1" count="1">
            <x v="92"/>
          </reference>
        </references>
      </pivotArea>
    </format>
    <format dxfId="1965">
      <pivotArea collapsedLevelsAreSubtotals="1" fieldPosition="0">
        <references count="1">
          <reference field="1" count="1">
            <x v="93"/>
          </reference>
        </references>
      </pivotArea>
    </format>
    <format dxfId="1964">
      <pivotArea collapsedLevelsAreSubtotals="1" fieldPosition="0">
        <references count="1">
          <reference field="1" count="1">
            <x v="94"/>
          </reference>
        </references>
      </pivotArea>
    </format>
    <format dxfId="1963">
      <pivotArea collapsedLevelsAreSubtotals="1" fieldPosition="0">
        <references count="1">
          <reference field="1" count="1">
            <x v="95"/>
          </reference>
        </references>
      </pivotArea>
    </format>
    <format dxfId="1962">
      <pivotArea collapsedLevelsAreSubtotals="1" fieldPosition="0">
        <references count="1">
          <reference field="1" count="1">
            <x v="96"/>
          </reference>
        </references>
      </pivotArea>
    </format>
    <format dxfId="1961">
      <pivotArea collapsedLevelsAreSubtotals="1" fieldPosition="0">
        <references count="1">
          <reference field="1" count="1">
            <x v="97"/>
          </reference>
        </references>
      </pivotArea>
    </format>
    <format dxfId="1960">
      <pivotArea collapsedLevelsAreSubtotals="1" fieldPosition="0">
        <references count="1">
          <reference field="1" count="1">
            <x v="98"/>
          </reference>
        </references>
      </pivotArea>
    </format>
    <format dxfId="1959">
      <pivotArea collapsedLevelsAreSubtotals="1" fieldPosition="0">
        <references count="1">
          <reference field="1" count="1">
            <x v="99"/>
          </reference>
        </references>
      </pivotArea>
    </format>
    <format dxfId="1958">
      <pivotArea collapsedLevelsAreSubtotals="1" fieldPosition="0">
        <references count="1">
          <reference field="1" count="1">
            <x v="100"/>
          </reference>
        </references>
      </pivotArea>
    </format>
    <format dxfId="1957">
      <pivotArea collapsedLevelsAreSubtotals="1" fieldPosition="0">
        <references count="1">
          <reference field="1" count="1">
            <x v="101"/>
          </reference>
        </references>
      </pivotArea>
    </format>
    <format dxfId="1956">
      <pivotArea collapsedLevelsAreSubtotals="1" fieldPosition="0">
        <references count="1">
          <reference field="1" count="1">
            <x v="102"/>
          </reference>
        </references>
      </pivotArea>
    </format>
    <format dxfId="1955">
      <pivotArea collapsedLevelsAreSubtotals="1" fieldPosition="0">
        <references count="1">
          <reference field="1" count="1">
            <x v="103"/>
          </reference>
        </references>
      </pivotArea>
    </format>
    <format dxfId="1954">
      <pivotArea collapsedLevelsAreSubtotals="1" fieldPosition="0">
        <references count="1">
          <reference field="1" count="1">
            <x v="104"/>
          </reference>
        </references>
      </pivotArea>
    </format>
    <format dxfId="1953">
      <pivotArea collapsedLevelsAreSubtotals="1" fieldPosition="0">
        <references count="1">
          <reference field="1" count="1">
            <x v="105"/>
          </reference>
        </references>
      </pivotArea>
    </format>
    <format dxfId="1952">
      <pivotArea collapsedLevelsAreSubtotals="1" fieldPosition="0">
        <references count="1">
          <reference field="1" count="1">
            <x v="106"/>
          </reference>
        </references>
      </pivotArea>
    </format>
    <format dxfId="1951">
      <pivotArea collapsedLevelsAreSubtotals="1" fieldPosition="0">
        <references count="1">
          <reference field="1" count="1">
            <x v="107"/>
          </reference>
        </references>
      </pivotArea>
    </format>
    <format dxfId="1950">
      <pivotArea collapsedLevelsAreSubtotals="1" fieldPosition="0">
        <references count="1">
          <reference field="1" count="1">
            <x v="108"/>
          </reference>
        </references>
      </pivotArea>
    </format>
    <format dxfId="1949">
      <pivotArea collapsedLevelsAreSubtotals="1" fieldPosition="0">
        <references count="1">
          <reference field="1" count="1">
            <x v="109"/>
          </reference>
        </references>
      </pivotArea>
    </format>
    <format dxfId="1948">
      <pivotArea collapsedLevelsAreSubtotals="1" fieldPosition="0">
        <references count="1">
          <reference field="1" count="1">
            <x v="110"/>
          </reference>
        </references>
      </pivotArea>
    </format>
    <format dxfId="1947">
      <pivotArea collapsedLevelsAreSubtotals="1" fieldPosition="0">
        <references count="1">
          <reference field="1" count="1">
            <x v="111"/>
          </reference>
        </references>
      </pivotArea>
    </format>
    <format dxfId="1946">
      <pivotArea collapsedLevelsAreSubtotals="1" fieldPosition="0">
        <references count="1">
          <reference field="1" count="1">
            <x v="112"/>
          </reference>
        </references>
      </pivotArea>
    </format>
    <format dxfId="1945">
      <pivotArea collapsedLevelsAreSubtotals="1" fieldPosition="0">
        <references count="1">
          <reference field="1" count="1">
            <x v="113"/>
          </reference>
        </references>
      </pivotArea>
    </format>
    <format dxfId="1944">
      <pivotArea collapsedLevelsAreSubtotals="1" fieldPosition="0">
        <references count="1">
          <reference field="1" count="1">
            <x v="114"/>
          </reference>
        </references>
      </pivotArea>
    </format>
    <format dxfId="1943">
      <pivotArea collapsedLevelsAreSubtotals="1" fieldPosition="0">
        <references count="1">
          <reference field="1" count="1">
            <x v="115"/>
          </reference>
        </references>
      </pivotArea>
    </format>
    <format dxfId="1942">
      <pivotArea collapsedLevelsAreSubtotals="1" fieldPosition="0">
        <references count="1">
          <reference field="1" count="1">
            <x v="116"/>
          </reference>
        </references>
      </pivotArea>
    </format>
    <format dxfId="1941">
      <pivotArea collapsedLevelsAreSubtotals="1" fieldPosition="0">
        <references count="1">
          <reference field="1" count="1">
            <x v="117"/>
          </reference>
        </references>
      </pivotArea>
    </format>
    <format dxfId="1940">
      <pivotArea collapsedLevelsAreSubtotals="1" fieldPosition="0">
        <references count="1">
          <reference field="1" count="1">
            <x v="118"/>
          </reference>
        </references>
      </pivotArea>
    </format>
    <format dxfId="1939">
      <pivotArea collapsedLevelsAreSubtotals="1" fieldPosition="0">
        <references count="1">
          <reference field="1" count="1">
            <x v="119"/>
          </reference>
        </references>
      </pivotArea>
    </format>
    <format dxfId="1938">
      <pivotArea collapsedLevelsAreSubtotals="1" fieldPosition="0">
        <references count="1">
          <reference field="1" count="1">
            <x v="120"/>
          </reference>
        </references>
      </pivotArea>
    </format>
    <format dxfId="1937">
      <pivotArea collapsedLevelsAreSubtotals="1" fieldPosition="0">
        <references count="1">
          <reference field="1" count="1">
            <x v="121"/>
          </reference>
        </references>
      </pivotArea>
    </format>
    <format dxfId="1936">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935">
      <pivotArea dataOnly="0" labelOnly="1" fieldPosition="0">
        <references count="1">
          <reference field="1" count="5">
            <x v="117"/>
            <x v="118"/>
            <x v="119"/>
            <x v="120"/>
            <x v="121"/>
          </reference>
        </references>
      </pivotArea>
    </format>
    <format dxfId="1934">
      <pivotArea dataOnly="0" labelOnly="1" outline="0" fieldPosition="0">
        <references count="1">
          <reference field="4294967294" count="1">
            <x v="2"/>
          </reference>
        </references>
      </pivotArea>
    </format>
    <format dxfId="1933">
      <pivotArea dataOnly="0" labelOnly="1" fieldPosition="0">
        <references count="1">
          <reference field="1" count="7">
            <x v="122"/>
            <x v="123"/>
            <x v="124"/>
            <x v="125"/>
            <x v="126"/>
            <x v="127"/>
            <x v="129"/>
          </reference>
        </references>
      </pivotArea>
    </format>
    <format dxfId="1932">
      <pivotArea dataOnly="0" labelOnly="1" fieldPosition="0">
        <references count="1">
          <reference field="1" count="7">
            <x v="122"/>
            <x v="123"/>
            <x v="124"/>
            <x v="125"/>
            <x v="126"/>
            <x v="127"/>
            <x v="129"/>
          </reference>
        </references>
      </pivotArea>
    </format>
    <format dxfId="1931">
      <pivotArea collapsedLevelsAreSubtotals="1" fieldPosition="0">
        <references count="1">
          <reference field="1" count="1">
            <x v="122"/>
          </reference>
        </references>
      </pivotArea>
    </format>
    <format dxfId="1930">
      <pivotArea collapsedLevelsAreSubtotals="1" fieldPosition="0">
        <references count="1">
          <reference field="1" count="1">
            <x v="123"/>
          </reference>
        </references>
      </pivotArea>
    </format>
    <format dxfId="1929">
      <pivotArea collapsedLevelsAreSubtotals="1" fieldPosition="0">
        <references count="1">
          <reference field="1" count="1">
            <x v="124"/>
          </reference>
        </references>
      </pivotArea>
    </format>
    <format dxfId="1928">
      <pivotArea collapsedLevelsAreSubtotals="1" fieldPosition="0">
        <references count="1">
          <reference field="1" count="1">
            <x v="125"/>
          </reference>
        </references>
      </pivotArea>
    </format>
    <format dxfId="1927">
      <pivotArea collapsedLevelsAreSubtotals="1" fieldPosition="0">
        <references count="1">
          <reference field="1" count="1">
            <x v="126"/>
          </reference>
        </references>
      </pivotArea>
    </format>
    <format dxfId="1926">
      <pivotArea collapsedLevelsAreSubtotals="1" fieldPosition="0">
        <references count="1">
          <reference field="1" count="1">
            <x v="127"/>
          </reference>
        </references>
      </pivotArea>
    </format>
    <format dxfId="1925">
      <pivotArea collapsedLevelsAreSubtotals="1" fieldPosition="0">
        <references count="1">
          <reference field="1" count="1">
            <x v="129"/>
          </reference>
        </references>
      </pivotArea>
    </format>
    <format dxfId="1924">
      <pivotArea dataOnly="0" labelOnly="1" fieldPosition="0">
        <references count="1">
          <reference field="1" count="4">
            <x v="18"/>
            <x v="19"/>
            <x v="30"/>
            <x v="31"/>
          </reference>
        </references>
      </pivotArea>
    </format>
    <format dxfId="1923">
      <pivotArea dataOnly="0" labelOnly="1" fieldPosition="0">
        <references count="1">
          <reference field="1" count="3">
            <x v="17"/>
            <x v="32"/>
            <x v="33"/>
          </reference>
        </references>
      </pivotArea>
    </format>
    <format dxfId="1922">
      <pivotArea dataOnly="0" labelOnly="1" fieldPosition="0">
        <references count="1">
          <reference field="1" count="2">
            <x v="18"/>
            <x v="19"/>
          </reference>
        </references>
      </pivotArea>
    </format>
    <format dxfId="1921">
      <pivotArea dataOnly="0" labelOnly="1" fieldPosition="0">
        <references count="1">
          <reference field="1" count="1">
            <x v="17"/>
          </reference>
        </references>
      </pivotArea>
    </format>
    <format dxfId="1920">
      <pivotArea collapsedLevelsAreSubtotals="1" fieldPosition="0">
        <references count="1">
          <reference field="1" count="1">
            <x v="37"/>
          </reference>
        </references>
      </pivotArea>
    </format>
    <format dxfId="1919">
      <pivotArea collapsedLevelsAreSubtotals="1" fieldPosition="0">
        <references count="1">
          <reference field="1" count="1">
            <x v="38"/>
          </reference>
        </references>
      </pivotArea>
    </format>
    <format dxfId="1918">
      <pivotArea collapsedLevelsAreSubtotals="1" fieldPosition="0">
        <references count="1">
          <reference field="1" count="1">
            <x v="39"/>
          </reference>
        </references>
      </pivotArea>
    </format>
    <format dxfId="1917">
      <pivotArea collapsedLevelsAreSubtotals="1" fieldPosition="0">
        <references count="1">
          <reference field="1" count="1">
            <x v="40"/>
          </reference>
        </references>
      </pivotArea>
    </format>
    <format dxfId="1916">
      <pivotArea collapsedLevelsAreSubtotals="1" fieldPosition="0">
        <references count="1">
          <reference field="1" count="1">
            <x v="41"/>
          </reference>
        </references>
      </pivotArea>
    </format>
    <format dxfId="1915">
      <pivotArea collapsedLevelsAreSubtotals="1" fieldPosition="0">
        <references count="1">
          <reference field="1" count="1">
            <x v="42"/>
          </reference>
        </references>
      </pivotArea>
    </format>
    <format dxfId="1914">
      <pivotArea collapsedLevelsAreSubtotals="1" fieldPosition="0">
        <references count="1">
          <reference field="1" count="1">
            <x v="43"/>
          </reference>
        </references>
      </pivotArea>
    </format>
    <format dxfId="1913">
      <pivotArea collapsedLevelsAreSubtotals="1" fieldPosition="0">
        <references count="1">
          <reference field="1" count="1">
            <x v="44"/>
          </reference>
        </references>
      </pivotArea>
    </format>
    <format dxfId="1912">
      <pivotArea collapsedLevelsAreSubtotals="1" fieldPosition="0">
        <references count="1">
          <reference field="1" count="1">
            <x v="45"/>
          </reference>
        </references>
      </pivotArea>
    </format>
    <format dxfId="1911">
      <pivotArea collapsedLevelsAreSubtotals="1" fieldPosition="0">
        <references count="1">
          <reference field="1" count="1">
            <x v="46"/>
          </reference>
        </references>
      </pivotArea>
    </format>
    <format dxfId="1910">
      <pivotArea collapsedLevelsAreSubtotals="1" fieldPosition="0">
        <references count="1">
          <reference field="1" count="1">
            <x v="47"/>
          </reference>
        </references>
      </pivotArea>
    </format>
    <format dxfId="1909">
      <pivotArea collapsedLevelsAreSubtotals="1" fieldPosition="0">
        <references count="1">
          <reference field="1" count="1">
            <x v="48"/>
          </reference>
        </references>
      </pivotArea>
    </format>
    <format dxfId="1908">
      <pivotArea collapsedLevelsAreSubtotals="1" fieldPosition="0">
        <references count="1">
          <reference field="1" count="1">
            <x v="49"/>
          </reference>
        </references>
      </pivotArea>
    </format>
    <format dxfId="1907">
      <pivotArea collapsedLevelsAreSubtotals="1" fieldPosition="0">
        <references count="1">
          <reference field="1" count="1">
            <x v="50"/>
          </reference>
        </references>
      </pivotArea>
    </format>
    <format dxfId="1906">
      <pivotArea collapsedLevelsAreSubtotals="1" fieldPosition="0">
        <references count="1">
          <reference field="1" count="1">
            <x v="51"/>
          </reference>
        </references>
      </pivotArea>
    </format>
    <format dxfId="1905">
      <pivotArea collapsedLevelsAreSubtotals="1" fieldPosition="0">
        <references count="1">
          <reference field="1" count="1">
            <x v="52"/>
          </reference>
        </references>
      </pivotArea>
    </format>
    <format dxfId="1904">
      <pivotArea collapsedLevelsAreSubtotals="1" fieldPosition="0">
        <references count="1">
          <reference field="1" count="1">
            <x v="53"/>
          </reference>
        </references>
      </pivotArea>
    </format>
    <format dxfId="1903">
      <pivotArea collapsedLevelsAreSubtotals="1" fieldPosition="0">
        <references count="1">
          <reference field="1" count="1">
            <x v="54"/>
          </reference>
        </references>
      </pivotArea>
    </format>
    <format dxfId="1902">
      <pivotArea collapsedLevelsAreSubtotals="1" fieldPosition="0">
        <references count="1">
          <reference field="1" count="1">
            <x v="55"/>
          </reference>
        </references>
      </pivotArea>
    </format>
    <format dxfId="1901">
      <pivotArea collapsedLevelsAreSubtotals="1" fieldPosition="0">
        <references count="1">
          <reference field="1" count="1">
            <x v="56"/>
          </reference>
        </references>
      </pivotArea>
    </format>
    <format dxfId="1900">
      <pivotArea collapsedLevelsAreSubtotals="1" fieldPosition="0">
        <references count="1">
          <reference field="1" count="1">
            <x v="57"/>
          </reference>
        </references>
      </pivotArea>
    </format>
    <format dxfId="1899">
      <pivotArea collapsedLevelsAreSubtotals="1" fieldPosition="0">
        <references count="1">
          <reference field="1" count="1">
            <x v="58"/>
          </reference>
        </references>
      </pivotArea>
    </format>
    <format dxfId="1898">
      <pivotArea collapsedLevelsAreSubtotals="1" fieldPosition="0">
        <references count="1">
          <reference field="1" count="1">
            <x v="59"/>
          </reference>
        </references>
      </pivotArea>
    </format>
    <format dxfId="1897">
      <pivotArea collapsedLevelsAreSubtotals="1" fieldPosition="0">
        <references count="1">
          <reference field="1" count="1">
            <x v="60"/>
          </reference>
        </references>
      </pivotArea>
    </format>
    <format dxfId="1896">
      <pivotArea collapsedLevelsAreSubtotals="1" fieldPosition="0">
        <references count="1">
          <reference field="1" count="1">
            <x v="61"/>
          </reference>
        </references>
      </pivotArea>
    </format>
    <format dxfId="1895">
      <pivotArea collapsedLevelsAreSubtotals="1" fieldPosition="0">
        <references count="1">
          <reference field="1" count="1">
            <x v="62"/>
          </reference>
        </references>
      </pivotArea>
    </format>
    <format dxfId="1894">
      <pivotArea collapsedLevelsAreSubtotals="1" fieldPosition="0">
        <references count="1">
          <reference field="1" count="1">
            <x v="63"/>
          </reference>
        </references>
      </pivotArea>
    </format>
    <format dxfId="1893">
      <pivotArea collapsedLevelsAreSubtotals="1" fieldPosition="0">
        <references count="1">
          <reference field="1" count="1">
            <x v="64"/>
          </reference>
        </references>
      </pivotArea>
    </format>
    <format dxfId="1892">
      <pivotArea collapsedLevelsAreSubtotals="1" fieldPosition="0">
        <references count="1">
          <reference field="1" count="1">
            <x v="65"/>
          </reference>
        </references>
      </pivotArea>
    </format>
    <format dxfId="1891">
      <pivotArea collapsedLevelsAreSubtotals="1" fieldPosition="0">
        <references count="1">
          <reference field="1" count="1">
            <x v="66"/>
          </reference>
        </references>
      </pivotArea>
    </format>
    <format dxfId="1890">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1889">
      <pivotArea collapsedLevelsAreSubtotals="1" fieldPosition="0">
        <references count="2">
          <reference field="4294967294" count="2" selected="0">
            <x v="0"/>
            <x v="1"/>
          </reference>
          <reference field="1" count="1">
            <x v="130"/>
          </reference>
        </references>
      </pivotArea>
    </format>
    <format dxfId="1888">
      <pivotArea collapsedLevelsAreSubtotals="1" fieldPosition="0">
        <references count="2">
          <reference field="4294967294" count="2" selected="0">
            <x v="0"/>
            <x v="1"/>
          </reference>
          <reference field="1" count="1">
            <x v="131"/>
          </reference>
        </references>
      </pivotArea>
    </format>
    <format dxfId="1887">
      <pivotArea collapsedLevelsAreSubtotals="1" fieldPosition="0">
        <references count="2">
          <reference field="4294967294" count="2" selected="0">
            <x v="0"/>
            <x v="1"/>
          </reference>
          <reference field="1" count="1">
            <x v="134"/>
          </reference>
        </references>
      </pivotArea>
    </format>
    <format dxfId="1886">
      <pivotArea collapsedLevelsAreSubtotals="1" fieldPosition="0">
        <references count="2">
          <reference field="4294967294" count="2" selected="0">
            <x v="0"/>
            <x v="1"/>
          </reference>
          <reference field="1" count="1">
            <x v="135"/>
          </reference>
        </references>
      </pivotArea>
    </format>
    <format dxfId="1885">
      <pivotArea collapsedLevelsAreSubtotals="1" fieldPosition="0">
        <references count="2">
          <reference field="4294967294" count="2" selected="0">
            <x v="0"/>
            <x v="1"/>
          </reference>
          <reference field="1" count="1">
            <x v="136"/>
          </reference>
        </references>
      </pivotArea>
    </format>
    <format dxfId="1884">
      <pivotArea collapsedLevelsAreSubtotals="1" fieldPosition="0">
        <references count="2">
          <reference field="4294967294" count="2" selected="0">
            <x v="0"/>
            <x v="1"/>
          </reference>
          <reference field="1" count="1">
            <x v="137"/>
          </reference>
        </references>
      </pivotArea>
    </format>
    <format dxfId="1883">
      <pivotArea collapsedLevelsAreSubtotals="1" fieldPosition="0">
        <references count="2">
          <reference field="4294967294" count="2" selected="0">
            <x v="0"/>
            <x v="1"/>
          </reference>
          <reference field="1" count="1">
            <x v="138"/>
          </reference>
        </references>
      </pivotArea>
    </format>
    <format dxfId="1882">
      <pivotArea collapsedLevelsAreSubtotals="1" fieldPosition="0">
        <references count="2">
          <reference field="4294967294" count="2" selected="0">
            <x v="0"/>
            <x v="1"/>
          </reference>
          <reference field="1" count="1">
            <x v="141"/>
          </reference>
        </references>
      </pivotArea>
    </format>
    <format dxfId="1881">
      <pivotArea dataOnly="0" labelOnly="1" fieldPosition="0">
        <references count="1">
          <reference field="1" count="8">
            <x v="130"/>
            <x v="131"/>
            <x v="134"/>
            <x v="135"/>
            <x v="136"/>
            <x v="137"/>
            <x v="138"/>
            <x v="141"/>
          </reference>
        </references>
      </pivotArea>
    </format>
    <format dxfId="1880">
      <pivotArea collapsedLevelsAreSubtotals="1" fieldPosition="0">
        <references count="2">
          <reference field="4294967294" count="1" selected="0">
            <x v="2"/>
          </reference>
          <reference field="1" count="1">
            <x v="130"/>
          </reference>
        </references>
      </pivotArea>
    </format>
    <format dxfId="1879">
      <pivotArea collapsedLevelsAreSubtotals="1" fieldPosition="0">
        <references count="2">
          <reference field="4294967294" count="1" selected="0">
            <x v="2"/>
          </reference>
          <reference field="1" count="1">
            <x v="131"/>
          </reference>
        </references>
      </pivotArea>
    </format>
    <format dxfId="1878">
      <pivotArea collapsedLevelsAreSubtotals="1" fieldPosition="0">
        <references count="2">
          <reference field="4294967294" count="1" selected="0">
            <x v="2"/>
          </reference>
          <reference field="1" count="1">
            <x v="134"/>
          </reference>
        </references>
      </pivotArea>
    </format>
    <format dxfId="1877">
      <pivotArea collapsedLevelsAreSubtotals="1" fieldPosition="0">
        <references count="2">
          <reference field="4294967294" count="1" selected="0">
            <x v="2"/>
          </reference>
          <reference field="1" count="1">
            <x v="135"/>
          </reference>
        </references>
      </pivotArea>
    </format>
    <format dxfId="1876">
      <pivotArea collapsedLevelsAreSubtotals="1" fieldPosition="0">
        <references count="2">
          <reference field="4294967294" count="1" selected="0">
            <x v="2"/>
          </reference>
          <reference field="1" count="1">
            <x v="136"/>
          </reference>
        </references>
      </pivotArea>
    </format>
    <format dxfId="1875">
      <pivotArea collapsedLevelsAreSubtotals="1" fieldPosition="0">
        <references count="2">
          <reference field="4294967294" count="1" selected="0">
            <x v="2"/>
          </reference>
          <reference field="1" count="1">
            <x v="137"/>
          </reference>
        </references>
      </pivotArea>
    </format>
    <format dxfId="1874">
      <pivotArea collapsedLevelsAreSubtotals="1" fieldPosition="0">
        <references count="2">
          <reference field="4294967294" count="1" selected="0">
            <x v="2"/>
          </reference>
          <reference field="1" count="1">
            <x v="138"/>
          </reference>
        </references>
      </pivotArea>
    </format>
    <format dxfId="1873">
      <pivotArea collapsedLevelsAreSubtotals="1" fieldPosition="0">
        <references count="2">
          <reference field="4294967294" count="1" selected="0">
            <x v="2"/>
          </reference>
          <reference field="1" count="1">
            <x v="141"/>
          </reference>
        </references>
      </pivotArea>
    </format>
    <format dxfId="1872">
      <pivotArea collapsedLevelsAreSubtotals="1" fieldPosition="0">
        <references count="2">
          <reference field="1" count="2">
            <x v="39"/>
            <x v="103"/>
          </reference>
          <reference field="2" count="1" selected="0">
            <x v="820"/>
          </reference>
        </references>
      </pivotArea>
    </format>
    <format dxfId="1871">
      <pivotArea dataOnly="0" labelOnly="1" fieldPosition="0">
        <references count="2">
          <reference field="1" count="2">
            <x v="39"/>
            <x v="103"/>
          </reference>
          <reference field="2" count="1" selected="0">
            <x v="820"/>
          </reference>
        </references>
      </pivotArea>
    </format>
    <format dxfId="1870">
      <pivotArea dataOnly="0" labelOnly="1" fieldPosition="0">
        <references count="2">
          <reference field="1" count="9">
            <x v="0"/>
            <x v="1"/>
            <x v="2"/>
            <x v="3"/>
            <x v="17"/>
            <x v="25"/>
            <x v="33"/>
            <x v="39"/>
            <x v="103"/>
          </reference>
          <reference field="2" count="1" selected="0">
            <x v="82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57"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5" firstHeaderRow="0" firstDataRow="1" firstDataCol="1" rowPageCount="1" colPageCount="1"/>
  <pivotFields count="8">
    <pivotField axis="axisPage" showAll="0">
      <items count="1561">
        <item x="0"/>
        <item x="1"/>
        <item x="2"/>
        <item x="4"/>
        <item x="5"/>
        <item x="7"/>
        <item x="8"/>
        <item x="9"/>
        <item m="1" x="1501"/>
        <item x="10"/>
        <item x="11"/>
        <item m="1" x="1427"/>
        <item x="12"/>
        <item x="13"/>
        <item x="14"/>
        <item x="16"/>
        <item x="18"/>
        <item x="3"/>
        <item x="6"/>
        <item x="17"/>
        <item x="15"/>
        <item m="1" x="1423"/>
        <item m="1" x="1494"/>
        <item x="21"/>
        <item x="19"/>
        <item x="23"/>
        <item m="1" x="1524"/>
        <item x="24"/>
        <item x="20"/>
        <item x="28"/>
        <item m="1" x="1491"/>
        <item x="22"/>
        <item x="39"/>
        <item x="25"/>
        <item x="29"/>
        <item x="35"/>
        <item x="26"/>
        <item x="27"/>
        <item x="38"/>
        <item x="30"/>
        <item x="31"/>
        <item x="32"/>
        <item m="1" x="1429"/>
        <item x="37"/>
        <item m="1" x="1512"/>
        <item m="1" x="1499"/>
        <item x="44"/>
        <item x="34"/>
        <item x="40"/>
        <item x="33"/>
        <item x="36"/>
        <item x="60"/>
        <item x="42"/>
        <item m="1" x="1437"/>
        <item x="41"/>
        <item x="47"/>
        <item x="43"/>
        <item m="1" x="1537"/>
        <item x="50"/>
        <item x="45"/>
        <item x="46"/>
        <item x="52"/>
        <item m="1" x="1535"/>
        <item x="53"/>
        <item x="56"/>
        <item x="49"/>
        <item x="48"/>
        <item m="1" x="1452"/>
        <item x="51"/>
        <item m="1" x="1510"/>
        <item x="54"/>
        <item x="55"/>
        <item x="62"/>
        <item x="57"/>
        <item x="58"/>
        <item x="59"/>
        <item x="61"/>
        <item x="63"/>
        <item x="64"/>
        <item x="65"/>
        <item x="66"/>
        <item x="67"/>
        <item x="68"/>
        <item m="1" x="1508"/>
        <item m="1" x="1461"/>
        <item x="69"/>
        <item x="70"/>
        <item x="76"/>
        <item m="1" x="1527"/>
        <item m="1" x="1542"/>
        <item m="1" x="1451"/>
        <item x="71"/>
        <item x="72"/>
        <item x="73"/>
        <item x="74"/>
        <item x="75"/>
        <item x="77"/>
        <item x="78"/>
        <item x="79"/>
        <item m="1" x="1473"/>
        <item x="87"/>
        <item x="80"/>
        <item m="1" x="1553"/>
        <item x="81"/>
        <item x="82"/>
        <item x="83"/>
        <item x="84"/>
        <item x="85"/>
        <item x="86"/>
        <item x="88"/>
        <item x="89"/>
        <item x="90"/>
        <item x="91"/>
        <item m="1" x="1470"/>
        <item x="92"/>
        <item x="93"/>
        <item x="94"/>
        <item x="95"/>
        <item m="1" x="1480"/>
        <item x="96"/>
        <item m="1" x="1534"/>
        <item x="97"/>
        <item x="104"/>
        <item x="98"/>
        <item x="109"/>
        <item x="99"/>
        <item x="100"/>
        <item x="101"/>
        <item x="102"/>
        <item x="103"/>
        <item x="105"/>
        <item x="106"/>
        <item x="107"/>
        <item x="108"/>
        <item x="110"/>
        <item x="111"/>
        <item m="1" x="1462"/>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87"/>
        <item m="1" x="1468"/>
        <item x="140"/>
        <item x="166"/>
        <item x="145"/>
        <item x="142"/>
        <item x="190"/>
        <item x="143"/>
        <item m="1" x="155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36"/>
        <item x="178"/>
        <item x="179"/>
        <item x="180"/>
        <item x="181"/>
        <item x="141"/>
        <item x="154"/>
        <item x="168"/>
        <item x="182"/>
        <item x="184"/>
        <item x="216"/>
        <item m="1" x="1500"/>
        <item x="186"/>
        <item x="185"/>
        <item x="187"/>
        <item x="188"/>
        <item x="191"/>
        <item x="192"/>
        <item x="193"/>
        <item x="194"/>
        <item x="195"/>
        <item x="196"/>
        <item x="197"/>
        <item x="199"/>
        <item x="200"/>
        <item x="201"/>
        <item m="1" x="1401"/>
        <item m="1" x="1403"/>
        <item m="1" x="1515"/>
        <item m="1" x="1418"/>
        <item x="204"/>
        <item x="202"/>
        <item x="203"/>
        <item x="205"/>
        <item x="206"/>
        <item x="183"/>
        <item x="207"/>
        <item x="208"/>
        <item x="209"/>
        <item x="210"/>
        <item x="211"/>
        <item m="1" x="1502"/>
        <item m="1" x="1414"/>
        <item m="1" x="1408"/>
        <item m="1" x="1448"/>
        <item x="222"/>
        <item x="212"/>
        <item x="213"/>
        <item x="214"/>
        <item x="215"/>
        <item x="217"/>
        <item m="1" x="1525"/>
        <item x="218"/>
        <item x="219"/>
        <item x="220"/>
        <item m="1" x="1426"/>
        <item m="1" x="1522"/>
        <item x="221"/>
        <item x="223"/>
        <item x="224"/>
        <item x="228"/>
        <item x="229"/>
        <item x="230"/>
        <item x="231"/>
        <item x="232"/>
        <item x="233"/>
        <item x="234"/>
        <item x="235"/>
        <item x="241"/>
        <item x="236"/>
        <item x="237"/>
        <item x="238"/>
        <item x="239"/>
        <item x="240"/>
        <item x="242"/>
        <item x="243"/>
        <item m="1" x="1513"/>
        <item x="244"/>
        <item x="245"/>
        <item m="1" x="146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42"/>
        <item x="373"/>
        <item x="114"/>
        <item x="279"/>
        <item x="280"/>
        <item x="226"/>
        <item m="1" x="1478"/>
        <item x="281"/>
        <item x="282"/>
        <item m="1" x="1474"/>
        <item x="283"/>
        <item x="284"/>
        <item x="285"/>
        <item x="286"/>
        <item x="287"/>
        <item x="288"/>
        <item x="135"/>
        <item x="289"/>
        <item x="290"/>
        <item x="291"/>
        <item x="292"/>
        <item x="293"/>
        <item x="294"/>
        <item x="295"/>
        <item x="296"/>
        <item x="370"/>
        <item x="297"/>
        <item x="298"/>
        <item x="299"/>
        <item x="300"/>
        <item x="301"/>
        <item m="1" x="1486"/>
        <item x="303"/>
        <item x="302"/>
        <item x="304"/>
        <item m="1" x="1460"/>
        <item x="312"/>
        <item x="309"/>
        <item x="308"/>
        <item m="1" x="1551"/>
        <item x="305"/>
        <item x="311"/>
        <item x="306"/>
        <item x="307"/>
        <item x="227"/>
        <item x="310"/>
        <item x="313"/>
        <item x="314"/>
        <item x="315"/>
        <item x="316"/>
        <item x="321"/>
        <item x="317"/>
        <item x="318"/>
        <item x="320"/>
        <item x="319"/>
        <item x="322"/>
        <item x="323"/>
        <item x="324"/>
        <item x="325"/>
        <item x="326"/>
        <item x="327"/>
        <item x="328"/>
        <item m="1" x="1421"/>
        <item x="329"/>
        <item x="330"/>
        <item x="331"/>
        <item x="332"/>
        <item x="333"/>
        <item x="334"/>
        <item m="1" x="1548"/>
        <item m="1" x="1557"/>
        <item m="1" x="1539"/>
        <item m="1" x="1475"/>
        <item m="1" x="1471"/>
        <item x="336"/>
        <item x="335"/>
        <item x="337"/>
        <item x="338"/>
        <item x="339"/>
        <item x="351"/>
        <item x="340"/>
        <item x="341"/>
        <item x="342"/>
        <item m="1" x="1428"/>
        <item x="343"/>
        <item x="344"/>
        <item x="345"/>
        <item x="346"/>
        <item x="361"/>
        <item x="347"/>
        <item x="348"/>
        <item x="349"/>
        <item x="350"/>
        <item x="355"/>
        <item x="352"/>
        <item x="354"/>
        <item x="353"/>
        <item x="371"/>
        <item x="362"/>
        <item x="356"/>
        <item x="357"/>
        <item x="358"/>
        <item x="359"/>
        <item x="360"/>
        <item m="1" x="1430"/>
        <item x="363"/>
        <item x="364"/>
        <item x="365"/>
        <item x="366"/>
        <item x="367"/>
        <item x="368"/>
        <item x="369"/>
        <item m="1" x="1416"/>
        <item m="1" x="1489"/>
        <item m="1" x="1495"/>
        <item x="372"/>
        <item x="374"/>
        <item m="1" x="1516"/>
        <item x="378"/>
        <item x="381"/>
        <item x="375"/>
        <item x="376"/>
        <item x="377"/>
        <item m="1" x="1449"/>
        <item x="379"/>
        <item x="380"/>
        <item x="382"/>
        <item x="383"/>
        <item x="384"/>
        <item x="385"/>
        <item m="1" x="1531"/>
        <item m="1" x="1496"/>
        <item x="386"/>
        <item x="387"/>
        <item x="388"/>
        <item m="1" x="1431"/>
        <item m="1" x="1443"/>
        <item x="389"/>
        <item x="390"/>
        <item x="393"/>
        <item x="391"/>
        <item x="392"/>
        <item x="394"/>
        <item x="395"/>
        <item x="396"/>
        <item x="397"/>
        <item x="398"/>
        <item x="399"/>
        <item m="1" x="1465"/>
        <item x="400"/>
        <item x="401"/>
        <item x="402"/>
        <item x="403"/>
        <item x="404"/>
        <item x="405"/>
        <item m="1" x="1547"/>
        <item x="406"/>
        <item x="407"/>
        <item x="409"/>
        <item x="410"/>
        <item x="411"/>
        <item x="412"/>
        <item m="1" x="1523"/>
        <item x="413"/>
        <item x="414"/>
        <item x="415"/>
        <item x="408"/>
        <item x="416"/>
        <item m="1" x="1554"/>
        <item x="421"/>
        <item m="1" x="1439"/>
        <item x="417"/>
        <item x="418"/>
        <item x="420"/>
        <item m="1" x="1541"/>
        <item x="419"/>
        <item m="1" x="1543"/>
        <item x="422"/>
        <item x="423"/>
        <item x="424"/>
        <item x="425"/>
        <item x="426"/>
        <item x="427"/>
        <item x="428"/>
        <item x="429"/>
        <item x="430"/>
        <item x="431"/>
        <item x="432"/>
        <item x="433"/>
        <item x="434"/>
        <item x="435"/>
        <item x="436"/>
        <item x="437"/>
        <item x="438"/>
        <item x="439"/>
        <item x="440"/>
        <item x="441"/>
        <item x="442"/>
        <item x="443"/>
        <item m="1" x="1482"/>
        <item x="444"/>
        <item x="445"/>
        <item x="446"/>
        <item m="1" x="1479"/>
        <item x="447"/>
        <item m="1" x="1485"/>
        <item x="448"/>
        <item m="1" x="1546"/>
        <item x="449"/>
        <item x="450"/>
        <item m="1" x="1406"/>
        <item x="451"/>
        <item x="452"/>
        <item x="453"/>
        <item x="454"/>
        <item x="455"/>
        <item m="1" x="1415"/>
        <item x="456"/>
        <item x="457"/>
        <item x="458"/>
        <item x="459"/>
        <item x="460"/>
        <item x="461"/>
        <item x="462"/>
        <item m="1" x="1424"/>
        <item x="463"/>
        <item x="464"/>
        <item x="465"/>
        <item x="466"/>
        <item x="467"/>
        <item x="468"/>
        <item x="469"/>
        <item x="470"/>
        <item x="471"/>
        <item x="472"/>
        <item m="1" x="1434"/>
        <item x="473"/>
        <item x="474"/>
        <item x="475"/>
        <item x="476"/>
        <item x="477"/>
        <item m="1" x="1518"/>
        <item x="478"/>
        <item x="479"/>
        <item x="480"/>
        <item x="481"/>
        <item m="1" x="1506"/>
        <item x="482"/>
        <item x="483"/>
        <item x="484"/>
        <item x="485"/>
        <item x="486"/>
        <item x="487"/>
        <item x="488"/>
        <item x="489"/>
        <item x="490"/>
        <item x="491"/>
        <item x="492"/>
        <item x="493"/>
        <item x="494"/>
        <item x="495"/>
        <item x="496"/>
        <item m="1" x="1529"/>
        <item x="498"/>
        <item x="497"/>
        <item x="499"/>
        <item x="500"/>
        <item x="501"/>
        <item x="502"/>
        <item x="503"/>
        <item m="1" x="1481"/>
        <item x="505"/>
        <item x="506"/>
        <item x="507"/>
        <item x="508"/>
        <item x="509"/>
        <item x="510"/>
        <item x="511"/>
        <item m="1" x="1444"/>
        <item m="1" x="1438"/>
        <item m="1" x="1440"/>
        <item m="1" x="1432"/>
        <item m="1" x="1528"/>
        <item x="512"/>
        <item x="513"/>
        <item x="514"/>
        <item x="515"/>
        <item x="516"/>
        <item x="517"/>
        <item x="518"/>
        <item x="519"/>
        <item x="520"/>
        <item x="521"/>
        <item x="522"/>
        <item x="523"/>
        <item x="524"/>
        <item x="525"/>
        <item x="526"/>
        <item x="527"/>
        <item x="528"/>
        <item x="529"/>
        <item x="530"/>
        <item x="531"/>
        <item x="532"/>
        <item m="1" x="1492"/>
        <item x="538"/>
        <item x="533"/>
        <item x="534"/>
        <item x="535"/>
        <item x="536"/>
        <item x="537"/>
        <item x="542"/>
        <item x="539"/>
        <item x="540"/>
        <item x="541"/>
        <item x="543"/>
        <item x="544"/>
        <item x="545"/>
        <item x="546"/>
        <item x="547"/>
        <item x="549"/>
        <item x="550"/>
        <item x="551"/>
        <item x="552"/>
        <item x="553"/>
        <item x="554"/>
        <item x="555"/>
        <item m="1" x="144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07"/>
        <item x="607"/>
        <item x="611"/>
        <item x="612"/>
        <item x="613"/>
        <item x="614"/>
        <item x="608"/>
        <item x="609"/>
        <item x="610"/>
        <item x="615"/>
        <item x="616"/>
        <item m="1" x="1420"/>
        <item x="617"/>
        <item x="618"/>
        <item m="1" x="1509"/>
        <item x="619"/>
        <item x="620"/>
        <item x="621"/>
        <item m="1" x="1412"/>
        <item x="622"/>
        <item m="1" x="1517"/>
        <item x="624"/>
        <item x="623"/>
        <item x="625"/>
        <item x="627"/>
        <item x="629"/>
        <item x="630"/>
        <item x="631"/>
        <item x="632"/>
        <item x="633"/>
        <item x="634"/>
        <item m="1" x="1435"/>
        <item x="648"/>
        <item x="635"/>
        <item m="1" x="1450"/>
        <item m="1" x="1538"/>
        <item x="636"/>
        <item x="637"/>
        <item x="626"/>
        <item x="641"/>
        <item x="642"/>
        <item x="643"/>
        <item m="1" x="1532"/>
        <item x="628"/>
        <item x="644"/>
        <item x="645"/>
        <item x="646"/>
        <item m="1" x="1533"/>
        <item x="647"/>
        <item x="649"/>
        <item x="650"/>
        <item x="640"/>
        <item x="651"/>
        <item x="652"/>
        <item m="1" x="1504"/>
        <item x="653"/>
        <item m="1" x="1503"/>
        <item m="1" x="1493"/>
        <item m="1" x="1511"/>
        <item x="654"/>
        <item m="1" x="1445"/>
        <item x="655"/>
        <item x="656"/>
        <item x="657"/>
        <item x="658"/>
        <item x="659"/>
        <item x="639"/>
        <item x="660"/>
        <item x="662"/>
        <item x="665"/>
        <item x="663"/>
        <item x="664"/>
        <item x="638"/>
        <item x="661"/>
        <item x="666"/>
        <item x="667"/>
        <item x="668"/>
        <item x="669"/>
        <item x="670"/>
        <item x="671"/>
        <item x="672"/>
        <item x="673"/>
        <item x="674"/>
        <item m="1" x="1536"/>
        <item x="675"/>
        <item m="1" x="1540"/>
        <item x="679"/>
        <item x="676"/>
        <item x="677"/>
        <item x="678"/>
        <item x="680"/>
        <item m="1" x="1453"/>
        <item x="682"/>
        <item x="681"/>
        <item x="683"/>
        <item x="684"/>
        <item x="685"/>
        <item x="686"/>
        <item x="687"/>
        <item x="688"/>
        <item x="697"/>
        <item x="689"/>
        <item x="690"/>
        <item x="691"/>
        <item x="705"/>
        <item x="700"/>
        <item x="692"/>
        <item x="693"/>
        <item x="694"/>
        <item m="1" x="1459"/>
        <item x="695"/>
        <item x="696"/>
        <item x="698"/>
        <item x="699"/>
        <item x="701"/>
        <item m="1" x="1455"/>
        <item x="702"/>
        <item x="706"/>
        <item x="703"/>
        <item x="704"/>
        <item x="707"/>
        <item x="717"/>
        <item x="709"/>
        <item x="710"/>
        <item x="711"/>
        <item x="712"/>
        <item x="713"/>
        <item x="714"/>
        <item x="715"/>
        <item x="716"/>
        <item m="1" x="1484"/>
        <item x="718"/>
        <item x="719"/>
        <item x="720"/>
        <item m="1" x="1514"/>
        <item m="1" x="1545"/>
        <item m="1" x="1549"/>
        <item x="726"/>
        <item x="721"/>
        <item x="722"/>
        <item x="723"/>
        <item x="724"/>
        <item x="725"/>
        <item x="727"/>
        <item x="758"/>
        <item x="728"/>
        <item x="729"/>
        <item x="730"/>
        <item m="1" x="1497"/>
        <item m="1" x="1413"/>
        <item x="731"/>
        <item x="732"/>
        <item x="733"/>
        <item m="1" x="1469"/>
        <item x="734"/>
        <item x="735"/>
        <item x="736"/>
        <item x="737"/>
        <item x="738"/>
        <item x="739"/>
        <item x="740"/>
        <item x="741"/>
        <item x="742"/>
        <item x="765"/>
        <item x="743"/>
        <item x="744"/>
        <item x="745"/>
        <item x="746"/>
        <item x="753"/>
        <item x="747"/>
        <item m="1" x="1404"/>
        <item x="748"/>
        <item x="749"/>
        <item x="750"/>
        <item x="751"/>
        <item x="767"/>
        <item x="752"/>
        <item x="754"/>
        <item x="755"/>
        <item x="756"/>
        <item x="757"/>
        <item m="1" x="1477"/>
        <item x="759"/>
        <item m="1" x="1559"/>
        <item x="760"/>
        <item m="1" x="1419"/>
        <item x="761"/>
        <item x="762"/>
        <item m="1" x="1425"/>
        <item x="763"/>
        <item m="1" x="1407"/>
        <item x="764"/>
        <item x="766"/>
        <item x="768"/>
        <item m="1" x="1411"/>
        <item x="769"/>
        <item x="770"/>
        <item x="771"/>
        <item x="772"/>
        <item x="773"/>
        <item x="774"/>
        <item x="775"/>
        <item x="776"/>
        <item x="777"/>
        <item x="778"/>
        <item x="779"/>
        <item x="780"/>
        <item x="781"/>
        <item x="782"/>
        <item x="783"/>
        <item x="784"/>
        <item x="785"/>
        <item x="786"/>
        <item x="787"/>
        <item x="788"/>
        <item x="789"/>
        <item x="790"/>
        <item x="791"/>
        <item m="1" x="1410"/>
        <item x="792"/>
        <item m="1" x="1456"/>
        <item x="793"/>
        <item x="799"/>
        <item x="794"/>
        <item x="795"/>
        <item x="796"/>
        <item x="797"/>
        <item x="798"/>
        <item x="800"/>
        <item x="802"/>
        <item x="801"/>
        <item m="1" x="1457"/>
        <item x="803"/>
        <item x="804"/>
        <item x="805"/>
        <item x="808"/>
        <item x="810"/>
        <item x="809"/>
        <item m="1" x="1454"/>
        <item x="812"/>
        <item x="807"/>
        <item m="1" x="1446"/>
        <item x="819"/>
        <item m="1" x="1550"/>
        <item x="811"/>
        <item x="813"/>
        <item x="815"/>
        <item x="816"/>
        <item x="806"/>
        <item x="814"/>
        <item x="817"/>
        <item m="1" x="1467"/>
        <item x="821"/>
        <item x="822"/>
        <item m="1" x="1526"/>
        <item x="824"/>
        <item x="829"/>
        <item x="827"/>
        <item x="823"/>
        <item x="828"/>
        <item x="833"/>
        <item x="831"/>
        <item x="832"/>
        <item x="830"/>
        <item x="708"/>
        <item x="837"/>
        <item x="838"/>
        <item x="835"/>
        <item x="840"/>
        <item x="841"/>
        <item x="842"/>
        <item m="1" x="1544"/>
        <item x="834"/>
        <item m="1" x="1483"/>
        <item m="1" x="1530"/>
        <item x="820"/>
        <item x="836"/>
        <item x="839"/>
        <item x="846"/>
        <item x="845"/>
        <item x="847"/>
        <item x="844"/>
        <item m="1" x="1476"/>
        <item x="849"/>
        <item x="848"/>
        <item x="843"/>
        <item m="1" x="1552"/>
        <item x="850"/>
        <item x="852"/>
        <item x="853"/>
        <item x="854"/>
        <item x="856"/>
        <item x="857"/>
        <item x="851"/>
        <item x="858"/>
        <item x="859"/>
        <item m="1" x="1519"/>
        <item x="818"/>
        <item x="855"/>
        <item x="826"/>
        <item x="860"/>
        <item x="862"/>
        <item x="861"/>
        <item x="863"/>
        <item x="864"/>
        <item x="865"/>
        <item x="868"/>
        <item x="866"/>
        <item x="867"/>
        <item x="870"/>
        <item x="871"/>
        <item x="872"/>
        <item x="874"/>
        <item m="1" x="1472"/>
        <item x="873"/>
        <item x="877"/>
        <item x="879"/>
        <item x="878"/>
        <item x="876"/>
        <item x="880"/>
        <item x="881"/>
        <item x="883"/>
        <item m="1" x="1463"/>
        <item x="875"/>
        <item x="882"/>
        <item x="884"/>
        <item x="886"/>
        <item x="887"/>
        <item x="885"/>
        <item x="825"/>
        <item x="888"/>
        <item x="889"/>
        <item x="890"/>
        <item x="891"/>
        <item m="1" x="1488"/>
        <item x="892"/>
        <item x="893"/>
        <item x="894"/>
        <item x="898"/>
        <item x="896"/>
        <item x="900"/>
        <item x="895"/>
        <item x="897"/>
        <item x="902"/>
        <item x="903"/>
        <item x="904"/>
        <item x="905"/>
        <item x="901"/>
        <item x="899"/>
        <item x="906"/>
        <item x="869"/>
        <item m="1" x="1402"/>
        <item x="908"/>
        <item x="907"/>
        <item x="909"/>
        <item m="1" x="1405"/>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56"/>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490"/>
        <item x="1156"/>
        <item x="1154"/>
        <item x="1159"/>
        <item x="1158"/>
        <item x="1162"/>
        <item x="1133"/>
        <item x="1123"/>
        <item x="1164"/>
        <item x="1161"/>
        <item x="1163"/>
        <item x="1165"/>
        <item x="1166"/>
        <item x="1167"/>
        <item x="1168"/>
        <item x="1169"/>
        <item x="1171"/>
        <item x="1173"/>
        <item x="1174"/>
        <item m="1" x="1409"/>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17"/>
        <item m="1" x="1498"/>
        <item m="1" x="1505"/>
        <item m="1" x="1422"/>
        <item m="1" x="1441"/>
        <item x="1210"/>
        <item x="1213"/>
        <item x="1205"/>
        <item x="1209"/>
        <item x="1211"/>
        <item x="1208"/>
        <item x="1204"/>
        <item x="1206"/>
        <item x="1214"/>
        <item x="1215"/>
        <item x="1207"/>
        <item x="1212"/>
        <item m="1" x="1520"/>
        <item x="1217"/>
        <item x="1222"/>
        <item x="1223"/>
        <item x="1225"/>
        <item m="1" x="1466"/>
        <item x="1219"/>
        <item x="1221"/>
        <item x="1224"/>
        <item x="1218"/>
        <item x="1228"/>
        <item x="1227"/>
        <item x="1229"/>
        <item x="1226"/>
        <item m="1" x="1521"/>
        <item x="1216"/>
        <item x="1232"/>
        <item x="1231"/>
        <item x="1233"/>
        <item x="1234"/>
        <item x="1236"/>
        <item x="1237"/>
        <item x="1239"/>
        <item x="1243"/>
        <item x="1244"/>
        <item x="1245"/>
        <item x="1248"/>
        <item x="1249"/>
        <item x="1242"/>
        <item m="1" x="1458"/>
        <item m="1" x="1433"/>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555"/>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1"/>
        <item x="1369"/>
        <item x="1370"/>
        <item x="1374"/>
        <item x="1378"/>
        <item x="1383"/>
        <item x="1384"/>
        <item x="1372"/>
        <item x="1377"/>
        <item x="1373"/>
        <item x="1375"/>
        <item x="1385"/>
        <item x="1387"/>
        <item x="1382"/>
        <item x="1389"/>
        <item x="1388"/>
        <item x="1376"/>
        <item x="1381"/>
        <item x="1386"/>
        <item x="1380"/>
        <item x="1390"/>
        <item x="1393"/>
        <item x="1394"/>
        <item x="1396"/>
        <item x="1391"/>
        <item x="1398"/>
        <item x="1399"/>
        <item x="1395"/>
        <item x="1397"/>
        <item x="1400"/>
        <item x="1379"/>
        <item x="1392"/>
        <item x="1365"/>
        <item t="default"/>
      </items>
    </pivotField>
    <pivotField axis="axisRow" showAll="0" sortType="descending">
      <items count="182">
        <item sd="0" x="48"/>
        <item sd="0" x="50"/>
        <item sd="0" x="39"/>
        <item sd="0" x="37"/>
        <item sd="0" x="40"/>
        <item sd="0" x="0"/>
        <item sd="0" x="24"/>
        <item sd="0" x="34"/>
        <item sd="0" x="31"/>
        <item sd="0" x="20"/>
        <item sd="0" x="25"/>
        <item sd="0" x="29"/>
        <item sd="0" x="16"/>
        <item sd="0" m="1" x="16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5"/>
        <item sd="0" x="45"/>
        <item sd="0" x="42"/>
        <item sd="0" m="1" x="167"/>
        <item sd="0" x="44"/>
        <item sd="0" x="47"/>
        <item sd="0" x="49"/>
        <item sd="0" m="1" x="160"/>
        <item sd="0" x="27"/>
        <item sd="0" x="52"/>
        <item sd="0" x="51"/>
        <item sd="0" x="53"/>
        <item sd="0" x="54"/>
        <item sd="0" x="55"/>
        <item sd="0" x="56"/>
        <item sd="0" x="57"/>
        <item sd="0" x="58"/>
        <item sd="0" x="59"/>
        <item sd="0" x="60"/>
        <item sd="0" x="61"/>
        <item sd="0" x="62"/>
        <item sd="0" x="63"/>
        <item sd="0" x="64"/>
        <item sd="0" x="65"/>
        <item sd="0" x="66"/>
        <item sd="0" x="70"/>
        <item sd="0" m="1" x="159"/>
        <item sd="0" x="67"/>
        <item sd="0" x="69"/>
        <item sd="0" m="1" x="157"/>
        <item sd="0" x="71"/>
        <item sd="0" x="72"/>
        <item sd="0" x="73"/>
        <item sd="0" m="1" x="172"/>
        <item sd="0" x="132"/>
        <item sd="0" m="1" x="174"/>
        <item sd="0" x="77"/>
        <item sd="0" x="76"/>
        <item sd="0" x="82"/>
        <item sd="0" x="74"/>
        <item sd="0" x="75"/>
        <item sd="0" x="68"/>
        <item sd="0" x="78"/>
        <item sd="0" x="79"/>
        <item sd="0" m="1" x="171"/>
        <item sd="0" x="80"/>
        <item sd="0" x="81"/>
        <item sd="0" m="1" x="173"/>
        <item sd="0" x="83"/>
        <item sd="0" x="85"/>
        <item sd="0" x="84"/>
        <item sd="0" x="86"/>
        <item sd="0" x="87"/>
        <item sd="0" x="89"/>
        <item sd="0" x="90"/>
        <item sd="0" x="91"/>
        <item sd="0" x="92"/>
        <item sd="0" x="93"/>
        <item sd="0" x="94"/>
        <item sd="0" x="95"/>
        <item sd="0" x="96"/>
        <item sd="0" m="1" x="178"/>
        <item sd="0" m="1" x="179"/>
        <item sd="0" m="1" x="158"/>
        <item sd="0" x="97"/>
        <item sd="0" x="100"/>
        <item sd="0" m="1" x="177"/>
        <item sd="0" x="101"/>
        <item sd="0" x="110"/>
        <item sd="0" x="106"/>
        <item sd="0" x="88"/>
        <item sd="0" x="102"/>
        <item sd="0" x="112"/>
        <item sd="0" x="113"/>
        <item sd="0" m="1" x="180"/>
        <item sd="0" x="108"/>
        <item sd="0" x="115"/>
        <item sd="0" m="1" x="170"/>
        <item sd="0" x="116"/>
        <item sd="0" x="98"/>
        <item sd="0" x="99"/>
        <item sd="0" x="103"/>
        <item sd="0" x="114"/>
        <item sd="0" x="107"/>
        <item sd="0" x="117"/>
        <item sd="0" x="118"/>
        <item sd="0" x="119"/>
        <item sd="0" x="120"/>
        <item m="1" x="164"/>
        <item sd="0" x="121"/>
        <item sd="0" x="104"/>
        <item sd="0" x="122"/>
        <item sd="0" x="105"/>
        <item sd="0" x="111"/>
        <item sd="0" x="109"/>
        <item sd="0" m="1" x="161"/>
        <item sd="0" x="123"/>
        <item m="1" x="166"/>
        <item sd="0" x="124"/>
        <item sd="0" x="125"/>
        <item sd="0" x="126"/>
        <item sd="0" m="1" x="168"/>
        <item sd="0" x="130"/>
        <item sd="0" x="128"/>
        <item sd="0" x="131"/>
        <item sd="0" x="133"/>
        <item m="1" x="176"/>
        <item sd="0" x="129"/>
        <item sd="0" x="135"/>
        <item x="136"/>
        <item sd="0" x="134"/>
        <item sd="0" x="137"/>
        <item sd="0" x="138"/>
        <item sd="0" x="139"/>
        <item sd="0" x="127"/>
        <item sd="0" x="140"/>
        <item x="142"/>
        <item sd="0" x="144"/>
        <item x="145"/>
        <item sd="0" m="1" x="162"/>
        <item sd="0" x="148"/>
        <item sd="0" x="149"/>
        <item sd="0" x="147"/>
        <item x="143"/>
        <item x="151"/>
        <item m="1" x="169"/>
        <item sd="0" x="150"/>
        <item sd="0" x="153"/>
        <item sd="0" x="141"/>
        <item sd="0" x="152"/>
        <item sd="0" x="154"/>
        <item sd="0" x="155"/>
        <item m="1" x="163"/>
        <item x="146"/>
        <item x="156"/>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m="1" x="75"/>
        <item m="1" x="66"/>
        <item m="1" x="49"/>
        <item m="1" x="62"/>
        <item x="13"/>
        <item m="1" x="53"/>
        <item m="1" x="79"/>
        <item x="14"/>
        <item m="1" x="58"/>
        <item m="1" x="48"/>
        <item m="1" x="65"/>
        <item m="1" x="80"/>
        <item m="1" x="55"/>
        <item m="1" x="74"/>
        <item m="1" x="52"/>
        <item m="1" x="57"/>
        <item m="1" x="42"/>
        <item m="1" x="67"/>
        <item x="18"/>
        <item x="25"/>
        <item m="1" x="41"/>
        <item m="1" x="40"/>
        <item m="1" x="51"/>
        <item m="1" x="45"/>
        <item m="1" x="56"/>
        <item m="1" x="50"/>
        <item x="19"/>
        <item x="17"/>
        <item x="20"/>
        <item m="1" x="73"/>
        <item m="1" x="72"/>
        <item m="1" x="60"/>
        <item m="1" x="47"/>
        <item x="22"/>
        <item x="15"/>
        <item m="1" x="39"/>
        <item x="34"/>
        <item x="26"/>
        <item x="27"/>
        <item x="28"/>
        <item x="32"/>
        <item m="1" x="46"/>
        <item m="1" x="78"/>
        <item m="1" x="54"/>
        <item m="1" x="68"/>
        <item x="24"/>
        <item m="1" x="61"/>
        <item m="1" x="76"/>
        <item x="30"/>
        <item x="31"/>
        <item x="23"/>
        <item m="1" x="63"/>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0">
    <i>
      <x v="167"/>
    </i>
    <i>
      <x v="82"/>
    </i>
    <i>
      <x v="173"/>
    </i>
    <i>
      <x v="175"/>
    </i>
    <i>
      <x v="168"/>
    </i>
    <i>
      <x v="176"/>
    </i>
    <i>
      <x v="117"/>
    </i>
    <i>
      <x v="121"/>
    </i>
    <i>
      <x v="166"/>
    </i>
    <i>
      <x v="151"/>
    </i>
    <i>
      <x v="149"/>
    </i>
    <i>
      <x v="146"/>
    </i>
    <i>
      <x v="150"/>
    </i>
    <i>
      <x v="124"/>
    </i>
    <i>
      <x v="179"/>
    </i>
    <i r="1">
      <x v="62"/>
    </i>
    <i r="1">
      <x v="13"/>
    </i>
    <i r="1">
      <x v="52"/>
    </i>
    <i r="1">
      <x v="7"/>
    </i>
    <i>
      <x v="174"/>
    </i>
    <i>
      <x v="157"/>
    </i>
    <i>
      <x v="163"/>
    </i>
    <i>
      <x v="177"/>
    </i>
    <i>
      <x v="153"/>
    </i>
    <i>
      <x v="160"/>
    </i>
    <i>
      <x v="180"/>
    </i>
    <i r="1">
      <x v="52"/>
    </i>
    <i r="1">
      <x v="9"/>
    </i>
    <i>
      <x v="156"/>
    </i>
    <i>
      <x v="144"/>
    </i>
    <i>
      <x v="170"/>
    </i>
    <i r="1">
      <x v="52"/>
    </i>
    <i>
      <x v="161"/>
    </i>
    <i>
      <x v="118"/>
    </i>
    <i>
      <x v="22"/>
    </i>
    <i>
      <x v="172"/>
    </i>
    <i>
      <x v="142"/>
    </i>
    <i>
      <x v="132"/>
    </i>
    <i>
      <x v="125"/>
    </i>
    <i>
      <x v="154"/>
    </i>
    <i>
      <x v="115"/>
    </i>
    <i>
      <x v="26"/>
    </i>
    <i>
      <x v="135"/>
    </i>
    <i>
      <x v="36"/>
    </i>
    <i>
      <x v="103"/>
    </i>
    <i>
      <x v="37"/>
    </i>
    <i>
      <x v="32"/>
    </i>
    <i>
      <x v="38"/>
    </i>
    <i>
      <x v="145"/>
    </i>
    <i>
      <x v="39"/>
    </i>
    <i>
      <x v="99"/>
    </i>
    <i>
      <x v="40"/>
    </i>
    <i>
      <x v="110"/>
    </i>
    <i>
      <x v="41"/>
    </i>
    <i>
      <x v="119"/>
    </i>
    <i>
      <x v="42"/>
    </i>
    <i>
      <x v="130"/>
    </i>
    <i>
      <x v="43"/>
    </i>
    <i>
      <x v="139"/>
    </i>
    <i>
      <x v="44"/>
    </i>
    <i>
      <x v="35"/>
    </i>
    <i>
      <x v="45"/>
    </i>
    <i>
      <x v="97"/>
    </i>
    <i>
      <x v="47"/>
    </i>
    <i>
      <x v="101"/>
    </i>
    <i>
      <x v="48"/>
    </i>
    <i>
      <x v="105"/>
    </i>
    <i>
      <x v="50"/>
    </i>
    <i>
      <x v="113"/>
    </i>
    <i>
      <x v="51"/>
    </i>
    <i>
      <x v="2"/>
    </i>
    <i>
      <x v="52"/>
    </i>
    <i>
      <x v="122"/>
    </i>
    <i>
      <x v="54"/>
    </i>
    <i>
      <x v="127"/>
    </i>
    <i>
      <x v="55"/>
    </i>
    <i>
      <x v="33"/>
    </i>
    <i>
      <x v="56"/>
    </i>
    <i>
      <x v="137"/>
    </i>
    <i>
      <x v="57"/>
    </i>
    <i>
      <x v="34"/>
    </i>
    <i>
      <x v="8"/>
    </i>
    <i>
      <x v="6"/>
    </i>
    <i>
      <x v="30"/>
    </i>
    <i>
      <x v="24"/>
    </i>
    <i>
      <x v="58"/>
    </i>
    <i>
      <x v="158"/>
    </i>
    <i>
      <x v="59"/>
    </i>
    <i>
      <x v="10"/>
    </i>
    <i>
      <x v="60"/>
    </i>
    <i>
      <x v="96"/>
    </i>
    <i>
      <x v="61"/>
    </i>
    <i>
      <x v="98"/>
    </i>
    <i>
      <x v="62"/>
    </i>
    <i>
      <x v="100"/>
    </i>
    <i>
      <x v="63"/>
    </i>
    <i>
      <x v="102"/>
    </i>
    <i>
      <x v="64"/>
    </i>
    <i>
      <x v="104"/>
    </i>
    <i>
      <x v="65"/>
    </i>
    <i>
      <x v="106"/>
    </i>
    <i>
      <x v="66"/>
    </i>
    <i>
      <x v="111"/>
    </i>
    <i>
      <x v="67"/>
    </i>
    <i>
      <x v="114"/>
    </i>
    <i>
      <x v="68"/>
    </i>
    <i>
      <x v="116"/>
    </i>
    <i>
      <x v="69"/>
    </i>
    <i>
      <x v="29"/>
    </i>
    <i>
      <x v="70"/>
    </i>
    <i>
      <x v="3"/>
    </i>
    <i>
      <x v="71"/>
    </i>
    <i>
      <x v="4"/>
    </i>
    <i>
      <x v="73"/>
    </i>
    <i>
      <x v="126"/>
    </i>
    <i>
      <x v="74"/>
    </i>
    <i>
      <x v="128"/>
    </i>
    <i>
      <x v="76"/>
    </i>
    <i>
      <x v="131"/>
    </i>
    <i>
      <x v="77"/>
    </i>
    <i>
      <x v="133"/>
    </i>
    <i>
      <x v="78"/>
    </i>
    <i>
      <x v="136"/>
    </i>
    <i>
      <x v="80"/>
    </i>
    <i>
      <x v="138"/>
    </i>
    <i>
      <x v="1"/>
    </i>
    <i>
      <x v="140"/>
    </i>
    <i>
      <x v="83"/>
    </i>
    <i>
      <x v="20"/>
    </i>
    <i>
      <x v="17"/>
    </i>
    <i>
      <x v="5"/>
    </i>
    <i>
      <x v="18"/>
    </i>
    <i>
      <x v="7"/>
    </i>
    <i>
      <x/>
    </i>
    <i>
      <x v="21"/>
    </i>
    <i>
      <x v="87"/>
    </i>
    <i>
      <x v="155"/>
    </i>
    <i r="1">
      <x v="52"/>
    </i>
    <i>
      <x v="169"/>
    </i>
    <i r="1">
      <x v="4"/>
    </i>
    <i>
      <x v="23"/>
    </i>
    <i>
      <x v="28"/>
    </i>
    <i>
      <x v="159"/>
    </i>
    <i>
      <x v="162"/>
    </i>
    <i r="1">
      <x v="52"/>
    </i>
    <i>
      <x v="31"/>
    </i>
    <i>
      <x v="164"/>
    </i>
    <i r="1">
      <x v="66"/>
    </i>
    <i r="1">
      <x v="62"/>
    </i>
    <i>
      <x v="25"/>
    </i>
    <i>
      <x v="19"/>
    </i>
    <i>
      <x v="9"/>
    </i>
    <i>
      <x v="15"/>
    </i>
    <i>
      <x v="11"/>
    </i>
    <i>
      <x v="94"/>
    </i>
    <i>
      <x v="95"/>
    </i>
    <i>
      <x v="88"/>
    </i>
    <i>
      <x v="12"/>
    </i>
    <i>
      <x v="89"/>
    </i>
    <i>
      <x v="14"/>
    </i>
    <i>
      <x v="91"/>
    </i>
    <i>
      <x v="16"/>
    </i>
    <i>
      <x v="92"/>
    </i>
    <i>
      <x v="84"/>
    </i>
    <i>
      <x v="85"/>
    </i>
    <i>
      <x v="86"/>
    </i>
    <i>
      <x v="27"/>
    </i>
    <i>
      <x v="129"/>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1869">
      <pivotArea collapsedLevelsAreSubtotals="1" fieldPosition="0">
        <references count="1">
          <reference field="2" count="1">
            <x v="9"/>
          </reference>
        </references>
      </pivotArea>
    </format>
    <format dxfId="1868">
      <pivotArea collapsedLevelsAreSubtotals="1" fieldPosition="0">
        <references count="1">
          <reference field="2" count="1">
            <x v="4"/>
          </reference>
        </references>
      </pivotArea>
    </format>
    <format dxfId="1867">
      <pivotArea grandRow="1" outline="0" collapsedLevelsAreSubtotals="1" fieldPosition="0"/>
    </format>
    <format dxfId="1866">
      <pivotArea dataOnly="0" labelOnly="1" grandRow="1" outline="0" fieldPosition="0"/>
    </format>
    <format dxfId="1865">
      <pivotArea grandRow="1" outline="0" collapsedLevelsAreSubtotals="1" fieldPosition="0"/>
    </format>
    <format dxfId="1864">
      <pivotArea dataOnly="0" labelOnly="1" grandRow="1" outline="0" fieldPosition="0"/>
    </format>
    <format dxfId="1863">
      <pivotArea grandRow="1" outline="0" collapsedLevelsAreSubtotals="1" fieldPosition="0"/>
    </format>
    <format dxfId="1862">
      <pivotArea dataOnly="0" labelOnly="1" grandRow="1" outline="0" fieldPosition="0"/>
    </format>
    <format dxfId="1861">
      <pivotArea outline="0" collapsedLevelsAreSubtotals="1" fieldPosition="0">
        <references count="1">
          <reference field="4294967294" count="1" selected="0">
            <x v="0"/>
          </reference>
        </references>
      </pivotArea>
    </format>
    <format dxfId="1860">
      <pivotArea dataOnly="0" labelOnly="1" outline="0" fieldPosition="0">
        <references count="1">
          <reference field="0" count="0"/>
        </references>
      </pivotArea>
    </format>
    <format dxfId="1859">
      <pivotArea dataOnly="0" labelOnly="1" outline="0" fieldPosition="0">
        <references count="1">
          <reference field="4294967294" count="1">
            <x v="0"/>
          </reference>
        </references>
      </pivotArea>
    </format>
    <format dxfId="1858">
      <pivotArea outline="0" collapsedLevelsAreSubtotals="1" fieldPosition="0">
        <references count="1">
          <reference field="4294967294" count="1" selected="0">
            <x v="1"/>
          </reference>
        </references>
      </pivotArea>
    </format>
    <format dxfId="1857">
      <pivotArea dataOnly="0" labelOnly="1" outline="0" fieldPosition="0">
        <references count="1">
          <reference field="4294967294" count="1">
            <x v="1"/>
          </reference>
        </references>
      </pivotArea>
    </format>
    <format dxfId="1856">
      <pivotArea outline="0" collapsedLevelsAreSubtotals="1" fieldPosition="0">
        <references count="1">
          <reference field="4294967294" count="1" selected="0">
            <x v="2"/>
          </reference>
        </references>
      </pivotArea>
    </format>
    <format dxfId="1855">
      <pivotArea dataOnly="0" labelOnly="1" outline="0" fieldPosition="0">
        <references count="1">
          <reference field="4294967294" count="1">
            <x v="2"/>
          </reference>
        </references>
      </pivotArea>
    </format>
    <format dxfId="1854">
      <pivotArea grandRow="1" outline="0" collapsedLevelsAreSubtotals="1" fieldPosition="0"/>
    </format>
    <format dxfId="1853">
      <pivotArea dataOnly="0" labelOnly="1" grandRow="1" outline="0" fieldPosition="0"/>
    </format>
    <format dxfId="1852">
      <pivotArea type="all" dataOnly="0" outline="0" fieldPosition="0"/>
    </format>
    <format dxfId="1851">
      <pivotArea grandRow="1" outline="0" collapsedLevelsAreSubtotals="1" fieldPosition="0"/>
    </format>
    <format dxfId="1850">
      <pivotArea dataOnly="0" labelOnly="1" grandRow="1" outline="0" fieldPosition="0"/>
    </format>
    <format dxfId="1849">
      <pivotArea collapsedLevelsAreSubtotals="1" fieldPosition="0">
        <references count="2">
          <reference field="4294967294" count="1" selected="0">
            <x v="2"/>
          </reference>
          <reference field="1" count="1">
            <x v="22"/>
          </reference>
        </references>
      </pivotArea>
    </format>
    <format dxfId="1848">
      <pivotArea collapsedLevelsAreSubtotals="1" fieldPosition="0">
        <references count="3">
          <reference field="4294967294" count="1" selected="0">
            <x v="2"/>
          </reference>
          <reference field="1" count="1">
            <x v="22"/>
          </reference>
          <reference field="2" count="1" selected="0">
            <x v="7"/>
          </reference>
        </references>
      </pivotArea>
    </format>
    <format dxfId="1847">
      <pivotArea dataOnly="0" labelOnly="1" outline="0" fieldPosition="0">
        <references count="1">
          <reference field="4294967294" count="3">
            <x v="0"/>
            <x v="1"/>
            <x v="2"/>
          </reference>
        </references>
      </pivotArea>
    </format>
    <format dxfId="1846">
      <pivotArea dataOnly="0" labelOnly="1" outline="0" fieldPosition="0">
        <references count="1">
          <reference field="4294967294" count="1">
            <x v="0"/>
          </reference>
        </references>
      </pivotArea>
    </format>
    <format dxfId="1845">
      <pivotArea dataOnly="0" labelOnly="1" outline="0" fieldPosition="0">
        <references count="1">
          <reference field="4294967294" count="1">
            <x v="1"/>
          </reference>
        </references>
      </pivotArea>
    </format>
    <format dxfId="1844">
      <pivotArea dataOnly="0" labelOnly="1" outline="0" fieldPosition="0">
        <references count="1">
          <reference field="4294967294" count="1">
            <x v="1"/>
          </reference>
        </references>
      </pivotArea>
    </format>
    <format dxfId="1843">
      <pivotArea dataOnly="0" labelOnly="1" outline="0" fieldPosition="0">
        <references count="1">
          <reference field="4294967294" count="1">
            <x v="2"/>
          </reference>
        </references>
      </pivotArea>
    </format>
    <format dxfId="1842">
      <pivotArea dataOnly="0" labelOnly="1" fieldPosition="0">
        <references count="1">
          <reference field="2" count="0"/>
        </references>
      </pivotArea>
    </format>
    <format dxfId="1841">
      <pivotArea collapsedLevelsAreSubtotals="1" fieldPosition="0">
        <references count="2">
          <reference field="4294967294" count="1" selected="0">
            <x v="2"/>
          </reference>
          <reference field="2" count="1">
            <x v="4"/>
          </reference>
        </references>
      </pivotArea>
    </format>
    <format dxfId="1840">
      <pivotArea collapsedLevelsAreSubtotals="1" fieldPosition="0">
        <references count="2">
          <reference field="4294967294" count="1" selected="0">
            <x v="2"/>
          </reference>
          <reference field="2" count="1">
            <x v="9"/>
          </reference>
        </references>
      </pivotArea>
    </format>
    <format dxfId="1839">
      <pivotArea collapsedLevelsAreSubtotals="1" fieldPosition="0">
        <references count="2">
          <reference field="4294967294" count="1" selected="0">
            <x v="2"/>
          </reference>
          <reference field="2" count="1">
            <x v="14"/>
          </reference>
        </references>
      </pivotArea>
    </format>
    <format dxfId="1838">
      <pivotArea collapsedLevelsAreSubtotals="1" fieldPosition="0">
        <references count="3">
          <reference field="4294967294" count="1" selected="0">
            <x v="2"/>
          </reference>
          <reference field="1" count="3">
            <x v="3"/>
            <x v="37"/>
            <x v="41"/>
          </reference>
          <reference field="2" count="1" selected="0">
            <x v="14"/>
          </reference>
        </references>
      </pivotArea>
    </format>
    <format dxfId="1837">
      <pivotArea collapsedLevelsAreSubtotals="1" fieldPosition="0">
        <references count="3">
          <reference field="4294967294" count="1" selected="0">
            <x v="2"/>
          </reference>
          <reference field="1" count="1">
            <x v="6"/>
          </reference>
          <reference field="2" count="1" selected="0">
            <x v="14"/>
          </reference>
        </references>
      </pivotArea>
    </format>
    <format dxfId="1836">
      <pivotArea collapsedLevelsAreSubtotals="1" fieldPosition="0">
        <references count="3">
          <reference field="4294967294" count="1" selected="0">
            <x v="2"/>
          </reference>
          <reference field="1" count="1">
            <x v="27"/>
          </reference>
          <reference field="2" count="1" selected="0">
            <x v="14"/>
          </reference>
        </references>
      </pivotArea>
    </format>
    <format dxfId="1835">
      <pivotArea collapsedLevelsAreSubtotals="1" fieldPosition="0">
        <references count="1">
          <reference field="2" count="1">
            <x v="0"/>
          </reference>
        </references>
      </pivotArea>
    </format>
    <format dxfId="1834">
      <pivotArea collapsedLevelsAreSubtotals="1" fieldPosition="0">
        <references count="1">
          <reference field="2" count="1">
            <x v="14"/>
          </reference>
        </references>
      </pivotArea>
    </format>
    <format dxfId="1833">
      <pivotArea collapsedLevelsAreSubtotals="1" fieldPosition="0">
        <references count="1">
          <reference field="2" count="1">
            <x v="9"/>
          </reference>
        </references>
      </pivotArea>
    </format>
    <format dxfId="1832">
      <pivotArea collapsedLevelsAreSubtotals="1" fieldPosition="0">
        <references count="1">
          <reference field="2" count="1">
            <x v="5"/>
          </reference>
        </references>
      </pivotArea>
    </format>
    <format dxfId="1831">
      <pivotArea collapsedLevelsAreSubtotals="1" fieldPosition="0">
        <references count="1">
          <reference field="2" count="1">
            <x v="17"/>
          </reference>
        </references>
      </pivotArea>
    </format>
    <format dxfId="1830">
      <pivotArea collapsedLevelsAreSubtotals="1" fieldPosition="0">
        <references count="1">
          <reference field="2" count="1">
            <x v="2"/>
          </reference>
        </references>
      </pivotArea>
    </format>
    <format dxfId="1829">
      <pivotArea collapsedLevelsAreSubtotals="1" fieldPosition="0">
        <references count="1">
          <reference field="2" count="1">
            <x v="10"/>
          </reference>
        </references>
      </pivotArea>
    </format>
    <format dxfId="1828">
      <pivotArea collapsedLevelsAreSubtotals="1" fieldPosition="0">
        <references count="1">
          <reference field="2" count="1">
            <x v="1"/>
          </reference>
        </references>
      </pivotArea>
    </format>
    <format dxfId="1827">
      <pivotArea collapsedLevelsAreSubtotals="1" fieldPosition="0">
        <references count="1">
          <reference field="2" count="1">
            <x v="13"/>
          </reference>
        </references>
      </pivotArea>
    </format>
    <format dxfId="1826">
      <pivotArea collapsedLevelsAreSubtotals="1" fieldPosition="0">
        <references count="1">
          <reference field="2" count="1">
            <x v="4"/>
          </reference>
        </references>
      </pivotArea>
    </format>
    <format dxfId="1825">
      <pivotArea collapsedLevelsAreSubtotals="1" fieldPosition="0">
        <references count="1">
          <reference field="2" count="1">
            <x v="8"/>
          </reference>
        </references>
      </pivotArea>
    </format>
    <format dxfId="1824">
      <pivotArea collapsedLevelsAreSubtotals="1" fieldPosition="0">
        <references count="1">
          <reference field="2" count="1">
            <x v="3"/>
          </reference>
        </references>
      </pivotArea>
    </format>
    <format dxfId="1823">
      <pivotArea collapsedLevelsAreSubtotals="1" fieldPosition="0">
        <references count="1">
          <reference field="2" count="1">
            <x v="12"/>
          </reference>
        </references>
      </pivotArea>
    </format>
    <format dxfId="1822">
      <pivotArea collapsedLevelsAreSubtotals="1" fieldPosition="0">
        <references count="1">
          <reference field="2" count="1">
            <x v="6"/>
          </reference>
        </references>
      </pivotArea>
    </format>
    <format dxfId="1821">
      <pivotArea collapsedLevelsAreSubtotals="1" fieldPosition="0">
        <references count="1">
          <reference field="2" count="1">
            <x v="11"/>
          </reference>
        </references>
      </pivotArea>
    </format>
    <format dxfId="1820">
      <pivotArea collapsedLevelsAreSubtotals="1" fieldPosition="0">
        <references count="1">
          <reference field="2" count="1">
            <x v="20"/>
          </reference>
        </references>
      </pivotArea>
    </format>
    <format dxfId="1819">
      <pivotArea collapsedLevelsAreSubtotals="1" fieldPosition="0">
        <references count="2">
          <reference field="1" count="1">
            <x v="6"/>
          </reference>
          <reference field="2" count="1" selected="0">
            <x v="20"/>
          </reference>
        </references>
      </pivotArea>
    </format>
    <format dxfId="1818">
      <pivotArea collapsedLevelsAreSubtotals="1" fieldPosition="0">
        <references count="1">
          <reference field="2" count="1">
            <x v="7"/>
          </reference>
        </references>
      </pivotArea>
    </format>
    <format dxfId="1817">
      <pivotArea collapsedLevelsAreSubtotals="1" fieldPosition="0">
        <references count="1">
          <reference field="2" count="1">
            <x v="16"/>
          </reference>
        </references>
      </pivotArea>
    </format>
    <format dxfId="1816">
      <pivotArea collapsedLevelsAreSubtotals="1" fieldPosition="0">
        <references count="1">
          <reference field="2" count="1">
            <x v="19"/>
          </reference>
        </references>
      </pivotArea>
    </format>
    <format dxfId="1815">
      <pivotArea collapsedLevelsAreSubtotals="1" fieldPosition="0">
        <references count="1">
          <reference field="2" count="1">
            <x v="18"/>
          </reference>
        </references>
      </pivotArea>
    </format>
    <format dxfId="1814">
      <pivotArea collapsedLevelsAreSubtotals="1" fieldPosition="0">
        <references count="1">
          <reference field="2" count="1">
            <x v="15"/>
          </reference>
        </references>
      </pivotArea>
    </format>
    <format dxfId="1813">
      <pivotArea collapsedLevelsAreSubtotals="1" fieldPosition="0">
        <references count="1">
          <reference field="2" count="1">
            <x v="21"/>
          </reference>
        </references>
      </pivotArea>
    </format>
    <format dxfId="1812">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811">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1810">
      <pivotArea dataOnly="0" labelOnly="1" fieldPosition="0">
        <references count="1">
          <reference field="1" count="1">
            <x v="79"/>
          </reference>
        </references>
      </pivotArea>
    </format>
    <format dxfId="1809">
      <pivotArea dataOnly="0" labelOnly="1" fieldPosition="0">
        <references count="1">
          <reference field="1" count="1">
            <x v="79"/>
          </reference>
        </references>
      </pivotArea>
    </format>
    <format dxfId="1808">
      <pivotArea type="all" dataOnly="0" outline="0" fieldPosition="0"/>
    </format>
    <format dxfId="1807">
      <pivotArea outline="0" collapsedLevelsAreSubtotals="1" fieldPosition="0"/>
    </format>
    <format dxfId="1806">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805">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804">
      <pivotArea dataOnly="0" labelOnly="1" fieldPosition="0">
        <references count="1">
          <reference field="1" count="16">
            <x v="0"/>
            <x v="12"/>
            <x v="14"/>
            <x v="15"/>
            <x v="17"/>
            <x v="19"/>
            <x v="27"/>
            <x v="47"/>
            <x v="58"/>
            <x v="59"/>
            <x v="62"/>
            <x v="63"/>
            <x v="64"/>
            <x v="65"/>
            <x v="66"/>
            <x v="67"/>
          </reference>
        </references>
      </pivotArea>
    </format>
    <format dxfId="1803">
      <pivotArea dataOnly="0" labelOnly="1" grandRow="1" outline="0" fieldPosition="0"/>
    </format>
    <format dxfId="1802">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45699</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3099"/>
  <sheetViews>
    <sheetView tabSelected="1" zoomScale="145" zoomScaleNormal="145" workbookViewId="0">
      <pane ySplit="1" topLeftCell="A23088" activePane="bottomLeft" state="frozen"/>
      <selection pane="bottomLeft" activeCell="C23104" sqref="C23104"/>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15"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15"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15"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40" t="s">
        <v>12594</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40" t="s">
        <v>12594</v>
      </c>
      <c r="C19883" s="62" t="s">
        <v>10972</v>
      </c>
      <c r="D19883" s="107" t="s">
        <v>13351</v>
      </c>
      <c r="E19883" s="57">
        <v>39570</v>
      </c>
      <c r="F19883" s="57"/>
      <c r="G19883" s="125">
        <f t="shared" si="316"/>
        <v>-39570</v>
      </c>
      <c r="H19883" s="704" t="s">
        <v>13158</v>
      </c>
    </row>
    <row r="19884" spans="1:8" ht="15" customHeight="1" x14ac:dyDescent="0.2">
      <c r="A19884" s="733">
        <v>45472</v>
      </c>
      <c r="B19884" s="40" t="s">
        <v>12594</v>
      </c>
      <c r="C19884" s="62" t="s">
        <v>10972</v>
      </c>
      <c r="D19884" s="107" t="s">
        <v>13351</v>
      </c>
      <c r="E19884" s="57">
        <v>41265</v>
      </c>
      <c r="F19884" s="57"/>
      <c r="G19884" s="125">
        <f t="shared" si="316"/>
        <v>-41265</v>
      </c>
      <c r="H19884" s="704" t="s">
        <v>13158</v>
      </c>
    </row>
    <row r="19885" spans="1:8" ht="15" x14ac:dyDescent="0.2">
      <c r="A19885" s="733">
        <v>45472</v>
      </c>
      <c r="B19885" s="40" t="s">
        <v>12594</v>
      </c>
      <c r="C19885" s="62" t="s">
        <v>10972</v>
      </c>
      <c r="D19885" s="107" t="s">
        <v>13351</v>
      </c>
      <c r="E19885" s="57">
        <v>78619</v>
      </c>
      <c r="F19885" s="57"/>
      <c r="G19885" s="125">
        <f t="shared" si="316"/>
        <v>-78619</v>
      </c>
      <c r="H19885" s="704" t="s">
        <v>13158</v>
      </c>
    </row>
    <row r="19886" spans="1:8" ht="15" x14ac:dyDescent="0.2">
      <c r="A19886" s="733">
        <v>45472</v>
      </c>
      <c r="B19886" s="40" t="s">
        <v>12594</v>
      </c>
      <c r="C19886" s="62" t="s">
        <v>10972</v>
      </c>
      <c r="D19886" s="107" t="s">
        <v>13351</v>
      </c>
      <c r="E19886" s="57">
        <v>46130</v>
      </c>
      <c r="F19886" s="57"/>
      <c r="G19886" s="125">
        <f t="shared" si="316"/>
        <v>-46130</v>
      </c>
      <c r="H19886" s="704" t="s">
        <v>13158</v>
      </c>
    </row>
    <row r="19887" spans="1:8" ht="15" customHeight="1" x14ac:dyDescent="0.2">
      <c r="A19887" s="733">
        <v>45472</v>
      </c>
      <c r="B19887" s="40" t="s">
        <v>12594</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93" t="s">
        <v>12594</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1068" t="s">
        <v>12594</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1068" t="s">
        <v>12594</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1068" t="s">
        <v>12594</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1068" t="s">
        <v>12594</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40" t="s">
        <v>12594</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40" t="s">
        <v>12594</v>
      </c>
      <c r="C19990" s="62" t="s">
        <v>11376</v>
      </c>
      <c r="D19990" s="107" t="s">
        <v>13387</v>
      </c>
      <c r="E19990" s="57">
        <v>300000</v>
      </c>
      <c r="F19990" s="57"/>
      <c r="G19990" s="125">
        <f t="shared" si="319"/>
        <v>-300000</v>
      </c>
      <c r="H19990" s="704" t="s">
        <v>10645</v>
      </c>
    </row>
    <row r="19991" spans="1:8" ht="15" x14ac:dyDescent="0.2">
      <c r="A19991" s="733">
        <v>45475</v>
      </c>
      <c r="B19991" s="40" t="s">
        <v>12594</v>
      </c>
      <c r="C19991" s="62" t="s">
        <v>10972</v>
      </c>
      <c r="D19991" s="107" t="s">
        <v>13386</v>
      </c>
      <c r="E19991" s="57">
        <v>150000</v>
      </c>
      <c r="F19991" s="57"/>
      <c r="G19991" s="125">
        <f t="shared" si="319"/>
        <v>-150000</v>
      </c>
      <c r="H19991" s="704" t="s">
        <v>10645</v>
      </c>
    </row>
    <row r="19992" spans="1:8" ht="15" x14ac:dyDescent="0.2">
      <c r="A19992" s="733">
        <v>45475</v>
      </c>
      <c r="B19992" s="40" t="s">
        <v>12594</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40" t="s">
        <v>12594</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40" t="s">
        <v>12594</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40" t="s">
        <v>12594</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40" t="s">
        <v>12594</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40" t="s">
        <v>12594</v>
      </c>
      <c r="C20089" s="62" t="s">
        <v>10972</v>
      </c>
      <c r="D20089" s="107" t="s">
        <v>13465</v>
      </c>
      <c r="E20089" s="57">
        <v>105000</v>
      </c>
      <c r="F20089" s="57"/>
      <c r="G20089" s="125">
        <f t="shared" si="321"/>
        <v>-105000</v>
      </c>
      <c r="H20089" s="704" t="s">
        <v>10645</v>
      </c>
    </row>
    <row r="20090" spans="1:8" ht="15" x14ac:dyDescent="0.2">
      <c r="A20090" s="733">
        <v>45485</v>
      </c>
      <c r="B20090" s="40" t="s">
        <v>12594</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40" t="s">
        <v>12594</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40" t="s">
        <v>12594</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40" t="s">
        <v>12594</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40" t="s">
        <v>12594</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40" t="s">
        <v>12594</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173" t="s">
        <v>12594</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1129" t="s">
        <v>12594</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40" t="s">
        <v>12594</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40" t="s">
        <v>12594</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40" t="s">
        <v>12594</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1110" t="s">
        <v>12594</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40" t="s">
        <v>12594</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1111" t="s">
        <v>12594</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1111" t="s">
        <v>12594</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1111" t="s">
        <v>12594</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12594</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12594</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12594</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12594</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12594</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12594</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12594</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12594</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12594</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1111" t="s">
        <v>12594</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173" t="s">
        <v>12594</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1120" t="s">
        <v>12594</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12594</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1120" t="s">
        <v>12594</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1111" t="s">
        <v>12594</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12594</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12594</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12594</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12594</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12594</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12594</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12594</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40" t="s">
        <v>12594</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40" t="s">
        <v>12594</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12594</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12594</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12594</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12594</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173" t="s">
        <v>12594</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173" t="s">
        <v>12594</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90" t="s">
        <v>12594</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12594</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1047" t="s">
        <v>12594</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12594</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12594</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12594</v>
      </c>
      <c r="C21478" s="62" t="s">
        <v>12336</v>
      </c>
      <c r="D21478" s="182" t="s">
        <v>14615</v>
      </c>
      <c r="E21478" s="125">
        <v>100000</v>
      </c>
      <c r="F21478" s="125"/>
      <c r="G21478" s="125">
        <f t="shared" si="387"/>
        <v>-100000</v>
      </c>
      <c r="H21478" s="704" t="s">
        <v>14425</v>
      </c>
    </row>
    <row r="21479" spans="1:8" ht="15" x14ac:dyDescent="0.2">
      <c r="A21479" s="733">
        <v>45582</v>
      </c>
      <c r="B21479" s="62" t="s">
        <v>12594</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12594</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173" t="s">
        <v>12594</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12594</v>
      </c>
      <c r="C21791" s="62" t="s">
        <v>10972</v>
      </c>
      <c r="D21791" s="182" t="s">
        <v>14875</v>
      </c>
      <c r="E21791" s="125">
        <v>3000</v>
      </c>
      <c r="F21791" s="125"/>
      <c r="G21791" s="125">
        <f t="shared" si="457"/>
        <v>-3000</v>
      </c>
      <c r="H21791" s="704" t="s">
        <v>14847</v>
      </c>
    </row>
    <row r="21792" spans="1:8" ht="15" x14ac:dyDescent="0.2">
      <c r="A21792" s="733">
        <v>45602</v>
      </c>
      <c r="B21792" s="1047" t="s">
        <v>12594</v>
      </c>
      <c r="C21792" s="1047" t="s">
        <v>793</v>
      </c>
      <c r="D21792" s="1050" t="s">
        <v>14876</v>
      </c>
      <c r="E21792" s="1049">
        <v>93960</v>
      </c>
      <c r="F21792" s="125"/>
      <c r="G21792" s="125">
        <f t="shared" si="457"/>
        <v>-93960</v>
      </c>
      <c r="H21792" s="704" t="s">
        <v>14847</v>
      </c>
    </row>
    <row r="21793" spans="1:8" ht="15" x14ac:dyDescent="0.2">
      <c r="A21793" s="733">
        <v>45602</v>
      </c>
      <c r="B21793" s="62" t="s">
        <v>12594</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1047" t="s">
        <v>12594</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1047" t="s">
        <v>12594</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12594</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12594</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12594</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12594</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93" t="s">
        <v>12594</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1047" t="s">
        <v>12594</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12594</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12594</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12594</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12594</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173" t="s">
        <v>12594</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3"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12594</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15810</v>
      </c>
      <c r="E22624" s="671">
        <v>10000</v>
      </c>
      <c r="F22624" s="125"/>
      <c r="G22624" s="125">
        <f t="shared" si="617"/>
        <v>-10000</v>
      </c>
      <c r="H22624" s="704" t="s">
        <v>12013</v>
      </c>
    </row>
    <row r="22625" spans="1:8" ht="15" x14ac:dyDescent="0.2">
      <c r="A22625" s="733">
        <v>45664</v>
      </c>
      <c r="B22625" s="62" t="s">
        <v>13213</v>
      </c>
      <c r="C22625" s="669" t="s">
        <v>2189</v>
      </c>
      <c r="D22625" s="905" t="s">
        <v>15810</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15810</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15652</v>
      </c>
    </row>
    <row r="22738" spans="1:8" ht="15" x14ac:dyDescent="0.2">
      <c r="A22738" s="733">
        <v>45671</v>
      </c>
      <c r="B22738" s="62" t="s">
        <v>14334</v>
      </c>
      <c r="C22738" s="62" t="s">
        <v>3144</v>
      </c>
      <c r="D22738" s="182" t="s">
        <v>15405</v>
      </c>
      <c r="E22738" s="125">
        <v>100000</v>
      </c>
      <c r="F22738" s="125"/>
      <c r="G22738" s="125">
        <f t="shared" si="627"/>
        <v>-100000</v>
      </c>
      <c r="H22738" s="704" t="s">
        <v>15653</v>
      </c>
    </row>
    <row r="22739" spans="1:8" ht="15" x14ac:dyDescent="0.2">
      <c r="A22739" s="733">
        <v>45671</v>
      </c>
      <c r="B22739" s="62" t="s">
        <v>11707</v>
      </c>
      <c r="C22739" s="62" t="s">
        <v>10100</v>
      </c>
      <c r="D22739" s="182" t="s">
        <v>15541</v>
      </c>
      <c r="E22739" s="125">
        <v>100000</v>
      </c>
      <c r="F22739" s="125"/>
      <c r="G22739" s="125">
        <f t="shared" si="627"/>
        <v>-100000</v>
      </c>
      <c r="H22739" s="704" t="s">
        <v>15654</v>
      </c>
    </row>
    <row r="22740" spans="1:8" ht="15" x14ac:dyDescent="0.2">
      <c r="A22740" s="733">
        <v>45672</v>
      </c>
      <c r="B22740" s="62" t="s">
        <v>103</v>
      </c>
      <c r="C22740" s="62" t="s">
        <v>2995</v>
      </c>
      <c r="D22740" s="182" t="s">
        <v>15542</v>
      </c>
      <c r="E22740" s="125">
        <v>10650</v>
      </c>
      <c r="F22740" s="125"/>
      <c r="G22740" s="125">
        <f t="shared" si="627"/>
        <v>-10650</v>
      </c>
      <c r="H22740" s="704" t="s">
        <v>15655</v>
      </c>
    </row>
    <row r="22741" spans="1:8" ht="15" x14ac:dyDescent="0.2">
      <c r="A22741" s="733">
        <v>45672</v>
      </c>
      <c r="B22741" s="62" t="s">
        <v>15338</v>
      </c>
      <c r="C22741" s="62" t="s">
        <v>5740</v>
      </c>
      <c r="D22741" s="182" t="s">
        <v>369</v>
      </c>
      <c r="E22741" s="125">
        <v>2200</v>
      </c>
      <c r="F22741" s="125"/>
      <c r="G22741" s="125">
        <f t="shared" si="627"/>
        <v>-2200</v>
      </c>
      <c r="H22741" s="704" t="s">
        <v>15656</v>
      </c>
    </row>
    <row r="22742" spans="1:8" ht="15" x14ac:dyDescent="0.2">
      <c r="A22742" s="733">
        <v>45672</v>
      </c>
      <c r="B22742" s="62" t="s">
        <v>14596</v>
      </c>
      <c r="C22742" s="62" t="s">
        <v>391</v>
      </c>
      <c r="D22742" s="182" t="s">
        <v>10294</v>
      </c>
      <c r="E22742" s="125">
        <v>1380</v>
      </c>
      <c r="F22742" s="125"/>
      <c r="G22742" s="125">
        <f t="shared" si="627"/>
        <v>-1380</v>
      </c>
      <c r="H22742" s="704" t="s">
        <v>15657</v>
      </c>
    </row>
    <row r="22743" spans="1:8" ht="15" x14ac:dyDescent="0.2">
      <c r="A22743" s="733">
        <v>45672</v>
      </c>
      <c r="B22743" s="62" t="s">
        <v>15033</v>
      </c>
      <c r="C22743" s="62" t="s">
        <v>15121</v>
      </c>
      <c r="D22743" s="182" t="s">
        <v>15543</v>
      </c>
      <c r="E22743" s="125">
        <v>12850</v>
      </c>
      <c r="F22743" s="125"/>
      <c r="G22743" s="125">
        <f t="shared" si="627"/>
        <v>-12850</v>
      </c>
      <c r="H22743" s="704" t="s">
        <v>15658</v>
      </c>
    </row>
    <row r="22744" spans="1:8" ht="15" x14ac:dyDescent="0.2">
      <c r="A22744" s="733">
        <v>45672</v>
      </c>
      <c r="B22744" s="62" t="s">
        <v>103</v>
      </c>
      <c r="C22744" s="62" t="s">
        <v>391</v>
      </c>
      <c r="D22744" s="182" t="s">
        <v>10199</v>
      </c>
      <c r="E22744" s="125">
        <v>3000</v>
      </c>
      <c r="F22744" s="125"/>
      <c r="G22744" s="125">
        <f t="shared" si="627"/>
        <v>-3000</v>
      </c>
      <c r="H22744" s="704" t="s">
        <v>15659</v>
      </c>
    </row>
    <row r="22745" spans="1:8" ht="15" x14ac:dyDescent="0.2">
      <c r="A22745" s="733">
        <v>45672</v>
      </c>
      <c r="B22745" s="62" t="s">
        <v>13240</v>
      </c>
      <c r="C22745" s="62" t="s">
        <v>391</v>
      </c>
      <c r="D22745" s="182" t="s">
        <v>15544</v>
      </c>
      <c r="E22745" s="125">
        <v>5000</v>
      </c>
      <c r="F22745" s="125"/>
      <c r="G22745" s="125">
        <f t="shared" si="627"/>
        <v>-5000</v>
      </c>
      <c r="H22745" s="704" t="s">
        <v>15660</v>
      </c>
    </row>
    <row r="22746" spans="1:8" ht="15" x14ac:dyDescent="0.2">
      <c r="A22746" s="733">
        <v>45672</v>
      </c>
      <c r="B22746" s="62" t="s">
        <v>13213</v>
      </c>
      <c r="C22746" s="62" t="s">
        <v>5740</v>
      </c>
      <c r="D22746" s="182" t="s">
        <v>369</v>
      </c>
      <c r="E22746" s="125">
        <v>550</v>
      </c>
      <c r="F22746" s="125"/>
      <c r="G22746" s="125">
        <f t="shared" si="627"/>
        <v>-550</v>
      </c>
      <c r="H22746" s="704" t="s">
        <v>15661</v>
      </c>
    </row>
    <row r="22747" spans="1:8" ht="15" x14ac:dyDescent="0.2">
      <c r="A22747" s="733">
        <v>45672</v>
      </c>
      <c r="B22747" s="62" t="s">
        <v>103</v>
      </c>
      <c r="C22747" s="62" t="s">
        <v>391</v>
      </c>
      <c r="D22747" s="182" t="s">
        <v>15545</v>
      </c>
      <c r="E22747" s="125">
        <v>310</v>
      </c>
      <c r="F22747" s="125"/>
      <c r="G22747" s="125">
        <f t="shared" si="627"/>
        <v>-310</v>
      </c>
      <c r="H22747" s="704" t="s">
        <v>15662</v>
      </c>
    </row>
    <row r="22748" spans="1:8" ht="15" x14ac:dyDescent="0.2">
      <c r="A22748" s="733">
        <v>45672</v>
      </c>
      <c r="B22748" s="62" t="s">
        <v>13240</v>
      </c>
      <c r="C22748" s="62" t="s">
        <v>391</v>
      </c>
      <c r="D22748" s="182" t="s">
        <v>15546</v>
      </c>
      <c r="E22748" s="125">
        <v>21000</v>
      </c>
      <c r="F22748" s="125"/>
      <c r="G22748" s="125">
        <f t="shared" si="627"/>
        <v>-21000</v>
      </c>
      <c r="H22748" s="704" t="s">
        <v>15663</v>
      </c>
    </row>
    <row r="22749" spans="1:8" ht="15" x14ac:dyDescent="0.2">
      <c r="A22749" s="733">
        <v>45672</v>
      </c>
      <c r="B22749" s="62" t="s">
        <v>14351</v>
      </c>
      <c r="C22749" s="62" t="s">
        <v>14803</v>
      </c>
      <c r="D22749" s="182" t="s">
        <v>15518</v>
      </c>
      <c r="E22749" s="125">
        <v>34000</v>
      </c>
      <c r="F22749" s="125"/>
      <c r="G22749" s="125">
        <f t="shared" si="627"/>
        <v>-34000</v>
      </c>
      <c r="H22749" s="704" t="s">
        <v>15664</v>
      </c>
    </row>
    <row r="22750" spans="1:8" ht="15" x14ac:dyDescent="0.2">
      <c r="A22750" s="733">
        <v>45672</v>
      </c>
      <c r="B22750" s="62" t="s">
        <v>15033</v>
      </c>
      <c r="C22750" s="62" t="s">
        <v>15121</v>
      </c>
      <c r="D22750" s="182" t="s">
        <v>15182</v>
      </c>
      <c r="E22750" s="125">
        <v>70470</v>
      </c>
      <c r="F22750" s="125"/>
      <c r="G22750" s="125">
        <f t="shared" si="627"/>
        <v>-70470</v>
      </c>
      <c r="H22750" s="704" t="s">
        <v>15665</v>
      </c>
    </row>
    <row r="22751" spans="1:8" ht="15" x14ac:dyDescent="0.2">
      <c r="A22751" s="733">
        <v>45672</v>
      </c>
      <c r="B22751" s="62" t="s">
        <v>15100</v>
      </c>
      <c r="C22751" s="62" t="s">
        <v>3144</v>
      </c>
      <c r="D22751" s="182" t="s">
        <v>15547</v>
      </c>
      <c r="E22751" s="125">
        <v>94560</v>
      </c>
      <c r="F22751" s="125"/>
      <c r="G22751" s="125">
        <f t="shared" si="627"/>
        <v>-94560</v>
      </c>
      <c r="H22751" s="704" t="s">
        <v>15666</v>
      </c>
    </row>
    <row r="22752" spans="1:8" ht="15" x14ac:dyDescent="0.2">
      <c r="A22752" s="733">
        <v>45672</v>
      </c>
      <c r="B22752" s="62" t="s">
        <v>6503</v>
      </c>
      <c r="C22752" s="62" t="s">
        <v>3144</v>
      </c>
      <c r="D22752" s="182" t="s">
        <v>15549</v>
      </c>
      <c r="E22752" s="125">
        <v>5000</v>
      </c>
      <c r="F22752" s="125"/>
      <c r="G22752" s="125">
        <f t="shared" si="627"/>
        <v>-5000</v>
      </c>
      <c r="H22752" s="704" t="s">
        <v>15667</v>
      </c>
    </row>
    <row r="22753" spans="1:8" ht="15" x14ac:dyDescent="0.2">
      <c r="A22753" s="733">
        <v>45672</v>
      </c>
      <c r="B22753" s="62" t="s">
        <v>14718</v>
      </c>
      <c r="C22753" s="62" t="s">
        <v>3144</v>
      </c>
      <c r="D22753" s="182" t="s">
        <v>15550</v>
      </c>
      <c r="E22753" s="125">
        <v>8200</v>
      </c>
      <c r="F22753" s="125"/>
      <c r="G22753" s="125">
        <f t="shared" si="627"/>
        <v>-8200</v>
      </c>
      <c r="H22753" s="704" t="s">
        <v>15668</v>
      </c>
    </row>
    <row r="22754" spans="1:8" ht="15" x14ac:dyDescent="0.2">
      <c r="A22754" s="733">
        <v>45672</v>
      </c>
      <c r="B22754" s="62" t="s">
        <v>14596</v>
      </c>
      <c r="C22754" s="62" t="s">
        <v>3144</v>
      </c>
      <c r="D22754" s="182" t="s">
        <v>15551</v>
      </c>
      <c r="E22754" s="125">
        <v>2660</v>
      </c>
      <c r="F22754" s="125"/>
      <c r="G22754" s="125">
        <f t="shared" si="627"/>
        <v>-2660</v>
      </c>
      <c r="H22754" s="704" t="s">
        <v>15669</v>
      </c>
    </row>
    <row r="22755" spans="1:8" ht="15" x14ac:dyDescent="0.2">
      <c r="A22755" s="733">
        <v>45672</v>
      </c>
      <c r="B22755" s="62" t="s">
        <v>11068</v>
      </c>
      <c r="C22755" s="62" t="s">
        <v>3144</v>
      </c>
      <c r="D22755" s="182" t="s">
        <v>15552</v>
      </c>
      <c r="E22755" s="125">
        <v>10550</v>
      </c>
      <c r="F22755" s="125"/>
      <c r="G22755" s="125">
        <f t="shared" si="627"/>
        <v>-10550</v>
      </c>
      <c r="H22755" s="704" t="s">
        <v>15670</v>
      </c>
    </row>
    <row r="22756" spans="1:8" ht="15" x14ac:dyDescent="0.2">
      <c r="A22756" s="733">
        <v>45672</v>
      </c>
      <c r="B22756" s="62" t="s">
        <v>37</v>
      </c>
      <c r="C22756" s="62" t="s">
        <v>3144</v>
      </c>
      <c r="D22756" s="182" t="s">
        <v>15553</v>
      </c>
      <c r="E22756" s="125">
        <v>4000</v>
      </c>
      <c r="F22756" s="125"/>
      <c r="G22756" s="125">
        <f t="shared" si="627"/>
        <v>-4000</v>
      </c>
      <c r="H22756" s="704" t="s">
        <v>15671</v>
      </c>
    </row>
    <row r="22757" spans="1:8" ht="15" x14ac:dyDescent="0.2">
      <c r="A22757" s="733">
        <v>45672</v>
      </c>
      <c r="B22757" s="62" t="s">
        <v>25</v>
      </c>
      <c r="C22757" s="62" t="s">
        <v>391</v>
      </c>
      <c r="D22757" s="182" t="s">
        <v>15548</v>
      </c>
      <c r="E22757" s="125">
        <v>63000</v>
      </c>
      <c r="F22757" s="125"/>
      <c r="G22757" s="125">
        <f t="shared" si="627"/>
        <v>-63000</v>
      </c>
      <c r="H22757" s="704" t="s">
        <v>15672</v>
      </c>
    </row>
    <row r="22758" spans="1:8" ht="15" x14ac:dyDescent="0.2">
      <c r="A22758" s="733">
        <v>45672</v>
      </c>
      <c r="B22758" s="62" t="s">
        <v>14596</v>
      </c>
      <c r="C22758" s="62" t="s">
        <v>10972</v>
      </c>
      <c r="D22758" s="182" t="s">
        <v>12613</v>
      </c>
      <c r="E22758" s="125">
        <v>21340</v>
      </c>
      <c r="F22758" s="125"/>
      <c r="G22758" s="125">
        <f t="shared" si="627"/>
        <v>-21340</v>
      </c>
      <c r="H22758" s="704" t="s">
        <v>15673</v>
      </c>
    </row>
    <row r="22759" spans="1:8" ht="15" x14ac:dyDescent="0.2">
      <c r="A22759" s="733">
        <v>45672</v>
      </c>
      <c r="B22759" s="62" t="s">
        <v>13278</v>
      </c>
      <c r="C22759" s="62" t="s">
        <v>10972</v>
      </c>
      <c r="D22759" s="182" t="s">
        <v>12613</v>
      </c>
      <c r="E22759" s="125">
        <v>36780</v>
      </c>
      <c r="F22759" s="125"/>
      <c r="G22759" s="125">
        <f t="shared" si="627"/>
        <v>-36780</v>
      </c>
      <c r="H22759" s="704" t="s">
        <v>15674</v>
      </c>
    </row>
    <row r="22760" spans="1:8" ht="15" x14ac:dyDescent="0.2">
      <c r="A22760" s="733">
        <v>45672</v>
      </c>
      <c r="B22760" s="62" t="s">
        <v>13240</v>
      </c>
      <c r="C22760" s="62" t="s">
        <v>10972</v>
      </c>
      <c r="D22760" s="182" t="s">
        <v>12613</v>
      </c>
      <c r="E22760" s="125">
        <v>59670</v>
      </c>
      <c r="F22760" s="125"/>
      <c r="G22760" s="125">
        <f t="shared" si="627"/>
        <v>-59670</v>
      </c>
      <c r="H22760" s="704" t="s">
        <v>15675</v>
      </c>
    </row>
    <row r="22761" spans="1:8" ht="15" x14ac:dyDescent="0.2">
      <c r="A22761" s="733">
        <v>45672</v>
      </c>
      <c r="B22761" s="62" t="s">
        <v>25</v>
      </c>
      <c r="C22761" s="62" t="s">
        <v>10972</v>
      </c>
      <c r="D22761" s="182" t="s">
        <v>12613</v>
      </c>
      <c r="E22761" s="125">
        <v>40000</v>
      </c>
      <c r="F22761" s="125"/>
      <c r="G22761" s="125">
        <f t="shared" si="627"/>
        <v>-40000</v>
      </c>
      <c r="H22761" s="704" t="s">
        <v>15676</v>
      </c>
    </row>
    <row r="22762" spans="1:8" ht="15" x14ac:dyDescent="0.2">
      <c r="A22762" s="733">
        <v>45672</v>
      </c>
      <c r="B22762" s="62" t="s">
        <v>11068</v>
      </c>
      <c r="C22762" s="62" t="s">
        <v>285</v>
      </c>
      <c r="D22762" s="182" t="s">
        <v>10453</v>
      </c>
      <c r="E22762" s="125">
        <v>1000</v>
      </c>
      <c r="F22762" s="125"/>
      <c r="G22762" s="125">
        <f t="shared" si="627"/>
        <v>-1000</v>
      </c>
      <c r="H22762" s="704" t="s">
        <v>15677</v>
      </c>
    </row>
    <row r="22763" spans="1:8" ht="15" x14ac:dyDescent="0.2">
      <c r="A22763" s="733">
        <v>45673</v>
      </c>
      <c r="B22763" s="62" t="s">
        <v>15338</v>
      </c>
      <c r="C22763" s="62" t="s">
        <v>5740</v>
      </c>
      <c r="D22763" s="182" t="s">
        <v>369</v>
      </c>
      <c r="E22763" s="125">
        <v>2200</v>
      </c>
      <c r="F22763" s="125"/>
      <c r="G22763" s="125">
        <f t="shared" si="627"/>
        <v>-2200</v>
      </c>
      <c r="H22763" s="704" t="s">
        <v>15678</v>
      </c>
    </row>
    <row r="22764" spans="1:8" ht="15" x14ac:dyDescent="0.2">
      <c r="A22764" s="733">
        <v>45673</v>
      </c>
      <c r="B22764" s="62" t="s">
        <v>15337</v>
      </c>
      <c r="C22764" s="62" t="s">
        <v>10972</v>
      </c>
      <c r="D22764" s="182" t="s">
        <v>15579</v>
      </c>
      <c r="E22764" s="125">
        <v>300</v>
      </c>
      <c r="F22764" s="125"/>
      <c r="G22764" s="125">
        <f t="shared" si="627"/>
        <v>-300</v>
      </c>
      <c r="H22764" s="704" t="s">
        <v>15679</v>
      </c>
    </row>
    <row r="22765" spans="1:8" ht="15" x14ac:dyDescent="0.2">
      <c r="A22765" s="733">
        <v>45673</v>
      </c>
      <c r="B22765" s="62" t="s">
        <v>103</v>
      </c>
      <c r="C22765" s="62" t="s">
        <v>391</v>
      </c>
      <c r="D22765" s="182" t="s">
        <v>10199</v>
      </c>
      <c r="E22765" s="125">
        <v>4000</v>
      </c>
      <c r="F22765" s="125"/>
      <c r="G22765" s="125">
        <f t="shared" si="627"/>
        <v>-4000</v>
      </c>
      <c r="H22765" s="704" t="s">
        <v>15680</v>
      </c>
    </row>
    <row r="22766" spans="1:8" ht="15" x14ac:dyDescent="0.2">
      <c r="A22766" s="733">
        <v>45673</v>
      </c>
      <c r="B22766" s="62" t="s">
        <v>13098</v>
      </c>
      <c r="C22766" s="62" t="s">
        <v>285</v>
      </c>
      <c r="D22766" s="182" t="s">
        <v>15521</v>
      </c>
      <c r="E22766" s="125">
        <v>500</v>
      </c>
      <c r="F22766" s="125"/>
      <c r="G22766" s="125">
        <f t="shared" si="627"/>
        <v>-500</v>
      </c>
      <c r="H22766" s="704" t="s">
        <v>15681</v>
      </c>
    </row>
    <row r="22767" spans="1:8" ht="15" x14ac:dyDescent="0.2">
      <c r="A22767" s="733">
        <v>45673</v>
      </c>
      <c r="B22767" s="62" t="s">
        <v>11068</v>
      </c>
      <c r="C22767" s="62" t="s">
        <v>285</v>
      </c>
      <c r="D22767" s="182" t="s">
        <v>10453</v>
      </c>
      <c r="E22767" s="125">
        <v>2000</v>
      </c>
      <c r="F22767" s="125"/>
      <c r="G22767" s="125">
        <f t="shared" si="627"/>
        <v>-2000</v>
      </c>
      <c r="H22767" s="704" t="s">
        <v>15682</v>
      </c>
    </row>
    <row r="22768" spans="1:8" ht="24" x14ac:dyDescent="0.2">
      <c r="A22768" s="733">
        <v>45673</v>
      </c>
      <c r="B22768" s="62" t="s">
        <v>15310</v>
      </c>
      <c r="C22768" s="62" t="s">
        <v>11535</v>
      </c>
      <c r="D22768" s="182" t="s">
        <v>15580</v>
      </c>
      <c r="E22768" s="125">
        <v>500000</v>
      </c>
      <c r="F22768" s="125"/>
      <c r="G22768" s="125">
        <f t="shared" si="627"/>
        <v>-500000</v>
      </c>
      <c r="H22768" s="704" t="s">
        <v>15683</v>
      </c>
    </row>
    <row r="22769" spans="1:8" ht="24" x14ac:dyDescent="0.2">
      <c r="A22769" s="733">
        <v>45673</v>
      </c>
      <c r="B22769" s="62" t="s">
        <v>15310</v>
      </c>
      <c r="C22769" s="62" t="s">
        <v>11535</v>
      </c>
      <c r="D22769" s="182" t="s">
        <v>15580</v>
      </c>
      <c r="E22769" s="125">
        <v>315400</v>
      </c>
      <c r="F22769" s="125"/>
      <c r="G22769" s="125">
        <f t="shared" si="627"/>
        <v>-315400</v>
      </c>
      <c r="H22769" s="704" t="s">
        <v>15684</v>
      </c>
    </row>
    <row r="22770" spans="1:8" ht="24" x14ac:dyDescent="0.2">
      <c r="A22770" s="733">
        <v>45673</v>
      </c>
      <c r="B22770" s="62" t="s">
        <v>15310</v>
      </c>
      <c r="C22770" s="62" t="s">
        <v>11535</v>
      </c>
      <c r="D22770" s="182" t="s">
        <v>15580</v>
      </c>
      <c r="E22770" s="125">
        <v>300000</v>
      </c>
      <c r="F22770" s="125"/>
      <c r="G22770" s="125">
        <f t="shared" si="627"/>
        <v>-300000</v>
      </c>
      <c r="H22770" s="704" t="s">
        <v>15685</v>
      </c>
    </row>
    <row r="22771" spans="1:8" ht="15" x14ac:dyDescent="0.2">
      <c r="A22771" s="733">
        <v>45674</v>
      </c>
      <c r="B22771" s="62" t="s">
        <v>15033</v>
      </c>
      <c r="C22771" s="62" t="s">
        <v>10972</v>
      </c>
      <c r="D22771" s="182" t="s">
        <v>15581</v>
      </c>
      <c r="E22771" s="125">
        <v>15820</v>
      </c>
      <c r="F22771" s="125"/>
      <c r="G22771" s="125">
        <f t="shared" si="627"/>
        <v>-15820</v>
      </c>
      <c r="H22771" s="704" t="s">
        <v>15686</v>
      </c>
    </row>
    <row r="22772" spans="1:8" ht="15" x14ac:dyDescent="0.2">
      <c r="A22772" s="733">
        <v>45674</v>
      </c>
      <c r="B22772" s="62" t="s">
        <v>15033</v>
      </c>
      <c r="C22772" s="62" t="s">
        <v>5740</v>
      </c>
      <c r="D22772" s="182" t="s">
        <v>369</v>
      </c>
      <c r="E22772" s="125">
        <v>1500</v>
      </c>
      <c r="F22772" s="125"/>
      <c r="G22772" s="125">
        <f t="shared" si="627"/>
        <v>-1500</v>
      </c>
      <c r="H22772" s="704" t="s">
        <v>15687</v>
      </c>
    </row>
    <row r="22773" spans="1:8" ht="15" x14ac:dyDescent="0.2">
      <c r="A22773" s="733">
        <v>45674</v>
      </c>
      <c r="B22773" s="62" t="s">
        <v>37</v>
      </c>
      <c r="C22773" s="62" t="s">
        <v>15530</v>
      </c>
      <c r="D22773" s="182" t="s">
        <v>15531</v>
      </c>
      <c r="E22773" s="125">
        <v>5000</v>
      </c>
      <c r="F22773" s="125"/>
      <c r="G22773" s="125">
        <f t="shared" si="627"/>
        <v>-5000</v>
      </c>
      <c r="H22773" s="704" t="s">
        <v>15688</v>
      </c>
    </row>
    <row r="22774" spans="1:8" ht="15" x14ac:dyDescent="0.2">
      <c r="A22774" s="733">
        <v>45674</v>
      </c>
      <c r="B22774" s="62" t="s">
        <v>14351</v>
      </c>
      <c r="C22774" s="62" t="s">
        <v>10972</v>
      </c>
      <c r="D22774" s="182" t="s">
        <v>15582</v>
      </c>
      <c r="E22774" s="125">
        <v>1050</v>
      </c>
      <c r="F22774" s="125"/>
      <c r="G22774" s="125">
        <f t="shared" si="627"/>
        <v>-1050</v>
      </c>
      <c r="H22774" s="704" t="s">
        <v>15689</v>
      </c>
    </row>
    <row r="22775" spans="1:8" ht="15" x14ac:dyDescent="0.2">
      <c r="A22775" s="733">
        <v>45674</v>
      </c>
      <c r="B22775" s="62" t="s">
        <v>15033</v>
      </c>
      <c r="C22775" s="62" t="s">
        <v>10972</v>
      </c>
      <c r="D22775" s="182" t="s">
        <v>15593</v>
      </c>
      <c r="E22775" s="125">
        <v>6200</v>
      </c>
      <c r="F22775" s="125"/>
      <c r="G22775" s="125">
        <f t="shared" si="627"/>
        <v>-6200</v>
      </c>
      <c r="H22775" s="704" t="s">
        <v>15690</v>
      </c>
    </row>
    <row r="22776" spans="1:8" ht="15" x14ac:dyDescent="0.2">
      <c r="A22776" s="733">
        <v>45674</v>
      </c>
      <c r="B22776" s="62" t="s">
        <v>15033</v>
      </c>
      <c r="C22776" s="62" t="s">
        <v>5740</v>
      </c>
      <c r="D22776" s="182" t="s">
        <v>15583</v>
      </c>
      <c r="E22776" s="125">
        <v>5380</v>
      </c>
      <c r="F22776" s="125"/>
      <c r="G22776" s="125">
        <f t="shared" si="627"/>
        <v>-5380</v>
      </c>
      <c r="H22776" s="704" t="s">
        <v>15691</v>
      </c>
    </row>
    <row r="22777" spans="1:8" ht="15" x14ac:dyDescent="0.2">
      <c r="A22777" s="733">
        <v>45674</v>
      </c>
      <c r="B22777" s="62" t="s">
        <v>15310</v>
      </c>
      <c r="C22777" s="62" t="s">
        <v>5386</v>
      </c>
      <c r="D22777" s="182" t="s">
        <v>15584</v>
      </c>
      <c r="E22777" s="125">
        <v>7500</v>
      </c>
      <c r="F22777" s="125"/>
      <c r="G22777" s="125">
        <f t="shared" si="627"/>
        <v>-7500</v>
      </c>
      <c r="H22777" s="704" t="s">
        <v>15692</v>
      </c>
    </row>
    <row r="22778" spans="1:8" ht="15" x14ac:dyDescent="0.2">
      <c r="A22778" s="733">
        <v>45674</v>
      </c>
      <c r="B22778" s="62" t="s">
        <v>14232</v>
      </c>
      <c r="C22778" s="62" t="s">
        <v>5740</v>
      </c>
      <c r="D22778" s="182" t="s">
        <v>369</v>
      </c>
      <c r="E22778" s="125">
        <v>800</v>
      </c>
      <c r="F22778" s="125"/>
      <c r="G22778" s="125">
        <f t="shared" si="627"/>
        <v>-800</v>
      </c>
      <c r="H22778" s="704" t="s">
        <v>15693</v>
      </c>
    </row>
    <row r="22779" spans="1:8" ht="15" x14ac:dyDescent="0.2">
      <c r="A22779" s="733">
        <v>45674</v>
      </c>
      <c r="B22779" s="62" t="s">
        <v>13240</v>
      </c>
      <c r="C22779" s="62" t="s">
        <v>10972</v>
      </c>
      <c r="D22779" s="182" t="s">
        <v>15284</v>
      </c>
      <c r="E22779" s="125">
        <v>1000</v>
      </c>
      <c r="F22779" s="125"/>
      <c r="G22779" s="125">
        <f t="shared" si="627"/>
        <v>-1000</v>
      </c>
      <c r="H22779" s="704" t="s">
        <v>15694</v>
      </c>
    </row>
    <row r="22780" spans="1:8" ht="15" x14ac:dyDescent="0.2">
      <c r="A22780" s="733">
        <v>45674</v>
      </c>
      <c r="B22780" s="62" t="s">
        <v>15033</v>
      </c>
      <c r="C22780" s="62" t="s">
        <v>5740</v>
      </c>
      <c r="D22780" s="182" t="s">
        <v>369</v>
      </c>
      <c r="E22780" s="125">
        <v>1400</v>
      </c>
      <c r="F22780" s="125"/>
      <c r="G22780" s="125">
        <f t="shared" si="627"/>
        <v>-1400</v>
      </c>
      <c r="H22780" s="704" t="s">
        <v>15695</v>
      </c>
    </row>
    <row r="22781" spans="1:8" ht="15" x14ac:dyDescent="0.2">
      <c r="A22781" s="733">
        <v>45674</v>
      </c>
      <c r="B22781" s="62" t="s">
        <v>14718</v>
      </c>
      <c r="C22781" s="62" t="s">
        <v>5740</v>
      </c>
      <c r="D22781" s="182" t="s">
        <v>369</v>
      </c>
      <c r="E22781" s="125">
        <v>1500</v>
      </c>
      <c r="F22781" s="125"/>
      <c r="G22781" s="125">
        <f t="shared" si="627"/>
        <v>-1500</v>
      </c>
      <c r="H22781" s="704" t="s">
        <v>15696</v>
      </c>
    </row>
    <row r="22782" spans="1:8" ht="15" x14ac:dyDescent="0.2">
      <c r="A22782" s="733">
        <v>45674</v>
      </c>
      <c r="B22782" s="62" t="s">
        <v>13213</v>
      </c>
      <c r="C22782" s="62" t="s">
        <v>5740</v>
      </c>
      <c r="D22782" s="182" t="s">
        <v>369</v>
      </c>
      <c r="E22782" s="125">
        <v>2100</v>
      </c>
      <c r="F22782" s="125"/>
      <c r="G22782" s="125">
        <f t="shared" si="627"/>
        <v>-2100</v>
      </c>
      <c r="H22782" s="704" t="s">
        <v>15697</v>
      </c>
    </row>
    <row r="22783" spans="1:8" ht="15" x14ac:dyDescent="0.2">
      <c r="A22783" s="733">
        <v>45675</v>
      </c>
      <c r="B22783" s="62" t="s">
        <v>14596</v>
      </c>
      <c r="C22783" s="62" t="s">
        <v>10972</v>
      </c>
      <c r="D22783" s="182" t="s">
        <v>15585</v>
      </c>
      <c r="E22783" s="125">
        <v>13500</v>
      </c>
      <c r="F22783" s="125"/>
      <c r="G22783" s="125">
        <f t="shared" si="627"/>
        <v>-13500</v>
      </c>
      <c r="H22783" s="704" t="s">
        <v>15698</v>
      </c>
    </row>
    <row r="22784" spans="1:8" ht="15" x14ac:dyDescent="0.2">
      <c r="A22784" s="733">
        <v>45675</v>
      </c>
      <c r="B22784" s="62" t="s">
        <v>37</v>
      </c>
      <c r="C22784" s="62" t="s">
        <v>5386</v>
      </c>
      <c r="D22784" s="182" t="s">
        <v>15586</v>
      </c>
      <c r="E22784" s="125">
        <v>9000</v>
      </c>
      <c r="F22784" s="125"/>
      <c r="G22784" s="125">
        <f t="shared" si="627"/>
        <v>-9000</v>
      </c>
      <c r="H22784" s="704" t="s">
        <v>15699</v>
      </c>
    </row>
    <row r="22785" spans="1:8" ht="15" x14ac:dyDescent="0.2">
      <c r="A22785" s="733">
        <v>45675</v>
      </c>
      <c r="B22785" s="62" t="s">
        <v>15310</v>
      </c>
      <c r="C22785" s="62" t="s">
        <v>5386</v>
      </c>
      <c r="D22785" s="182" t="s">
        <v>15587</v>
      </c>
      <c r="E22785" s="125">
        <v>3000</v>
      </c>
      <c r="F22785" s="125"/>
      <c r="G22785" s="125">
        <f t="shared" si="627"/>
        <v>-3000</v>
      </c>
      <c r="H22785" s="704" t="s">
        <v>15700</v>
      </c>
    </row>
    <row r="22786" spans="1:8" ht="15" x14ac:dyDescent="0.2">
      <c r="A22786" s="733">
        <v>45675</v>
      </c>
      <c r="B22786" s="62" t="s">
        <v>103</v>
      </c>
      <c r="C22786" s="62" t="s">
        <v>391</v>
      </c>
      <c r="D22786" s="182" t="s">
        <v>10199</v>
      </c>
      <c r="E22786" s="125">
        <v>4000</v>
      </c>
      <c r="F22786" s="125"/>
      <c r="G22786" s="125">
        <f t="shared" si="627"/>
        <v>-4000</v>
      </c>
      <c r="H22786" s="704" t="s">
        <v>15701</v>
      </c>
    </row>
    <row r="22787" spans="1:8" ht="15" x14ac:dyDescent="0.2">
      <c r="A22787" s="733">
        <v>45675</v>
      </c>
      <c r="B22787" s="62" t="s">
        <v>11068</v>
      </c>
      <c r="C22787" s="62" t="s">
        <v>391</v>
      </c>
      <c r="D22787" s="182" t="s">
        <v>15596</v>
      </c>
      <c r="E22787" s="125">
        <v>1500</v>
      </c>
      <c r="F22787" s="125"/>
      <c r="G22787" s="125">
        <f t="shared" si="627"/>
        <v>-1500</v>
      </c>
      <c r="H22787" s="704" t="s">
        <v>15702</v>
      </c>
    </row>
    <row r="22788" spans="1:8" ht="15" x14ac:dyDescent="0.2">
      <c r="A22788" s="1081">
        <v>45675</v>
      </c>
      <c r="B22788" s="1082" t="s">
        <v>13240</v>
      </c>
      <c r="C22788" s="1082" t="s">
        <v>3103</v>
      </c>
      <c r="D22788" s="1123" t="s">
        <v>15597</v>
      </c>
      <c r="E22788" s="1083">
        <v>15000</v>
      </c>
      <c r="F22788" s="1083"/>
      <c r="G22788" s="125">
        <f t="shared" si="627"/>
        <v>-15000</v>
      </c>
      <c r="H22788" s="704" t="s">
        <v>15703</v>
      </c>
    </row>
    <row r="22789" spans="1:8" ht="15" x14ac:dyDescent="0.2">
      <c r="A22789" s="1081">
        <v>45675</v>
      </c>
      <c r="B22789" s="1082" t="s">
        <v>37</v>
      </c>
      <c r="C22789" s="1082" t="s">
        <v>3113</v>
      </c>
      <c r="D22789" s="1123" t="s">
        <v>15598</v>
      </c>
      <c r="E22789" s="1083">
        <v>20000</v>
      </c>
      <c r="F22789" s="1083"/>
      <c r="G22789" s="125">
        <f t="shared" si="627"/>
        <v>-20000</v>
      </c>
      <c r="H22789" s="704" t="s">
        <v>15704</v>
      </c>
    </row>
    <row r="22790" spans="1:8" ht="15" x14ac:dyDescent="0.2">
      <c r="A22790" s="1081">
        <v>45675</v>
      </c>
      <c r="B22790" s="1082" t="s">
        <v>13240</v>
      </c>
      <c r="C22790" s="1082" t="s">
        <v>5740</v>
      </c>
      <c r="D22790" s="1123" t="s">
        <v>369</v>
      </c>
      <c r="E22790" s="1083">
        <v>500</v>
      </c>
      <c r="F22790" s="1083"/>
      <c r="G22790" s="125">
        <f t="shared" si="627"/>
        <v>-500</v>
      </c>
      <c r="H22790" s="704" t="s">
        <v>15705</v>
      </c>
    </row>
    <row r="22791" spans="1:8" ht="15" x14ac:dyDescent="0.2">
      <c r="A22791" s="1081">
        <v>45675</v>
      </c>
      <c r="B22791" s="1082" t="s">
        <v>15338</v>
      </c>
      <c r="C22791" s="1082" t="s">
        <v>10972</v>
      </c>
      <c r="D22791" s="1123" t="s">
        <v>15599</v>
      </c>
      <c r="E22791" s="1083">
        <v>47870</v>
      </c>
      <c r="F22791" s="1083"/>
      <c r="G22791" s="125">
        <f t="shared" si="627"/>
        <v>-47870</v>
      </c>
      <c r="H22791" s="704" t="s">
        <v>15706</v>
      </c>
    </row>
    <row r="22792" spans="1:8" ht="15" x14ac:dyDescent="0.2">
      <c r="A22792" s="1081">
        <v>45675</v>
      </c>
      <c r="B22792" s="1082" t="s">
        <v>13213</v>
      </c>
      <c r="C22792" s="1082" t="s">
        <v>5740</v>
      </c>
      <c r="D22792" s="1123" t="s">
        <v>369</v>
      </c>
      <c r="E22792" s="1083">
        <v>1000</v>
      </c>
      <c r="F22792" s="1083"/>
      <c r="G22792" s="125">
        <f t="shared" si="627"/>
        <v>-1000</v>
      </c>
      <c r="H22792" s="704" t="s">
        <v>15707</v>
      </c>
    </row>
    <row r="22793" spans="1:8" ht="15" x14ac:dyDescent="0.2">
      <c r="A22793" s="1081">
        <v>45675</v>
      </c>
      <c r="B22793" s="1082" t="s">
        <v>14351</v>
      </c>
      <c r="C22793" s="1082" t="s">
        <v>5740</v>
      </c>
      <c r="D22793" s="1123" t="s">
        <v>369</v>
      </c>
      <c r="E22793" s="1083">
        <v>1500</v>
      </c>
      <c r="F22793" s="1083"/>
      <c r="G22793" s="125">
        <f t="shared" si="627"/>
        <v>-1500</v>
      </c>
      <c r="H22793" s="704" t="s">
        <v>15708</v>
      </c>
    </row>
    <row r="22794" spans="1:8" ht="15" x14ac:dyDescent="0.2">
      <c r="A22794" s="1081">
        <v>45675</v>
      </c>
      <c r="B22794" s="1082" t="s">
        <v>15100</v>
      </c>
      <c r="C22794" s="1082" t="s">
        <v>5386</v>
      </c>
      <c r="D22794" s="1123" t="s">
        <v>15588</v>
      </c>
      <c r="E22794" s="1083">
        <v>80000</v>
      </c>
      <c r="F22794" s="1083"/>
      <c r="G22794" s="125">
        <f t="shared" si="627"/>
        <v>-80000</v>
      </c>
      <c r="H22794" s="704" t="s">
        <v>15709</v>
      </c>
    </row>
    <row r="22795" spans="1:8" ht="15" x14ac:dyDescent="0.2">
      <c r="A22795" s="1081">
        <v>45677</v>
      </c>
      <c r="B22795" s="1082" t="s">
        <v>13240</v>
      </c>
      <c r="C22795" s="1082" t="s">
        <v>10972</v>
      </c>
      <c r="D22795" s="1123" t="s">
        <v>15600</v>
      </c>
      <c r="E22795" s="1083">
        <v>15000</v>
      </c>
      <c r="F22795" s="1083"/>
      <c r="G22795" s="125">
        <f t="shared" si="627"/>
        <v>-15000</v>
      </c>
      <c r="H22795" s="704" t="s">
        <v>15710</v>
      </c>
    </row>
    <row r="22796" spans="1:8" ht="15" x14ac:dyDescent="0.2">
      <c r="A22796" s="1081">
        <v>45677</v>
      </c>
      <c r="B22796" s="1082" t="s">
        <v>14232</v>
      </c>
      <c r="C22796" s="1082" t="s">
        <v>5740</v>
      </c>
      <c r="D22796" s="1123" t="s">
        <v>369</v>
      </c>
      <c r="E22796" s="1083">
        <v>500</v>
      </c>
      <c r="F22796" s="1083"/>
      <c r="G22796" s="125">
        <f t="shared" si="627"/>
        <v>-500</v>
      </c>
      <c r="H22796" s="704" t="s">
        <v>15711</v>
      </c>
    </row>
    <row r="22797" spans="1:8" ht="15" x14ac:dyDescent="0.2">
      <c r="A22797" s="1081">
        <v>45677</v>
      </c>
      <c r="B22797" s="1082" t="s">
        <v>13213</v>
      </c>
      <c r="C22797" s="1082" t="s">
        <v>5740</v>
      </c>
      <c r="D22797" s="1123" t="s">
        <v>10325</v>
      </c>
      <c r="E22797" s="1083">
        <v>350</v>
      </c>
      <c r="F22797" s="1083"/>
      <c r="G22797" s="125">
        <f t="shared" si="627"/>
        <v>-350</v>
      </c>
      <c r="H22797" s="704" t="s">
        <v>15712</v>
      </c>
    </row>
    <row r="22798" spans="1:8" ht="15" x14ac:dyDescent="0.2">
      <c r="A22798" s="1081">
        <v>45677</v>
      </c>
      <c r="B22798" s="1082" t="s">
        <v>15033</v>
      </c>
      <c r="C22798" s="1082" t="s">
        <v>5740</v>
      </c>
      <c r="D22798" s="1123" t="s">
        <v>369</v>
      </c>
      <c r="E22798" s="1083">
        <v>1000</v>
      </c>
      <c r="F22798" s="1083"/>
      <c r="G22798" s="125">
        <f t="shared" si="627"/>
        <v>-1000</v>
      </c>
      <c r="H22798" s="704" t="s">
        <v>15713</v>
      </c>
    </row>
    <row r="22799" spans="1:8" ht="15" x14ac:dyDescent="0.2">
      <c r="A22799" s="1081">
        <v>45677</v>
      </c>
      <c r="B22799" s="1082" t="s">
        <v>103</v>
      </c>
      <c r="C22799" s="1082" t="s">
        <v>391</v>
      </c>
      <c r="D22799" s="1123" t="s">
        <v>10199</v>
      </c>
      <c r="E22799" s="1083">
        <v>3000</v>
      </c>
      <c r="F22799" s="1083"/>
      <c r="G22799" s="125">
        <f t="shared" si="627"/>
        <v>-3000</v>
      </c>
      <c r="H22799" s="704" t="s">
        <v>15714</v>
      </c>
    </row>
    <row r="22800" spans="1:8" ht="15" x14ac:dyDescent="0.2">
      <c r="A22800" s="1081">
        <v>45677</v>
      </c>
      <c r="B22800" s="1082" t="s">
        <v>12671</v>
      </c>
      <c r="C22800" s="669" t="s">
        <v>14793</v>
      </c>
      <c r="D22800" s="905" t="s">
        <v>15601</v>
      </c>
      <c r="E22800" s="671">
        <v>3750</v>
      </c>
      <c r="F22800" s="1083"/>
      <c r="G22800" s="125">
        <f t="shared" ref="G22800:G22863" si="628">F22800-E22800</f>
        <v>-3750</v>
      </c>
      <c r="H22800" s="704" t="s">
        <v>15715</v>
      </c>
    </row>
    <row r="22801" spans="1:8" ht="15" x14ac:dyDescent="0.2">
      <c r="A22801" s="1081">
        <v>45677</v>
      </c>
      <c r="B22801" s="1082" t="s">
        <v>13098</v>
      </c>
      <c r="C22801" s="669" t="s">
        <v>14793</v>
      </c>
      <c r="D22801" s="905" t="s">
        <v>15601</v>
      </c>
      <c r="E22801" s="671">
        <v>85478</v>
      </c>
      <c r="F22801" s="1083"/>
      <c r="G22801" s="125">
        <f t="shared" si="628"/>
        <v>-85478</v>
      </c>
      <c r="H22801" s="704" t="s">
        <v>15716</v>
      </c>
    </row>
    <row r="22802" spans="1:8" ht="15" x14ac:dyDescent="0.2">
      <c r="A22802" s="1081">
        <v>45677</v>
      </c>
      <c r="B22802" s="1082" t="s">
        <v>15033</v>
      </c>
      <c r="C22802" s="669" t="s">
        <v>14793</v>
      </c>
      <c r="D22802" s="905" t="s">
        <v>15601</v>
      </c>
      <c r="E22802" s="671">
        <v>36970</v>
      </c>
      <c r="F22802" s="1083"/>
      <c r="G22802" s="125">
        <f t="shared" si="628"/>
        <v>-36970</v>
      </c>
      <c r="H22802" s="704" t="s">
        <v>15717</v>
      </c>
    </row>
    <row r="22803" spans="1:8" ht="15" x14ac:dyDescent="0.2">
      <c r="A22803" s="1081">
        <v>45677</v>
      </c>
      <c r="B22803" s="1082" t="s">
        <v>15400</v>
      </c>
      <c r="C22803" s="669" t="s">
        <v>14793</v>
      </c>
      <c r="D22803" s="905" t="s">
        <v>15601</v>
      </c>
      <c r="E22803" s="671">
        <v>88450</v>
      </c>
      <c r="F22803" s="1083"/>
      <c r="G22803" s="125">
        <f t="shared" si="628"/>
        <v>-88450</v>
      </c>
      <c r="H22803" s="704" t="s">
        <v>15718</v>
      </c>
    </row>
    <row r="22804" spans="1:8" ht="15" x14ac:dyDescent="0.2">
      <c r="A22804" s="1081">
        <v>45677</v>
      </c>
      <c r="B22804" s="1082" t="s">
        <v>14539</v>
      </c>
      <c r="C22804" s="669" t="s">
        <v>14793</v>
      </c>
      <c r="D22804" s="905" t="s">
        <v>15601</v>
      </c>
      <c r="E22804" s="671">
        <v>30352</v>
      </c>
      <c r="F22804" s="1083"/>
      <c r="G22804" s="125">
        <f t="shared" si="628"/>
        <v>-30352</v>
      </c>
      <c r="H22804" s="704" t="s">
        <v>15719</v>
      </c>
    </row>
    <row r="22805" spans="1:8" ht="15" x14ac:dyDescent="0.2">
      <c r="A22805" s="1081">
        <v>45677</v>
      </c>
      <c r="B22805" s="1082" t="s">
        <v>14539</v>
      </c>
      <c r="C22805" s="1082" t="s">
        <v>14600</v>
      </c>
      <c r="D22805" s="1123" t="s">
        <v>15446</v>
      </c>
      <c r="E22805" s="1083">
        <v>85000</v>
      </c>
      <c r="F22805" s="1083"/>
      <c r="G22805" s="125">
        <f t="shared" si="628"/>
        <v>-85000</v>
      </c>
      <c r="H22805" s="704" t="s">
        <v>15720</v>
      </c>
    </row>
    <row r="22806" spans="1:8" ht="15" x14ac:dyDescent="0.2">
      <c r="A22806" s="1081">
        <v>45677</v>
      </c>
      <c r="B22806" s="1082" t="s">
        <v>14232</v>
      </c>
      <c r="C22806" s="669" t="s">
        <v>14907</v>
      </c>
      <c r="D22806" s="905" t="s">
        <v>15602</v>
      </c>
      <c r="E22806" s="671">
        <v>125000</v>
      </c>
      <c r="F22806" s="1083"/>
      <c r="G22806" s="125">
        <f t="shared" si="628"/>
        <v>-125000</v>
      </c>
      <c r="H22806" s="704" t="s">
        <v>15721</v>
      </c>
    </row>
    <row r="22807" spans="1:8" ht="15" x14ac:dyDescent="0.2">
      <c r="A22807" s="1081">
        <v>45677</v>
      </c>
      <c r="B22807" s="1082" t="s">
        <v>14351</v>
      </c>
      <c r="C22807" s="669" t="s">
        <v>14907</v>
      </c>
      <c r="D22807" s="905" t="s">
        <v>15602</v>
      </c>
      <c r="E22807" s="671">
        <v>125000</v>
      </c>
      <c r="F22807" s="1083"/>
      <c r="G22807" s="125">
        <f t="shared" si="628"/>
        <v>-125000</v>
      </c>
      <c r="H22807" s="704" t="s">
        <v>15722</v>
      </c>
    </row>
    <row r="22808" spans="1:8" ht="15" x14ac:dyDescent="0.2">
      <c r="A22808" s="1081">
        <v>45677</v>
      </c>
      <c r="B22808" s="1082" t="s">
        <v>15033</v>
      </c>
      <c r="C22808" s="1082" t="s">
        <v>3144</v>
      </c>
      <c r="D22808" s="1123" t="s">
        <v>6343</v>
      </c>
      <c r="E22808" s="1083">
        <v>31900</v>
      </c>
      <c r="F22808" s="1083"/>
      <c r="G22808" s="125">
        <f t="shared" si="628"/>
        <v>-31900</v>
      </c>
      <c r="H22808" s="704" t="s">
        <v>15723</v>
      </c>
    </row>
    <row r="22809" spans="1:8" ht="15" x14ac:dyDescent="0.2">
      <c r="A22809" s="1081">
        <v>45678</v>
      </c>
      <c r="B22809" s="1082" t="s">
        <v>103</v>
      </c>
      <c r="C22809" s="1082" t="s">
        <v>5936</v>
      </c>
      <c r="D22809" s="1123" t="s">
        <v>15603</v>
      </c>
      <c r="E22809" s="1083">
        <v>20000</v>
      </c>
      <c r="F22809" s="1083"/>
      <c r="G22809" s="125">
        <f t="shared" si="628"/>
        <v>-20000</v>
      </c>
      <c r="H22809" s="704" t="s">
        <v>15724</v>
      </c>
    </row>
    <row r="22810" spans="1:8" ht="15" x14ac:dyDescent="0.2">
      <c r="A22810" s="1081">
        <v>45678</v>
      </c>
      <c r="B22810" s="1082" t="s">
        <v>14351</v>
      </c>
      <c r="C22810" s="1082" t="s">
        <v>391</v>
      </c>
      <c r="D22810" s="1123" t="s">
        <v>15604</v>
      </c>
      <c r="E22810" s="1083">
        <v>6700</v>
      </c>
      <c r="F22810" s="1083"/>
      <c r="G22810" s="125">
        <f t="shared" si="628"/>
        <v>-6700</v>
      </c>
      <c r="H22810" s="704" t="s">
        <v>15725</v>
      </c>
    </row>
    <row r="22811" spans="1:8" ht="15" x14ac:dyDescent="0.2">
      <c r="A22811" s="1081">
        <v>45678</v>
      </c>
      <c r="B22811" s="1082" t="s">
        <v>25</v>
      </c>
      <c r="C22811" s="1082" t="s">
        <v>8141</v>
      </c>
      <c r="D22811" s="1123" t="s">
        <v>6342</v>
      </c>
      <c r="E22811" s="1083">
        <v>3165</v>
      </c>
      <c r="F22811" s="1083"/>
      <c r="G22811" s="125">
        <f t="shared" si="628"/>
        <v>-3165</v>
      </c>
      <c r="H22811" s="704" t="s">
        <v>15726</v>
      </c>
    </row>
    <row r="22812" spans="1:8" ht="15" x14ac:dyDescent="0.2">
      <c r="A22812" s="1081">
        <v>45678</v>
      </c>
      <c r="B22812" s="1082" t="s">
        <v>103</v>
      </c>
      <c r="C22812" s="1082" t="s">
        <v>8141</v>
      </c>
      <c r="D22812" s="1123" t="s">
        <v>6342</v>
      </c>
      <c r="E22812" s="1083">
        <v>10860</v>
      </c>
      <c r="F22812" s="1083"/>
      <c r="G22812" s="125">
        <f t="shared" si="628"/>
        <v>-10860</v>
      </c>
      <c r="H22812" s="704" t="s">
        <v>15727</v>
      </c>
    </row>
    <row r="22813" spans="1:8" ht="15" x14ac:dyDescent="0.2">
      <c r="A22813" s="1081">
        <v>45678</v>
      </c>
      <c r="B22813" s="1082" t="s">
        <v>103</v>
      </c>
      <c r="C22813" s="1082" t="s">
        <v>391</v>
      </c>
      <c r="D22813" s="1123" t="s">
        <v>15605</v>
      </c>
      <c r="E22813" s="1083">
        <v>350</v>
      </c>
      <c r="F22813" s="1083"/>
      <c r="G22813" s="125">
        <f t="shared" si="628"/>
        <v>-350</v>
      </c>
      <c r="H22813" s="704" t="s">
        <v>15728</v>
      </c>
    </row>
    <row r="22814" spans="1:8" ht="15" x14ac:dyDescent="0.2">
      <c r="A22814" s="1081">
        <v>45678</v>
      </c>
      <c r="B22814" s="1082" t="s">
        <v>15337</v>
      </c>
      <c r="C22814" s="1082" t="s">
        <v>14237</v>
      </c>
      <c r="D22814" s="1123" t="s">
        <v>1156</v>
      </c>
      <c r="E22814" s="1083">
        <v>10000</v>
      </c>
      <c r="F22814" s="1083"/>
      <c r="G22814" s="125">
        <f t="shared" si="628"/>
        <v>-10000</v>
      </c>
      <c r="H22814" s="704" t="s">
        <v>15729</v>
      </c>
    </row>
    <row r="22815" spans="1:8" ht="15" x14ac:dyDescent="0.2">
      <c r="A22815" s="1081">
        <v>45678</v>
      </c>
      <c r="B22815" s="1082" t="s">
        <v>14596</v>
      </c>
      <c r="C22815" s="1082" t="s">
        <v>391</v>
      </c>
      <c r="D22815" s="1123" t="s">
        <v>15606</v>
      </c>
      <c r="E22815" s="1083">
        <v>3000</v>
      </c>
      <c r="F22815" s="1083"/>
      <c r="G22815" s="125">
        <f t="shared" si="628"/>
        <v>-3000</v>
      </c>
      <c r="H22815" s="704" t="s">
        <v>15730</v>
      </c>
    </row>
    <row r="22816" spans="1:8" ht="15" x14ac:dyDescent="0.2">
      <c r="A22816" s="1081">
        <v>45678</v>
      </c>
      <c r="B22816" s="1082" t="s">
        <v>13240</v>
      </c>
      <c r="C22816" s="1082" t="s">
        <v>10972</v>
      </c>
      <c r="D22816" s="1123" t="s">
        <v>15600</v>
      </c>
      <c r="E22816" s="1083">
        <v>12000</v>
      </c>
      <c r="F22816" s="1083"/>
      <c r="G22816" s="125">
        <f t="shared" si="628"/>
        <v>-12000</v>
      </c>
      <c r="H22816" s="704" t="s">
        <v>15731</v>
      </c>
    </row>
    <row r="22817" spans="1:8" ht="15" x14ac:dyDescent="0.2">
      <c r="A22817" s="1081">
        <v>45678</v>
      </c>
      <c r="B22817" s="1082" t="s">
        <v>15033</v>
      </c>
      <c r="C22817" s="1082" t="s">
        <v>391</v>
      </c>
      <c r="D22817" s="1123" t="s">
        <v>15607</v>
      </c>
      <c r="E22817" s="1083">
        <v>5000</v>
      </c>
      <c r="F22817" s="1083"/>
      <c r="G22817" s="125">
        <f t="shared" si="628"/>
        <v>-5000</v>
      </c>
      <c r="H22817" s="704" t="s">
        <v>15732</v>
      </c>
    </row>
    <row r="22818" spans="1:8" ht="15" x14ac:dyDescent="0.2">
      <c r="A22818" s="1081">
        <v>45678</v>
      </c>
      <c r="B22818" s="1082" t="s">
        <v>13213</v>
      </c>
      <c r="C22818" s="1082" t="s">
        <v>10972</v>
      </c>
      <c r="D22818" s="1123" t="s">
        <v>15608</v>
      </c>
      <c r="E22818" s="1083">
        <v>29800</v>
      </c>
      <c r="F22818" s="1083"/>
      <c r="G22818" s="125">
        <f t="shared" si="628"/>
        <v>-29800</v>
      </c>
      <c r="H22818" s="704" t="s">
        <v>15733</v>
      </c>
    </row>
    <row r="22819" spans="1:8" ht="15" x14ac:dyDescent="0.2">
      <c r="A22819" s="1081">
        <v>45678</v>
      </c>
      <c r="B22819" s="1082" t="s">
        <v>13240</v>
      </c>
      <c r="C22819" s="1082" t="s">
        <v>14355</v>
      </c>
      <c r="D22819" s="1123" t="s">
        <v>15609</v>
      </c>
      <c r="E22819" s="1083">
        <v>9600</v>
      </c>
      <c r="F22819" s="1083"/>
      <c r="G22819" s="125">
        <f t="shared" si="628"/>
        <v>-9600</v>
      </c>
      <c r="H22819" s="704" t="s">
        <v>15734</v>
      </c>
    </row>
    <row r="22820" spans="1:8" ht="15" x14ac:dyDescent="0.2">
      <c r="A22820" s="1081">
        <v>45678</v>
      </c>
      <c r="B22820" s="1082" t="s">
        <v>15033</v>
      </c>
      <c r="C22820" s="1082" t="s">
        <v>10972</v>
      </c>
      <c r="D22820" s="1123" t="s">
        <v>10532</v>
      </c>
      <c r="E22820" s="1083">
        <v>6170</v>
      </c>
      <c r="F22820" s="1083"/>
      <c r="G22820" s="125">
        <f t="shared" si="628"/>
        <v>-6170</v>
      </c>
      <c r="H22820" s="704" t="s">
        <v>15735</v>
      </c>
    </row>
    <row r="22821" spans="1:8" ht="15" x14ac:dyDescent="0.2">
      <c r="A22821" s="1081">
        <v>45678</v>
      </c>
      <c r="B22821" s="1082" t="s">
        <v>13240</v>
      </c>
      <c r="C22821" s="1082" t="s">
        <v>285</v>
      </c>
      <c r="D22821" s="1123" t="s">
        <v>15610</v>
      </c>
      <c r="E22821" s="1083">
        <v>1000</v>
      </c>
      <c r="F22821" s="1083"/>
      <c r="G22821" s="125">
        <f t="shared" si="628"/>
        <v>-1000</v>
      </c>
      <c r="H22821" s="704" t="s">
        <v>15736</v>
      </c>
    </row>
    <row r="22822" spans="1:8" ht="15" x14ac:dyDescent="0.2">
      <c r="A22822" s="1081">
        <v>45678</v>
      </c>
      <c r="B22822" s="1082" t="s">
        <v>15337</v>
      </c>
      <c r="C22822" s="1082" t="s">
        <v>391</v>
      </c>
      <c r="D22822" s="1123" t="s">
        <v>15611</v>
      </c>
      <c r="E22822" s="1083">
        <v>4140</v>
      </c>
      <c r="F22822" s="1083"/>
      <c r="G22822" s="125">
        <f t="shared" si="628"/>
        <v>-4140</v>
      </c>
      <c r="H22822" s="704" t="s">
        <v>15737</v>
      </c>
    </row>
    <row r="22823" spans="1:8" ht="15" x14ac:dyDescent="0.2">
      <c r="A22823" s="1081">
        <v>45678</v>
      </c>
      <c r="B22823" s="1082" t="s">
        <v>14334</v>
      </c>
      <c r="C22823" s="1082" t="s">
        <v>10972</v>
      </c>
      <c r="D22823" s="1123" t="s">
        <v>15612</v>
      </c>
      <c r="E22823" s="1083">
        <v>33675</v>
      </c>
      <c r="F22823" s="1083"/>
      <c r="G22823" s="125">
        <f t="shared" si="628"/>
        <v>-33675</v>
      </c>
      <c r="H22823" s="704" t="s">
        <v>15738</v>
      </c>
    </row>
    <row r="22824" spans="1:8" ht="15" x14ac:dyDescent="0.2">
      <c r="A22824" s="1081">
        <v>45678</v>
      </c>
      <c r="B22824" s="1082" t="s">
        <v>14351</v>
      </c>
      <c r="C22824" s="1082" t="s">
        <v>14431</v>
      </c>
      <c r="D22824" s="1123" t="s">
        <v>15613</v>
      </c>
      <c r="E22824" s="1083">
        <v>100000</v>
      </c>
      <c r="F22824" s="1083"/>
      <c r="G22824" s="125">
        <f t="shared" si="628"/>
        <v>-100000</v>
      </c>
      <c r="H22824" s="704" t="s">
        <v>15739</v>
      </c>
    </row>
    <row r="22825" spans="1:8" ht="15" x14ac:dyDescent="0.2">
      <c r="A22825" s="1081">
        <v>45678</v>
      </c>
      <c r="B22825" s="1082" t="s">
        <v>15430</v>
      </c>
      <c r="C22825" s="1082" t="s">
        <v>3144</v>
      </c>
      <c r="D22825" s="1123" t="s">
        <v>15614</v>
      </c>
      <c r="E22825" s="1083">
        <v>194000</v>
      </c>
      <c r="F22825" s="1083"/>
      <c r="G22825" s="125">
        <f t="shared" si="628"/>
        <v>-194000</v>
      </c>
      <c r="H22825" s="704" t="s">
        <v>15740</v>
      </c>
    </row>
    <row r="22826" spans="1:8" ht="15" x14ac:dyDescent="0.2">
      <c r="A22826" s="1081">
        <v>45679</v>
      </c>
      <c r="B22826" s="1082" t="s">
        <v>103</v>
      </c>
      <c r="C22826" s="1082" t="s">
        <v>391</v>
      </c>
      <c r="D22826" s="1123" t="s">
        <v>10199</v>
      </c>
      <c r="E22826" s="1083">
        <v>3000</v>
      </c>
      <c r="F22826" s="1083"/>
      <c r="G22826" s="125">
        <f t="shared" si="628"/>
        <v>-3000</v>
      </c>
      <c r="H22826" s="704" t="s">
        <v>15741</v>
      </c>
    </row>
    <row r="22827" spans="1:8" ht="15" x14ac:dyDescent="0.2">
      <c r="A22827" s="1081">
        <v>45679</v>
      </c>
      <c r="B22827" s="1082" t="s">
        <v>15337</v>
      </c>
      <c r="C22827" s="1082" t="s">
        <v>10972</v>
      </c>
      <c r="D22827" s="1123" t="s">
        <v>15627</v>
      </c>
      <c r="E22827" s="1083">
        <v>5000</v>
      </c>
      <c r="F22827" s="1083"/>
      <c r="G22827" s="125">
        <f t="shared" si="628"/>
        <v>-5000</v>
      </c>
      <c r="H22827" s="704" t="s">
        <v>15742</v>
      </c>
    </row>
    <row r="22828" spans="1:8" ht="15" x14ac:dyDescent="0.2">
      <c r="A22828" s="1081">
        <v>45679</v>
      </c>
      <c r="B22828" s="1082" t="s">
        <v>15338</v>
      </c>
      <c r="C22828" s="1082" t="s">
        <v>10972</v>
      </c>
      <c r="D22828" s="1123" t="s">
        <v>15628</v>
      </c>
      <c r="E22828" s="1083">
        <v>32500</v>
      </c>
      <c r="F22828" s="1083"/>
      <c r="G22828" s="125">
        <f t="shared" si="628"/>
        <v>-32500</v>
      </c>
      <c r="H22828" s="704" t="s">
        <v>15743</v>
      </c>
    </row>
    <row r="22829" spans="1:8" ht="15" x14ac:dyDescent="0.2">
      <c r="A22829" s="1081">
        <v>45679</v>
      </c>
      <c r="B22829" s="1082" t="s">
        <v>15338</v>
      </c>
      <c r="C22829" s="1082" t="s">
        <v>10972</v>
      </c>
      <c r="D22829" s="1123" t="s">
        <v>10087</v>
      </c>
      <c r="E22829" s="1083">
        <v>17000</v>
      </c>
      <c r="F22829" s="1083"/>
      <c r="G22829" s="125">
        <f t="shared" si="628"/>
        <v>-17000</v>
      </c>
      <c r="H22829" s="704" t="s">
        <v>15744</v>
      </c>
    </row>
    <row r="22830" spans="1:8" ht="15" x14ac:dyDescent="0.2">
      <c r="A22830" s="1081">
        <v>45679</v>
      </c>
      <c r="B22830" s="1082" t="s">
        <v>15338</v>
      </c>
      <c r="C22830" s="1082" t="s">
        <v>10972</v>
      </c>
      <c r="D22830" s="1123" t="s">
        <v>15629</v>
      </c>
      <c r="E22830" s="1083">
        <v>20990</v>
      </c>
      <c r="F22830" s="1083"/>
      <c r="G22830" s="125">
        <f t="shared" si="628"/>
        <v>-20990</v>
      </c>
      <c r="H22830" s="704" t="s">
        <v>15745</v>
      </c>
    </row>
    <row r="22831" spans="1:8" ht="15" x14ac:dyDescent="0.2">
      <c r="A22831" s="1081">
        <v>45679</v>
      </c>
      <c r="B22831" s="1082" t="s">
        <v>14596</v>
      </c>
      <c r="C22831" s="1082" t="s">
        <v>6140</v>
      </c>
      <c r="D22831" s="1123" t="s">
        <v>15630</v>
      </c>
      <c r="E22831" s="1083">
        <v>2100</v>
      </c>
      <c r="F22831" s="1083"/>
      <c r="G22831" s="125">
        <f t="shared" si="628"/>
        <v>-2100</v>
      </c>
      <c r="H22831" s="704" t="s">
        <v>15746</v>
      </c>
    </row>
    <row r="22832" spans="1:8" ht="15" x14ac:dyDescent="0.2">
      <c r="A22832" s="1081">
        <v>45679</v>
      </c>
      <c r="B22832" s="1082" t="s">
        <v>11068</v>
      </c>
      <c r="C22832" s="1082" t="s">
        <v>5228</v>
      </c>
      <c r="D22832" s="1123" t="s">
        <v>15631</v>
      </c>
      <c r="E22832" s="1083">
        <v>10900</v>
      </c>
      <c r="F22832" s="1083"/>
      <c r="G22832" s="125">
        <f t="shared" si="628"/>
        <v>-10900</v>
      </c>
      <c r="H22832" s="704" t="s">
        <v>15747</v>
      </c>
    </row>
    <row r="22833" spans="1:8" ht="15" x14ac:dyDescent="0.2">
      <c r="A22833" s="1081">
        <v>45679</v>
      </c>
      <c r="B22833" s="1082" t="s">
        <v>15337</v>
      </c>
      <c r="C22833" s="1082" t="s">
        <v>5740</v>
      </c>
      <c r="D22833" s="1123" t="s">
        <v>369</v>
      </c>
      <c r="E22833" s="1083">
        <v>3000</v>
      </c>
      <c r="F22833" s="1083"/>
      <c r="G22833" s="125">
        <f t="shared" si="628"/>
        <v>-3000</v>
      </c>
      <c r="H22833" s="704" t="s">
        <v>15748</v>
      </c>
    </row>
    <row r="22834" spans="1:8" ht="15" x14ac:dyDescent="0.2">
      <c r="A22834" s="1081">
        <v>45679</v>
      </c>
      <c r="B22834" s="1082" t="s">
        <v>14351</v>
      </c>
      <c r="C22834" s="1082" t="s">
        <v>5740</v>
      </c>
      <c r="D22834" s="1123" t="s">
        <v>369</v>
      </c>
      <c r="E22834" s="1083">
        <v>1200</v>
      </c>
      <c r="F22834" s="1083"/>
      <c r="G22834" s="125">
        <f t="shared" si="628"/>
        <v>-1200</v>
      </c>
      <c r="H22834" s="704" t="s">
        <v>15749</v>
      </c>
    </row>
    <row r="22835" spans="1:8" ht="15" x14ac:dyDescent="0.2">
      <c r="A22835" s="1081">
        <v>45679</v>
      </c>
      <c r="B22835" s="1082" t="s">
        <v>11068</v>
      </c>
      <c r="C22835" s="1082" t="s">
        <v>10972</v>
      </c>
      <c r="D22835" s="1123" t="s">
        <v>15480</v>
      </c>
      <c r="E22835" s="1083">
        <v>31000</v>
      </c>
      <c r="F22835" s="1083"/>
      <c r="G22835" s="125">
        <f t="shared" si="628"/>
        <v>-31000</v>
      </c>
      <c r="H22835" s="704" t="s">
        <v>15750</v>
      </c>
    </row>
    <row r="22836" spans="1:8" ht="15" x14ac:dyDescent="0.2">
      <c r="A22836" s="1081">
        <v>45679</v>
      </c>
      <c r="B22836" s="1082" t="s">
        <v>13240</v>
      </c>
      <c r="C22836" s="1082" t="s">
        <v>5740</v>
      </c>
      <c r="D22836" s="1123" t="s">
        <v>369</v>
      </c>
      <c r="E22836" s="1083">
        <v>1600</v>
      </c>
      <c r="F22836" s="1083"/>
      <c r="G22836" s="125">
        <f t="shared" si="628"/>
        <v>-1600</v>
      </c>
      <c r="H22836" s="704" t="s">
        <v>15751</v>
      </c>
    </row>
    <row r="22837" spans="1:8" ht="15" x14ac:dyDescent="0.2">
      <c r="A22837" s="1081">
        <v>45679</v>
      </c>
      <c r="B22837" s="1082" t="s">
        <v>25</v>
      </c>
      <c r="C22837" s="1082" t="s">
        <v>8141</v>
      </c>
      <c r="D22837" s="1123" t="s">
        <v>15632</v>
      </c>
      <c r="E22837" s="1083">
        <v>33977</v>
      </c>
      <c r="F22837" s="1083"/>
      <c r="G22837" s="125">
        <f t="shared" si="628"/>
        <v>-33977</v>
      </c>
      <c r="H22837" s="704" t="s">
        <v>15752</v>
      </c>
    </row>
    <row r="22838" spans="1:8" ht="15" x14ac:dyDescent="0.2">
      <c r="A22838" s="1081">
        <v>45679</v>
      </c>
      <c r="B22838" s="1082" t="s">
        <v>103</v>
      </c>
      <c r="C22838" s="1082" t="s">
        <v>8141</v>
      </c>
      <c r="D22838" s="1123" t="s">
        <v>15632</v>
      </c>
      <c r="E22838" s="1083">
        <v>16117</v>
      </c>
      <c r="F22838" s="1083"/>
      <c r="G22838" s="125">
        <f t="shared" si="628"/>
        <v>-16117</v>
      </c>
      <c r="H22838" s="704" t="s">
        <v>15753</v>
      </c>
    </row>
    <row r="22839" spans="1:8" ht="15" x14ac:dyDescent="0.2">
      <c r="A22839" s="1081">
        <v>45679</v>
      </c>
      <c r="B22839" s="1082" t="s">
        <v>14351</v>
      </c>
      <c r="C22839" s="1082" t="s">
        <v>15633</v>
      </c>
      <c r="D22839" s="1123" t="s">
        <v>15651</v>
      </c>
      <c r="E22839" s="1083">
        <v>2000000</v>
      </c>
      <c r="F22839" s="1083"/>
      <c r="G22839" s="125">
        <f t="shared" si="628"/>
        <v>-2000000</v>
      </c>
      <c r="H22839" s="704" t="s">
        <v>15754</v>
      </c>
    </row>
    <row r="22840" spans="1:8" ht="15" x14ac:dyDescent="0.2">
      <c r="A22840" s="1081">
        <v>45679</v>
      </c>
      <c r="B22840" s="1082" t="s">
        <v>14351</v>
      </c>
      <c r="C22840" s="1082" t="s">
        <v>15633</v>
      </c>
      <c r="D22840" s="1123" t="s">
        <v>15650</v>
      </c>
      <c r="E22840" s="1083">
        <v>150000</v>
      </c>
      <c r="F22840" s="1083"/>
      <c r="G22840" s="125">
        <f t="shared" si="628"/>
        <v>-150000</v>
      </c>
      <c r="H22840" s="704" t="s">
        <v>15755</v>
      </c>
    </row>
    <row r="22841" spans="1:8" ht="15" x14ac:dyDescent="0.2">
      <c r="A22841" s="1081">
        <v>45679</v>
      </c>
      <c r="B22841" s="1082" t="s">
        <v>11068</v>
      </c>
      <c r="C22841" s="1082" t="s">
        <v>5740</v>
      </c>
      <c r="D22841" s="1123" t="s">
        <v>369</v>
      </c>
      <c r="E22841" s="1083">
        <v>2500</v>
      </c>
      <c r="F22841" s="1083"/>
      <c r="G22841" s="125">
        <f t="shared" si="628"/>
        <v>-2500</v>
      </c>
      <c r="H22841" s="704" t="s">
        <v>15756</v>
      </c>
    </row>
    <row r="22842" spans="1:8" ht="15" x14ac:dyDescent="0.2">
      <c r="A22842" s="1081">
        <v>45679</v>
      </c>
      <c r="B22842" s="1082" t="s">
        <v>15100</v>
      </c>
      <c r="C22842" s="1082" t="s">
        <v>5740</v>
      </c>
      <c r="D22842" s="1123" t="s">
        <v>10325</v>
      </c>
      <c r="E22842" s="1083">
        <v>500</v>
      </c>
      <c r="F22842" s="1083"/>
      <c r="G22842" s="125">
        <f t="shared" si="628"/>
        <v>-500</v>
      </c>
      <c r="H22842" s="704" t="s">
        <v>15757</v>
      </c>
    </row>
    <row r="22843" spans="1:8" ht="15" x14ac:dyDescent="0.2">
      <c r="A22843" s="1081">
        <v>45679</v>
      </c>
      <c r="B22843" s="1082" t="s">
        <v>15100</v>
      </c>
      <c r="C22843" s="1082" t="s">
        <v>15345</v>
      </c>
      <c r="D22843" s="1123" t="s">
        <v>15634</v>
      </c>
      <c r="E22843" s="1083">
        <v>400000</v>
      </c>
      <c r="F22843" s="1083"/>
      <c r="G22843" s="125">
        <f t="shared" si="628"/>
        <v>-400000</v>
      </c>
      <c r="H22843" s="704" t="s">
        <v>15758</v>
      </c>
    </row>
    <row r="22844" spans="1:8" ht="15" x14ac:dyDescent="0.2">
      <c r="A22844" s="1081">
        <v>45679</v>
      </c>
      <c r="B22844" s="1082" t="s">
        <v>14232</v>
      </c>
      <c r="C22844" s="669" t="s">
        <v>15635</v>
      </c>
      <c r="D22844" s="905" t="s">
        <v>15636</v>
      </c>
      <c r="E22844" s="671">
        <v>400000</v>
      </c>
      <c r="F22844" s="1083"/>
      <c r="G22844" s="125">
        <f t="shared" si="628"/>
        <v>-400000</v>
      </c>
      <c r="H22844" s="704" t="s">
        <v>15759</v>
      </c>
    </row>
    <row r="22845" spans="1:8" ht="15" x14ac:dyDescent="0.2">
      <c r="A22845" s="1081">
        <v>45679</v>
      </c>
      <c r="B22845" s="1082" t="s">
        <v>14351</v>
      </c>
      <c r="C22845" s="669" t="s">
        <v>15635</v>
      </c>
      <c r="D22845" s="905" t="s">
        <v>15636</v>
      </c>
      <c r="E22845" s="671">
        <v>400000</v>
      </c>
      <c r="F22845" s="1083"/>
      <c r="G22845" s="125">
        <f t="shared" si="628"/>
        <v>-400000</v>
      </c>
      <c r="H22845" s="704" t="s">
        <v>15760</v>
      </c>
    </row>
    <row r="22846" spans="1:8" ht="15" x14ac:dyDescent="0.2">
      <c r="A22846" s="1081">
        <v>45680</v>
      </c>
      <c r="B22846" s="1082" t="s">
        <v>14596</v>
      </c>
      <c r="C22846" s="1082" t="s">
        <v>10972</v>
      </c>
      <c r="D22846" s="1123" t="s">
        <v>15637</v>
      </c>
      <c r="E22846" s="1083">
        <v>3400</v>
      </c>
      <c r="F22846" s="1083"/>
      <c r="G22846" s="125">
        <f t="shared" si="628"/>
        <v>-3400</v>
      </c>
      <c r="H22846" s="704" t="s">
        <v>15761</v>
      </c>
    </row>
    <row r="22847" spans="1:8" ht="15" x14ac:dyDescent="0.2">
      <c r="A22847" s="1081">
        <v>45680</v>
      </c>
      <c r="B22847" s="1082" t="s">
        <v>15430</v>
      </c>
      <c r="C22847" s="1082" t="s">
        <v>10972</v>
      </c>
      <c r="D22847" s="1123" t="s">
        <v>15638</v>
      </c>
      <c r="E22847" s="1083">
        <v>33050</v>
      </c>
      <c r="F22847" s="1083"/>
      <c r="G22847" s="125">
        <f t="shared" si="628"/>
        <v>-33050</v>
      </c>
      <c r="H22847" s="704" t="s">
        <v>15762</v>
      </c>
    </row>
    <row r="22848" spans="1:8" ht="15" x14ac:dyDescent="0.2">
      <c r="A22848" s="1081">
        <v>45680</v>
      </c>
      <c r="B22848" s="1082" t="s">
        <v>11068</v>
      </c>
      <c r="C22848" s="1082" t="s">
        <v>5740</v>
      </c>
      <c r="D22848" s="1123" t="s">
        <v>369</v>
      </c>
      <c r="E22848" s="1083">
        <v>800</v>
      </c>
      <c r="F22848" s="1083"/>
      <c r="G22848" s="125">
        <f t="shared" si="628"/>
        <v>-800</v>
      </c>
      <c r="H22848" s="704" t="s">
        <v>15763</v>
      </c>
    </row>
    <row r="22849" spans="1:8" ht="15" x14ac:dyDescent="0.2">
      <c r="A22849" s="1081">
        <v>45680</v>
      </c>
      <c r="B22849" s="1082" t="s">
        <v>103</v>
      </c>
      <c r="C22849" s="1082" t="s">
        <v>391</v>
      </c>
      <c r="D22849" s="1123" t="s">
        <v>10199</v>
      </c>
      <c r="E22849" s="1083">
        <v>4000</v>
      </c>
      <c r="F22849" s="1083"/>
      <c r="G22849" s="125">
        <f t="shared" si="628"/>
        <v>-4000</v>
      </c>
      <c r="H22849" s="704" t="s">
        <v>15764</v>
      </c>
    </row>
    <row r="22850" spans="1:8" ht="15" x14ac:dyDescent="0.2">
      <c r="A22850" s="1081">
        <v>45680</v>
      </c>
      <c r="B22850" s="1082" t="s">
        <v>15430</v>
      </c>
      <c r="C22850" s="1082" t="s">
        <v>5386</v>
      </c>
      <c r="D22850" s="1123" t="s">
        <v>15639</v>
      </c>
      <c r="E22850" s="1083">
        <v>4050</v>
      </c>
      <c r="F22850" s="1083"/>
      <c r="G22850" s="125">
        <f t="shared" si="628"/>
        <v>-4050</v>
      </c>
      <c r="H22850" s="704" t="s">
        <v>15765</v>
      </c>
    </row>
    <row r="22851" spans="1:8" ht="15" x14ac:dyDescent="0.2">
      <c r="A22851" s="1081">
        <v>45680</v>
      </c>
      <c r="B22851" s="1082" t="s">
        <v>15430</v>
      </c>
      <c r="C22851" s="1082" t="s">
        <v>391</v>
      </c>
      <c r="D22851" s="1123" t="s">
        <v>15313</v>
      </c>
      <c r="E22851" s="1083">
        <v>83000</v>
      </c>
      <c r="F22851" s="1083"/>
      <c r="G22851" s="125">
        <f t="shared" si="628"/>
        <v>-83000</v>
      </c>
      <c r="H22851" s="704" t="s">
        <v>15766</v>
      </c>
    </row>
    <row r="22852" spans="1:8" ht="24" x14ac:dyDescent="0.2">
      <c r="A22852" s="1081">
        <v>45680</v>
      </c>
      <c r="B22852" s="1082" t="s">
        <v>15430</v>
      </c>
      <c r="C22852" s="1082" t="s">
        <v>5386</v>
      </c>
      <c r="D22852" s="1123" t="s">
        <v>15640</v>
      </c>
      <c r="E22852" s="1083">
        <v>33000</v>
      </c>
      <c r="F22852" s="1083"/>
      <c r="G22852" s="125">
        <f t="shared" si="628"/>
        <v>-33000</v>
      </c>
      <c r="H22852" s="704" t="s">
        <v>15767</v>
      </c>
    </row>
    <row r="22853" spans="1:8" ht="24" x14ac:dyDescent="0.2">
      <c r="A22853" s="1081">
        <v>45680</v>
      </c>
      <c r="B22853" s="1082" t="s">
        <v>13165</v>
      </c>
      <c r="C22853" s="1082" t="s">
        <v>14</v>
      </c>
      <c r="D22853" s="1123" t="s">
        <v>15641</v>
      </c>
      <c r="E22853" s="1083">
        <v>20000</v>
      </c>
      <c r="F22853" s="1083"/>
      <c r="G22853" s="125">
        <f t="shared" si="628"/>
        <v>-20000</v>
      </c>
      <c r="H22853" s="704" t="s">
        <v>15768</v>
      </c>
    </row>
    <row r="22854" spans="1:8" ht="15" x14ac:dyDescent="0.2">
      <c r="A22854" s="1081">
        <v>45680</v>
      </c>
      <c r="B22854" s="1082" t="s">
        <v>12671</v>
      </c>
      <c r="C22854" s="1082" t="s">
        <v>11269</v>
      </c>
      <c r="D22854" s="1123" t="s">
        <v>15533</v>
      </c>
      <c r="E22854" s="1083">
        <v>21000</v>
      </c>
      <c r="F22854" s="1083"/>
      <c r="G22854" s="125">
        <f t="shared" si="628"/>
        <v>-21000</v>
      </c>
      <c r="H22854" s="704" t="s">
        <v>15769</v>
      </c>
    </row>
    <row r="22855" spans="1:8" ht="15" x14ac:dyDescent="0.2">
      <c r="A22855" s="1081">
        <v>45680</v>
      </c>
      <c r="B22855" s="1082" t="s">
        <v>11707</v>
      </c>
      <c r="C22855" s="1082" t="s">
        <v>1229</v>
      </c>
      <c r="D22855" s="1123" t="s">
        <v>15642</v>
      </c>
      <c r="E22855" s="1083">
        <v>187000</v>
      </c>
      <c r="F22855" s="1083"/>
      <c r="G22855" s="125">
        <f t="shared" si="628"/>
        <v>-187000</v>
      </c>
      <c r="H22855" s="704" t="s">
        <v>15770</v>
      </c>
    </row>
    <row r="22856" spans="1:8" ht="15" x14ac:dyDescent="0.2">
      <c r="A22856" s="1081">
        <v>45680</v>
      </c>
      <c r="B22856" s="1082" t="s">
        <v>15337</v>
      </c>
      <c r="C22856" s="669" t="s">
        <v>3144</v>
      </c>
      <c r="D22856" s="905" t="s">
        <v>15644</v>
      </c>
      <c r="E22856" s="671">
        <v>38250</v>
      </c>
      <c r="F22856" s="1083"/>
      <c r="G22856" s="125">
        <f t="shared" si="628"/>
        <v>-38250</v>
      </c>
      <c r="H22856" s="704" t="s">
        <v>15771</v>
      </c>
    </row>
    <row r="22857" spans="1:8" ht="15" x14ac:dyDescent="0.2">
      <c r="A22857" s="1081">
        <v>45680</v>
      </c>
      <c r="B22857" s="1082" t="s">
        <v>15033</v>
      </c>
      <c r="C22857" s="669" t="s">
        <v>3144</v>
      </c>
      <c r="D22857" s="905" t="s">
        <v>15644</v>
      </c>
      <c r="E22857" s="671">
        <v>38250</v>
      </c>
      <c r="F22857" s="1083"/>
      <c r="G22857" s="125">
        <f t="shared" si="628"/>
        <v>-38250</v>
      </c>
      <c r="H22857" s="704" t="s">
        <v>15772</v>
      </c>
    </row>
    <row r="22858" spans="1:8" ht="15" x14ac:dyDescent="0.2">
      <c r="A22858" s="1081">
        <v>45680</v>
      </c>
      <c r="B22858" s="1082" t="s">
        <v>13240</v>
      </c>
      <c r="C22858" s="669" t="s">
        <v>3144</v>
      </c>
      <c r="D22858" s="905" t="s">
        <v>15644</v>
      </c>
      <c r="E22858" s="671">
        <v>38250</v>
      </c>
      <c r="F22858" s="1083"/>
      <c r="G22858" s="125">
        <f t="shared" si="628"/>
        <v>-38250</v>
      </c>
      <c r="H22858" s="704" t="s">
        <v>15773</v>
      </c>
    </row>
    <row r="22859" spans="1:8" ht="15" x14ac:dyDescent="0.2">
      <c r="A22859" s="1081">
        <v>45680</v>
      </c>
      <c r="B22859" s="1082" t="s">
        <v>11068</v>
      </c>
      <c r="C22859" s="669" t="s">
        <v>3144</v>
      </c>
      <c r="D22859" s="905" t="s">
        <v>15644</v>
      </c>
      <c r="E22859" s="671">
        <v>38250</v>
      </c>
      <c r="F22859" s="1083"/>
      <c r="G22859" s="125">
        <f t="shared" si="628"/>
        <v>-38250</v>
      </c>
      <c r="H22859" s="704" t="s">
        <v>15774</v>
      </c>
    </row>
    <row r="22860" spans="1:8" ht="15" x14ac:dyDescent="0.2">
      <c r="A22860" s="1081">
        <v>45681</v>
      </c>
      <c r="B22860" s="1082" t="s">
        <v>14596</v>
      </c>
      <c r="C22860" s="1082" t="s">
        <v>13540</v>
      </c>
      <c r="D22860" s="1123" t="s">
        <v>15643</v>
      </c>
      <c r="E22860" s="1083">
        <v>100000</v>
      </c>
      <c r="F22860" s="1083"/>
      <c r="G22860" s="125">
        <f t="shared" si="628"/>
        <v>-100000</v>
      </c>
      <c r="H22860" s="704" t="s">
        <v>15775</v>
      </c>
    </row>
    <row r="22861" spans="1:8" ht="15" x14ac:dyDescent="0.2">
      <c r="A22861" s="1081">
        <v>45681</v>
      </c>
      <c r="B22861" s="1082" t="s">
        <v>14232</v>
      </c>
      <c r="C22861" s="1082" t="s">
        <v>5740</v>
      </c>
      <c r="D22861" s="1123" t="s">
        <v>369</v>
      </c>
      <c r="E22861" s="1083">
        <v>1900</v>
      </c>
      <c r="F22861" s="1083"/>
      <c r="G22861" s="125">
        <f t="shared" si="628"/>
        <v>-1900</v>
      </c>
      <c r="H22861" s="704" t="s">
        <v>15776</v>
      </c>
    </row>
    <row r="22862" spans="1:8" ht="15" x14ac:dyDescent="0.2">
      <c r="A22862" s="1081">
        <v>45681</v>
      </c>
      <c r="B22862" s="1082" t="s">
        <v>14351</v>
      </c>
      <c r="C22862" s="1082" t="s">
        <v>5386</v>
      </c>
      <c r="D22862" s="1123" t="s">
        <v>15645</v>
      </c>
      <c r="E22862" s="1083">
        <v>8000</v>
      </c>
      <c r="F22862" s="1083"/>
      <c r="G22862" s="125">
        <f t="shared" si="628"/>
        <v>-8000</v>
      </c>
      <c r="H22862" s="704" t="s">
        <v>15777</v>
      </c>
    </row>
    <row r="22863" spans="1:8" ht="15" x14ac:dyDescent="0.2">
      <c r="A22863" s="1081">
        <v>45681</v>
      </c>
      <c r="B22863" s="1082" t="s">
        <v>14596</v>
      </c>
      <c r="C22863" s="1082" t="s">
        <v>391</v>
      </c>
      <c r="D22863" s="1123" t="s">
        <v>9212</v>
      </c>
      <c r="E22863" s="1083">
        <v>4690</v>
      </c>
      <c r="F22863" s="1083"/>
      <c r="G22863" s="125">
        <f t="shared" si="628"/>
        <v>-4690</v>
      </c>
      <c r="H22863" s="704" t="s">
        <v>15778</v>
      </c>
    </row>
    <row r="22864" spans="1:8" ht="24" x14ac:dyDescent="0.2">
      <c r="A22864" s="1081">
        <v>45682</v>
      </c>
      <c r="B22864" s="1082" t="s">
        <v>12334</v>
      </c>
      <c r="C22864" s="1082" t="s">
        <v>391</v>
      </c>
      <c r="D22864" s="1123" t="s">
        <v>15811</v>
      </c>
      <c r="E22864" s="1083">
        <v>9000</v>
      </c>
      <c r="F22864" s="1083"/>
      <c r="G22864" s="125">
        <f t="shared" ref="G22864:G22869" si="629">F22864-E22864</f>
        <v>-9000</v>
      </c>
      <c r="H22864" s="704" t="s">
        <v>15778</v>
      </c>
    </row>
    <row r="22865" spans="1:8" ht="15" x14ac:dyDescent="0.2">
      <c r="A22865" s="1081">
        <v>45682</v>
      </c>
      <c r="B22865" s="1082" t="s">
        <v>11068</v>
      </c>
      <c r="C22865" s="1082" t="s">
        <v>285</v>
      </c>
      <c r="D22865" s="1123" t="s">
        <v>15812</v>
      </c>
      <c r="E22865" s="1083">
        <v>1000</v>
      </c>
      <c r="F22865" s="1083"/>
      <c r="G22865" s="125">
        <f t="shared" si="629"/>
        <v>-1000</v>
      </c>
      <c r="H22865" s="704" t="s">
        <v>15778</v>
      </c>
    </row>
    <row r="22866" spans="1:8" ht="15" x14ac:dyDescent="0.2">
      <c r="A22866" s="1081">
        <v>45682</v>
      </c>
      <c r="B22866" s="1082" t="s">
        <v>14351</v>
      </c>
      <c r="C22866" s="1082" t="s">
        <v>10972</v>
      </c>
      <c r="D22866" s="1123" t="s">
        <v>15813</v>
      </c>
      <c r="E22866" s="1083">
        <v>35560</v>
      </c>
      <c r="F22866" s="1083"/>
      <c r="G22866" s="125">
        <f t="shared" si="629"/>
        <v>-35560</v>
      </c>
      <c r="H22866" s="704" t="s">
        <v>15778</v>
      </c>
    </row>
    <row r="22867" spans="1:8" ht="15" x14ac:dyDescent="0.2">
      <c r="A22867" s="1081">
        <v>45682</v>
      </c>
      <c r="B22867" s="1082" t="s">
        <v>14232</v>
      </c>
      <c r="C22867" s="1082" t="s">
        <v>391</v>
      </c>
      <c r="D22867" s="1123" t="s">
        <v>15814</v>
      </c>
      <c r="E22867" s="1083">
        <v>10000</v>
      </c>
      <c r="F22867" s="1083"/>
      <c r="G22867" s="125">
        <f t="shared" si="629"/>
        <v>-10000</v>
      </c>
      <c r="H22867" s="704" t="s">
        <v>15778</v>
      </c>
    </row>
    <row r="22868" spans="1:8" ht="15" x14ac:dyDescent="0.2">
      <c r="A22868" s="1081">
        <v>45682</v>
      </c>
      <c r="B22868" s="1082" t="s">
        <v>15261</v>
      </c>
      <c r="C22868" s="1082" t="s">
        <v>5740</v>
      </c>
      <c r="D22868" s="1123" t="s">
        <v>10325</v>
      </c>
      <c r="E22868" s="1083">
        <v>300</v>
      </c>
      <c r="F22868" s="1083"/>
      <c r="G22868" s="125">
        <f t="shared" si="629"/>
        <v>-300</v>
      </c>
      <c r="H22868" s="704" t="s">
        <v>15778</v>
      </c>
    </row>
    <row r="22869" spans="1:8" ht="15" x14ac:dyDescent="0.2">
      <c r="A22869" s="1081">
        <v>45682</v>
      </c>
      <c r="B22869" s="1082" t="s">
        <v>15261</v>
      </c>
      <c r="C22869" s="1082" t="s">
        <v>285</v>
      </c>
      <c r="D22869" s="1123" t="s">
        <v>15815</v>
      </c>
      <c r="E22869" s="1083">
        <v>200</v>
      </c>
      <c r="F22869" s="1083"/>
      <c r="G22869" s="125">
        <f t="shared" si="629"/>
        <v>-200</v>
      </c>
      <c r="H22869" s="704" t="s">
        <v>15778</v>
      </c>
    </row>
    <row r="22870" spans="1:8" ht="15" x14ac:dyDescent="0.2">
      <c r="A22870" s="1081">
        <v>45682</v>
      </c>
      <c r="B22870" s="1082" t="s">
        <v>14718</v>
      </c>
      <c r="C22870" s="1082" t="s">
        <v>10972</v>
      </c>
      <c r="D22870" s="1123" t="s">
        <v>15817</v>
      </c>
      <c r="E22870" s="1083">
        <v>1090</v>
      </c>
      <c r="F22870" s="1083"/>
      <c r="G22870" s="125">
        <f t="shared" ref="G22870:G22876" si="630">F22870-E22870</f>
        <v>-1090</v>
      </c>
      <c r="H22870" s="704" t="s">
        <v>15778</v>
      </c>
    </row>
    <row r="22871" spans="1:8" ht="15" x14ac:dyDescent="0.2">
      <c r="A22871" s="1081">
        <v>45682</v>
      </c>
      <c r="B22871" s="1082" t="s">
        <v>14718</v>
      </c>
      <c r="C22871" s="1082" t="s">
        <v>10972</v>
      </c>
      <c r="D22871" s="1123" t="s">
        <v>13351</v>
      </c>
      <c r="E22871" s="1083">
        <v>19620</v>
      </c>
      <c r="F22871" s="1083"/>
      <c r="G22871" s="125">
        <f t="shared" si="630"/>
        <v>-19620</v>
      </c>
      <c r="H22871" s="704" t="s">
        <v>15778</v>
      </c>
    </row>
    <row r="22872" spans="1:8" ht="15" x14ac:dyDescent="0.2">
      <c r="A22872" s="1081">
        <v>45682</v>
      </c>
      <c r="B22872" s="1082" t="s">
        <v>37</v>
      </c>
      <c r="C22872" s="1082" t="s">
        <v>10972</v>
      </c>
      <c r="D22872" s="1123" t="s">
        <v>13351</v>
      </c>
      <c r="E22872" s="1083">
        <v>13760</v>
      </c>
      <c r="F22872" s="1083"/>
      <c r="G22872" s="125">
        <f t="shared" si="630"/>
        <v>-13760</v>
      </c>
      <c r="H22872" s="704" t="s">
        <v>15778</v>
      </c>
    </row>
    <row r="22873" spans="1:8" ht="15" x14ac:dyDescent="0.2">
      <c r="A22873" s="1081">
        <v>45682</v>
      </c>
      <c r="B22873" s="1082" t="s">
        <v>14718</v>
      </c>
      <c r="C22873" s="1082" t="s">
        <v>10972</v>
      </c>
      <c r="D22873" s="1123" t="s">
        <v>13351</v>
      </c>
      <c r="E22873" s="1083">
        <v>36650</v>
      </c>
      <c r="F22873" s="1083"/>
      <c r="G22873" s="125">
        <f t="shared" si="630"/>
        <v>-36650</v>
      </c>
      <c r="H22873" s="704" t="s">
        <v>15778</v>
      </c>
    </row>
    <row r="22874" spans="1:8" ht="15" x14ac:dyDescent="0.2">
      <c r="A22874" s="1081">
        <v>45682</v>
      </c>
      <c r="B22874" s="1082" t="s">
        <v>37</v>
      </c>
      <c r="C22874" s="1082" t="s">
        <v>10972</v>
      </c>
      <c r="D22874" s="1123" t="s">
        <v>13351</v>
      </c>
      <c r="E22874" s="1083">
        <v>22550</v>
      </c>
      <c r="F22874" s="1083"/>
      <c r="G22874" s="125">
        <f t="shared" si="630"/>
        <v>-22550</v>
      </c>
      <c r="H22874" s="704" t="s">
        <v>15778</v>
      </c>
    </row>
    <row r="22875" spans="1:8" ht="15" x14ac:dyDescent="0.2">
      <c r="A22875" s="1081">
        <v>45682</v>
      </c>
      <c r="B22875" s="1082" t="s">
        <v>37</v>
      </c>
      <c r="C22875" s="1082" t="s">
        <v>10972</v>
      </c>
      <c r="D22875" s="1123" t="s">
        <v>13351</v>
      </c>
      <c r="E22875" s="1083">
        <v>20500</v>
      </c>
      <c r="F22875" s="1083"/>
      <c r="G22875" s="125">
        <f t="shared" si="630"/>
        <v>-20500</v>
      </c>
      <c r="H22875" s="704" t="s">
        <v>15778</v>
      </c>
    </row>
    <row r="22876" spans="1:8" ht="15" x14ac:dyDescent="0.2">
      <c r="A22876" s="1081">
        <v>45682</v>
      </c>
      <c r="B22876" s="1082" t="s">
        <v>37</v>
      </c>
      <c r="C22876" s="1082" t="s">
        <v>3113</v>
      </c>
      <c r="D22876" s="1123" t="s">
        <v>13351</v>
      </c>
      <c r="E22876" s="1083">
        <v>10000</v>
      </c>
      <c r="F22876" s="1083"/>
      <c r="G22876" s="125">
        <f t="shared" si="630"/>
        <v>-10000</v>
      </c>
      <c r="H22876" s="704" t="s">
        <v>15778</v>
      </c>
    </row>
    <row r="22877" spans="1:8" ht="24" x14ac:dyDescent="0.2">
      <c r="A22877" s="1081">
        <v>45684</v>
      </c>
      <c r="B22877" s="1082" t="s">
        <v>14351</v>
      </c>
      <c r="C22877" s="669" t="s">
        <v>14803</v>
      </c>
      <c r="D22877" s="905" t="s">
        <v>15826</v>
      </c>
      <c r="E22877" s="671">
        <v>63000</v>
      </c>
      <c r="F22877" s="1083"/>
      <c r="G22877" s="125">
        <f t="shared" ref="G22877:G22878" si="631">F22877-E22877</f>
        <v>-63000</v>
      </c>
      <c r="H22877" s="704" t="s">
        <v>15778</v>
      </c>
    </row>
    <row r="22878" spans="1:8" ht="24" x14ac:dyDescent="0.2">
      <c r="A22878" s="1081">
        <v>45684</v>
      </c>
      <c r="B22878" s="1082" t="s">
        <v>13213</v>
      </c>
      <c r="C22878" s="669" t="s">
        <v>14803</v>
      </c>
      <c r="D22878" s="905" t="s">
        <v>15826</v>
      </c>
      <c r="E22878" s="671">
        <v>16500</v>
      </c>
      <c r="F22878" s="1083"/>
      <c r="G22878" s="125">
        <f t="shared" si="631"/>
        <v>-16500</v>
      </c>
      <c r="H22878" s="704" t="s">
        <v>15778</v>
      </c>
    </row>
    <row r="22879" spans="1:8" ht="15" x14ac:dyDescent="0.2">
      <c r="A22879" s="1081">
        <v>45685</v>
      </c>
      <c r="B22879" s="1082" t="s">
        <v>13240</v>
      </c>
      <c r="C22879" s="1082" t="s">
        <v>12919</v>
      </c>
      <c r="D22879" s="1123" t="s">
        <v>15827</v>
      </c>
      <c r="E22879" s="1083">
        <v>500000</v>
      </c>
      <c r="F22879" s="1083"/>
      <c r="G22879" s="125">
        <f t="shared" ref="G22879:G22892" si="632">F22879-E22879</f>
        <v>-500000</v>
      </c>
      <c r="H22879" s="704" t="s">
        <v>15778</v>
      </c>
    </row>
    <row r="22880" spans="1:8" ht="15" x14ac:dyDescent="0.2">
      <c r="A22880" s="1081">
        <v>45685</v>
      </c>
      <c r="B22880" s="1082" t="s">
        <v>15430</v>
      </c>
      <c r="C22880" s="1082" t="s">
        <v>3144</v>
      </c>
      <c r="D22880" s="1123" t="s">
        <v>15547</v>
      </c>
      <c r="E22880" s="1083">
        <v>117760</v>
      </c>
      <c r="F22880" s="1083"/>
      <c r="G22880" s="125">
        <f t="shared" si="632"/>
        <v>-117760</v>
      </c>
      <c r="H22880" s="704" t="s">
        <v>15778</v>
      </c>
    </row>
    <row r="22881" spans="1:8" ht="24" x14ac:dyDescent="0.2">
      <c r="A22881" s="1081">
        <v>45685</v>
      </c>
      <c r="B22881" s="1082" t="s">
        <v>13240</v>
      </c>
      <c r="C22881" s="1082" t="s">
        <v>15121</v>
      </c>
      <c r="D22881" s="1123" t="s">
        <v>15828</v>
      </c>
      <c r="E22881" s="1083">
        <v>82010</v>
      </c>
      <c r="F22881" s="1083"/>
      <c r="G22881" s="125">
        <f t="shared" si="632"/>
        <v>-82010</v>
      </c>
      <c r="H22881" s="704" t="s">
        <v>15778</v>
      </c>
    </row>
    <row r="22882" spans="1:8" ht="15" x14ac:dyDescent="0.2">
      <c r="A22882" s="1081">
        <v>45685</v>
      </c>
      <c r="B22882" s="1082" t="s">
        <v>15100</v>
      </c>
      <c r="C22882" s="1082" t="s">
        <v>15414</v>
      </c>
      <c r="D22882" s="1123" t="s">
        <v>15829</v>
      </c>
      <c r="E22882" s="1083">
        <v>26000</v>
      </c>
      <c r="F22882" s="1083"/>
      <c r="G22882" s="125">
        <f t="shared" si="632"/>
        <v>-26000</v>
      </c>
      <c r="H22882" s="704" t="s">
        <v>15778</v>
      </c>
    </row>
    <row r="22883" spans="1:8" ht="15" x14ac:dyDescent="0.2">
      <c r="A22883" s="1081">
        <v>45686</v>
      </c>
      <c r="B22883" s="1082" t="s">
        <v>14351</v>
      </c>
      <c r="C22883" s="1082" t="s">
        <v>14161</v>
      </c>
      <c r="D22883" s="1123" t="s">
        <v>15818</v>
      </c>
      <c r="E22883" s="1083">
        <v>20000</v>
      </c>
      <c r="F22883" s="1083"/>
      <c r="G22883" s="125">
        <f t="shared" si="632"/>
        <v>-20000</v>
      </c>
      <c r="H22883" s="704" t="s">
        <v>15778</v>
      </c>
    </row>
    <row r="22884" spans="1:8" ht="15" x14ac:dyDescent="0.2">
      <c r="A22884" s="1081">
        <v>45686</v>
      </c>
      <c r="B22884" s="1082" t="s">
        <v>14232</v>
      </c>
      <c r="C22884" s="1082" t="s">
        <v>5386</v>
      </c>
      <c r="D22884" s="1123" t="s">
        <v>15819</v>
      </c>
      <c r="E22884" s="1083">
        <v>24840</v>
      </c>
      <c r="F22884" s="1083"/>
      <c r="G22884" s="125">
        <f t="shared" si="632"/>
        <v>-24840</v>
      </c>
      <c r="H22884" s="704" t="s">
        <v>15778</v>
      </c>
    </row>
    <row r="22885" spans="1:8" ht="15" x14ac:dyDescent="0.2">
      <c r="A22885" s="1081">
        <v>45686</v>
      </c>
      <c r="B22885" s="1082" t="s">
        <v>14718</v>
      </c>
      <c r="C22885" s="1082" t="s">
        <v>5386</v>
      </c>
      <c r="D22885" s="1123" t="s">
        <v>15820</v>
      </c>
      <c r="E22885" s="1083">
        <v>15150</v>
      </c>
      <c r="F22885" s="1083"/>
      <c r="G22885" s="125">
        <f t="shared" si="632"/>
        <v>-15150</v>
      </c>
      <c r="H22885" s="704" t="s">
        <v>15778</v>
      </c>
    </row>
    <row r="22886" spans="1:8" ht="15" x14ac:dyDescent="0.2">
      <c r="A22886" s="1081">
        <v>45686</v>
      </c>
      <c r="B22886" s="1082" t="s">
        <v>11068</v>
      </c>
      <c r="C22886" s="1082" t="s">
        <v>5740</v>
      </c>
      <c r="D22886" s="1123" t="s">
        <v>369</v>
      </c>
      <c r="E22886" s="1083">
        <v>1900</v>
      </c>
      <c r="F22886" s="1083"/>
      <c r="G22886" s="125">
        <f t="shared" si="632"/>
        <v>-1900</v>
      </c>
      <c r="H22886" s="704" t="s">
        <v>15778</v>
      </c>
    </row>
    <row r="22887" spans="1:8" ht="15" x14ac:dyDescent="0.2">
      <c r="A22887" s="1081">
        <v>45686</v>
      </c>
      <c r="B22887" s="1082" t="s">
        <v>13278</v>
      </c>
      <c r="C22887" s="1082" t="s">
        <v>5740</v>
      </c>
      <c r="D22887" s="1123" t="s">
        <v>369</v>
      </c>
      <c r="E22887" s="1083">
        <v>1500</v>
      </c>
      <c r="F22887" s="1083"/>
      <c r="G22887" s="125">
        <f t="shared" si="632"/>
        <v>-1500</v>
      </c>
      <c r="H22887" s="704" t="s">
        <v>15778</v>
      </c>
    </row>
    <row r="22888" spans="1:8" ht="15" x14ac:dyDescent="0.2">
      <c r="A22888" s="1081">
        <v>45686</v>
      </c>
      <c r="B22888" s="1082" t="s">
        <v>15338</v>
      </c>
      <c r="C22888" s="1082" t="s">
        <v>10972</v>
      </c>
      <c r="D22888" s="1123" t="s">
        <v>15821</v>
      </c>
      <c r="E22888" s="1083">
        <v>31000</v>
      </c>
      <c r="F22888" s="1083"/>
      <c r="G22888" s="125">
        <f t="shared" si="632"/>
        <v>-31000</v>
      </c>
      <c r="H22888" s="704" t="s">
        <v>15778</v>
      </c>
    </row>
    <row r="22889" spans="1:8" ht="24" x14ac:dyDescent="0.2">
      <c r="A22889" s="1081">
        <v>45686</v>
      </c>
      <c r="B22889" s="1082" t="s">
        <v>15004</v>
      </c>
      <c r="C22889" s="1082" t="s">
        <v>10972</v>
      </c>
      <c r="D22889" s="1123" t="s">
        <v>15822</v>
      </c>
      <c r="E22889" s="1083">
        <v>5800</v>
      </c>
      <c r="F22889" s="1083"/>
      <c r="G22889" s="125">
        <f t="shared" si="632"/>
        <v>-5800</v>
      </c>
      <c r="H22889" s="704" t="s">
        <v>15778</v>
      </c>
    </row>
    <row r="22890" spans="1:8" ht="15" x14ac:dyDescent="0.2">
      <c r="A22890" s="1081">
        <v>45686</v>
      </c>
      <c r="B22890" s="1082" t="s">
        <v>15400</v>
      </c>
      <c r="C22890" s="1082" t="s">
        <v>285</v>
      </c>
      <c r="D22890" s="1123" t="s">
        <v>15823</v>
      </c>
      <c r="E22890" s="1083">
        <v>2000</v>
      </c>
      <c r="F22890" s="1083"/>
      <c r="G22890" s="125">
        <f t="shared" si="632"/>
        <v>-2000</v>
      </c>
      <c r="H22890" s="704" t="s">
        <v>15778</v>
      </c>
    </row>
    <row r="22891" spans="1:8" ht="15" x14ac:dyDescent="0.2">
      <c r="A22891" s="1081">
        <v>45686</v>
      </c>
      <c r="B22891" s="1082" t="s">
        <v>15004</v>
      </c>
      <c r="C22891" s="1082" t="s">
        <v>10972</v>
      </c>
      <c r="D22891" s="1123" t="s">
        <v>15824</v>
      </c>
      <c r="E22891" s="1083">
        <v>5761</v>
      </c>
      <c r="F22891" s="1083"/>
      <c r="G22891" s="125">
        <f t="shared" si="632"/>
        <v>-5761</v>
      </c>
      <c r="H22891" s="704" t="s">
        <v>15778</v>
      </c>
    </row>
    <row r="22892" spans="1:8" ht="15" x14ac:dyDescent="0.2">
      <c r="A22892" s="1081">
        <v>45686</v>
      </c>
      <c r="B22892" s="1082" t="s">
        <v>14351</v>
      </c>
      <c r="C22892" s="1082" t="s">
        <v>10972</v>
      </c>
      <c r="D22892" s="1123" t="s">
        <v>15825</v>
      </c>
      <c r="E22892" s="1083">
        <v>4900</v>
      </c>
      <c r="F22892" s="1083"/>
      <c r="G22892" s="125">
        <f t="shared" si="632"/>
        <v>-4900</v>
      </c>
      <c r="H22892" s="704" t="s">
        <v>15778</v>
      </c>
    </row>
    <row r="22893" spans="1:8" ht="15" x14ac:dyDescent="0.2">
      <c r="A22893" s="1081">
        <v>45686</v>
      </c>
      <c r="B22893" s="1082" t="s">
        <v>103</v>
      </c>
      <c r="C22893" s="1082" t="s">
        <v>391</v>
      </c>
      <c r="D22893" s="1123" t="s">
        <v>10199</v>
      </c>
      <c r="E22893" s="1083">
        <v>4000</v>
      </c>
      <c r="F22893" s="1083"/>
      <c r="G22893" s="125">
        <f t="shared" ref="G22893" si="633">F22893-E22893</f>
        <v>-4000</v>
      </c>
      <c r="H22893" s="704" t="s">
        <v>15778</v>
      </c>
    </row>
    <row r="22894" spans="1:8" ht="19.5" customHeight="1" x14ac:dyDescent="0.2">
      <c r="A22894" s="1081">
        <v>45686</v>
      </c>
      <c r="B22894" s="1082" t="s">
        <v>14351</v>
      </c>
      <c r="C22894" s="669" t="s">
        <v>437</v>
      </c>
      <c r="D22894" s="905" t="s">
        <v>15831</v>
      </c>
      <c r="E22894" s="671">
        <v>124300</v>
      </c>
      <c r="F22894" s="1083"/>
      <c r="G22894" s="125">
        <f t="shared" ref="G22894:G22897" si="634">F22894-E22894</f>
        <v>-124300</v>
      </c>
      <c r="H22894" s="704" t="s">
        <v>15778</v>
      </c>
    </row>
    <row r="22895" spans="1:8" ht="18.75" customHeight="1" x14ac:dyDescent="0.2">
      <c r="A22895" s="1081">
        <v>45686</v>
      </c>
      <c r="B22895" s="1082" t="s">
        <v>14232</v>
      </c>
      <c r="C22895" s="669" t="s">
        <v>437</v>
      </c>
      <c r="D22895" s="905" t="s">
        <v>15832</v>
      </c>
      <c r="E22895" s="671">
        <v>98000</v>
      </c>
      <c r="F22895" s="1083"/>
      <c r="G22895" s="125">
        <f t="shared" si="634"/>
        <v>-98000</v>
      </c>
      <c r="H22895" s="704" t="s">
        <v>15778</v>
      </c>
    </row>
    <row r="22896" spans="1:8" ht="15" x14ac:dyDescent="0.2">
      <c r="A22896" s="1081">
        <v>45686</v>
      </c>
      <c r="B22896" s="1082" t="s">
        <v>13240</v>
      </c>
      <c r="C22896" s="1082" t="s">
        <v>12919</v>
      </c>
      <c r="D22896" s="1123" t="s">
        <v>15827</v>
      </c>
      <c r="E22896" s="1083">
        <v>310000</v>
      </c>
      <c r="F22896" s="1083"/>
      <c r="G22896" s="125">
        <f t="shared" si="634"/>
        <v>-310000</v>
      </c>
      <c r="H22896" s="704" t="s">
        <v>15778</v>
      </c>
    </row>
    <row r="22897" spans="1:8" ht="15" x14ac:dyDescent="0.2">
      <c r="A22897" s="1081">
        <v>45686</v>
      </c>
      <c r="B22897" s="1082" t="s">
        <v>14232</v>
      </c>
      <c r="C22897" s="1082" t="s">
        <v>14180</v>
      </c>
      <c r="D22897" s="1123" t="s">
        <v>15830</v>
      </c>
      <c r="E22897" s="1083">
        <v>1000000</v>
      </c>
      <c r="F22897" s="1083"/>
      <c r="G22897" s="125">
        <f t="shared" si="634"/>
        <v>-1000000</v>
      </c>
      <c r="H22897" s="704" t="s">
        <v>15778</v>
      </c>
    </row>
    <row r="22898" spans="1:8" ht="15" x14ac:dyDescent="0.2">
      <c r="A22898" s="1081">
        <v>45687</v>
      </c>
      <c r="B22898" s="1082" t="s">
        <v>14351</v>
      </c>
      <c r="C22898" s="1082" t="s">
        <v>10972</v>
      </c>
      <c r="D22898" s="1123" t="s">
        <v>15833</v>
      </c>
      <c r="E22898" s="1083">
        <v>13600</v>
      </c>
      <c r="F22898" s="1083"/>
      <c r="G22898" s="125">
        <f t="shared" ref="G22898:G22909" si="635">F22898-E22898</f>
        <v>-13600</v>
      </c>
      <c r="H22898" s="704" t="s">
        <v>15778</v>
      </c>
    </row>
    <row r="22899" spans="1:8" ht="15" x14ac:dyDescent="0.2">
      <c r="A22899" s="1081">
        <v>45687</v>
      </c>
      <c r="B22899" s="1082" t="s">
        <v>14334</v>
      </c>
      <c r="C22899" s="1082" t="s">
        <v>10972</v>
      </c>
      <c r="D22899" s="1123" t="s">
        <v>15834</v>
      </c>
      <c r="E22899" s="1083">
        <v>12236</v>
      </c>
      <c r="F22899" s="1083"/>
      <c r="G22899" s="125">
        <f t="shared" si="635"/>
        <v>-12236</v>
      </c>
      <c r="H22899" s="704" t="s">
        <v>15778</v>
      </c>
    </row>
    <row r="22900" spans="1:8" ht="15" x14ac:dyDescent="0.2">
      <c r="A22900" s="1081">
        <v>45687</v>
      </c>
      <c r="B22900" s="1082" t="s">
        <v>14232</v>
      </c>
      <c r="C22900" s="1082" t="s">
        <v>10972</v>
      </c>
      <c r="D22900" s="1123" t="s">
        <v>12497</v>
      </c>
      <c r="E22900" s="1083">
        <v>17600</v>
      </c>
      <c r="F22900" s="1083"/>
      <c r="G22900" s="125">
        <f t="shared" si="635"/>
        <v>-17600</v>
      </c>
      <c r="H22900" s="704" t="s">
        <v>15778</v>
      </c>
    </row>
    <row r="22901" spans="1:8" ht="15" x14ac:dyDescent="0.2">
      <c r="A22901" s="1081">
        <v>45687</v>
      </c>
      <c r="B22901" s="1082" t="s">
        <v>14351</v>
      </c>
      <c r="C22901" s="1082" t="s">
        <v>10972</v>
      </c>
      <c r="D22901" s="1123" t="s">
        <v>15835</v>
      </c>
      <c r="E22901" s="1083">
        <v>1000</v>
      </c>
      <c r="F22901" s="1083"/>
      <c r="G22901" s="125">
        <f t="shared" si="635"/>
        <v>-1000</v>
      </c>
      <c r="H22901" s="704" t="s">
        <v>15778</v>
      </c>
    </row>
    <row r="22902" spans="1:8" ht="15" x14ac:dyDescent="0.2">
      <c r="A22902" s="1081">
        <v>45687</v>
      </c>
      <c r="B22902" s="1082" t="s">
        <v>13240</v>
      </c>
      <c r="C22902" s="1082" t="s">
        <v>391</v>
      </c>
      <c r="D22902" s="1123" t="s">
        <v>15836</v>
      </c>
      <c r="E22902" s="1083">
        <v>15000</v>
      </c>
      <c r="F22902" s="1083"/>
      <c r="G22902" s="125">
        <f t="shared" si="635"/>
        <v>-15000</v>
      </c>
      <c r="H22902" s="704" t="s">
        <v>15778</v>
      </c>
    </row>
    <row r="22903" spans="1:8" ht="15" x14ac:dyDescent="0.2">
      <c r="A22903" s="1081">
        <v>45687</v>
      </c>
      <c r="B22903" s="1082" t="s">
        <v>13213</v>
      </c>
      <c r="C22903" s="1082" t="s">
        <v>8941</v>
      </c>
      <c r="D22903" s="1123" t="s">
        <v>15837</v>
      </c>
      <c r="E22903" s="1083">
        <v>11960</v>
      </c>
      <c r="F22903" s="1083"/>
      <c r="G22903" s="125">
        <f t="shared" si="635"/>
        <v>-11960</v>
      </c>
      <c r="H22903" s="704" t="s">
        <v>15778</v>
      </c>
    </row>
    <row r="22904" spans="1:8" ht="15" x14ac:dyDescent="0.2">
      <c r="A22904" s="1081">
        <v>45687</v>
      </c>
      <c r="B22904" s="1082" t="s">
        <v>11068</v>
      </c>
      <c r="C22904" s="1082" t="s">
        <v>5740</v>
      </c>
      <c r="D22904" s="1123" t="s">
        <v>369</v>
      </c>
      <c r="E22904" s="1083">
        <v>1200</v>
      </c>
      <c r="F22904" s="1083"/>
      <c r="G22904" s="125">
        <f t="shared" si="635"/>
        <v>-1200</v>
      </c>
      <c r="H22904" s="704" t="s">
        <v>15778</v>
      </c>
    </row>
    <row r="22905" spans="1:8" ht="15" x14ac:dyDescent="0.2">
      <c r="A22905" s="1081">
        <v>45687</v>
      </c>
      <c r="B22905" s="1082" t="s">
        <v>10351</v>
      </c>
      <c r="C22905" s="1082" t="s">
        <v>285</v>
      </c>
      <c r="D22905" s="1123" t="s">
        <v>15838</v>
      </c>
      <c r="E22905" s="1083">
        <v>10000</v>
      </c>
      <c r="F22905" s="1083"/>
      <c r="G22905" s="125">
        <f t="shared" si="635"/>
        <v>-10000</v>
      </c>
      <c r="H22905" s="704" t="s">
        <v>15778</v>
      </c>
    </row>
    <row r="22906" spans="1:8" ht="15" x14ac:dyDescent="0.2">
      <c r="A22906" s="1081">
        <v>45687</v>
      </c>
      <c r="B22906" s="1082" t="s">
        <v>12671</v>
      </c>
      <c r="C22906" s="1082" t="s">
        <v>10972</v>
      </c>
      <c r="D22906" s="1123" t="s">
        <v>15839</v>
      </c>
      <c r="E22906" s="1083">
        <v>1500</v>
      </c>
      <c r="F22906" s="1083"/>
      <c r="G22906" s="125">
        <f t="shared" si="635"/>
        <v>-1500</v>
      </c>
      <c r="H22906" s="704" t="s">
        <v>15778</v>
      </c>
    </row>
    <row r="22907" spans="1:8" ht="15" x14ac:dyDescent="0.2">
      <c r="A22907" s="1081">
        <v>45687</v>
      </c>
      <c r="B22907" s="1082" t="s">
        <v>15338</v>
      </c>
      <c r="C22907" s="1082" t="s">
        <v>5740</v>
      </c>
      <c r="D22907" s="1123" t="s">
        <v>369</v>
      </c>
      <c r="E22907" s="1083">
        <v>1500</v>
      </c>
      <c r="F22907" s="1083"/>
      <c r="G22907" s="125">
        <f t="shared" si="635"/>
        <v>-1500</v>
      </c>
      <c r="H22907" s="704" t="s">
        <v>15778</v>
      </c>
    </row>
    <row r="22908" spans="1:8" ht="15" x14ac:dyDescent="0.2">
      <c r="A22908" s="1081">
        <v>45687</v>
      </c>
      <c r="B22908" s="1082" t="s">
        <v>15004</v>
      </c>
      <c r="C22908" s="1082" t="s">
        <v>10972</v>
      </c>
      <c r="D22908" s="1123" t="s">
        <v>15840</v>
      </c>
      <c r="E22908" s="1083">
        <v>3430</v>
      </c>
      <c r="F22908" s="1083"/>
      <c r="G22908" s="125">
        <f t="shared" si="635"/>
        <v>-3430</v>
      </c>
      <c r="H22908" s="704" t="s">
        <v>15778</v>
      </c>
    </row>
    <row r="22909" spans="1:8" ht="15" x14ac:dyDescent="0.2">
      <c r="A22909" s="1081">
        <v>45687</v>
      </c>
      <c r="B22909" s="1082" t="s">
        <v>103</v>
      </c>
      <c r="C22909" s="1082" t="s">
        <v>391</v>
      </c>
      <c r="D22909" s="1123" t="s">
        <v>10199</v>
      </c>
      <c r="E22909" s="1083">
        <v>4000</v>
      </c>
      <c r="F22909" s="1083"/>
      <c r="G22909" s="125">
        <f t="shared" si="635"/>
        <v>-4000</v>
      </c>
      <c r="H22909" s="704" t="s">
        <v>15778</v>
      </c>
    </row>
    <row r="22910" spans="1:8" ht="15" x14ac:dyDescent="0.2">
      <c r="A22910" s="1081">
        <v>45687</v>
      </c>
      <c r="B22910" s="1082" t="s">
        <v>14334</v>
      </c>
      <c r="C22910" s="669" t="s">
        <v>15046</v>
      </c>
      <c r="D22910" s="905" t="s">
        <v>15841</v>
      </c>
      <c r="E22910" s="671">
        <v>45741</v>
      </c>
      <c r="F22910" s="1083"/>
      <c r="G22910" s="125">
        <f t="shared" ref="G22910" si="636">F22910-E22910</f>
        <v>-45741</v>
      </c>
      <c r="H22910" s="704" t="s">
        <v>15778</v>
      </c>
    </row>
    <row r="22911" spans="1:8" ht="15" x14ac:dyDescent="0.2">
      <c r="A22911" s="1081">
        <v>45687</v>
      </c>
      <c r="B22911" s="1082" t="s">
        <v>14718</v>
      </c>
      <c r="C22911" s="669" t="s">
        <v>15046</v>
      </c>
      <c r="D22911" s="905" t="s">
        <v>15841</v>
      </c>
      <c r="E22911" s="671">
        <v>140000</v>
      </c>
      <c r="F22911" s="1083"/>
      <c r="G22911" s="125">
        <f t="shared" ref="G22911:G22920" si="637">F22911-E22911</f>
        <v>-140000</v>
      </c>
      <c r="H22911" s="704" t="s">
        <v>15778</v>
      </c>
    </row>
    <row r="22912" spans="1:8" ht="15" x14ac:dyDescent="0.2">
      <c r="A22912" s="1081">
        <v>45687</v>
      </c>
      <c r="B22912" s="1082" t="s">
        <v>14232</v>
      </c>
      <c r="C22912" s="669" t="s">
        <v>15046</v>
      </c>
      <c r="D22912" s="905" t="s">
        <v>15841</v>
      </c>
      <c r="E22912" s="671">
        <v>31000</v>
      </c>
      <c r="F22912" s="1083"/>
      <c r="G22912" s="125">
        <f t="shared" si="637"/>
        <v>-31000</v>
      </c>
      <c r="H22912" s="704" t="s">
        <v>15778</v>
      </c>
    </row>
    <row r="22913" spans="1:8" ht="15" x14ac:dyDescent="0.2">
      <c r="A22913" s="1081">
        <v>45688</v>
      </c>
      <c r="B22913" s="1082" t="s">
        <v>25</v>
      </c>
      <c r="C22913" s="1082" t="s">
        <v>8141</v>
      </c>
      <c r="D22913" s="1123" t="s">
        <v>15842</v>
      </c>
      <c r="E22913" s="1083">
        <v>770</v>
      </c>
      <c r="F22913" s="1083"/>
      <c r="G22913" s="125">
        <f t="shared" si="637"/>
        <v>-770</v>
      </c>
      <c r="H22913" s="704" t="s">
        <v>15778</v>
      </c>
    </row>
    <row r="22914" spans="1:8" ht="15" x14ac:dyDescent="0.2">
      <c r="A22914" s="1081">
        <v>45688</v>
      </c>
      <c r="B22914" s="1082" t="s">
        <v>103</v>
      </c>
      <c r="C22914" s="1082" t="s">
        <v>8141</v>
      </c>
      <c r="D22914" s="1123" t="s">
        <v>15842</v>
      </c>
      <c r="E22914" s="1083">
        <v>800</v>
      </c>
      <c r="F22914" s="1083"/>
      <c r="G22914" s="125">
        <f t="shared" si="637"/>
        <v>-800</v>
      </c>
      <c r="H22914" s="704" t="s">
        <v>15778</v>
      </c>
    </row>
    <row r="22915" spans="1:8" ht="15" x14ac:dyDescent="0.2">
      <c r="A22915" s="1081">
        <v>45688</v>
      </c>
      <c r="B22915" s="1082" t="s">
        <v>14351</v>
      </c>
      <c r="C22915" s="1082" t="s">
        <v>10972</v>
      </c>
      <c r="D22915" s="1123" t="s">
        <v>15843</v>
      </c>
      <c r="E22915" s="1083">
        <v>3515</v>
      </c>
      <c r="F22915" s="1083"/>
      <c r="G22915" s="125">
        <f t="shared" si="637"/>
        <v>-3515</v>
      </c>
      <c r="H22915" s="704" t="s">
        <v>15778</v>
      </c>
    </row>
    <row r="22916" spans="1:8" ht="15" x14ac:dyDescent="0.2">
      <c r="A22916" s="1081">
        <v>45688</v>
      </c>
      <c r="B22916" s="1082" t="s">
        <v>15338</v>
      </c>
      <c r="C22916" s="1082" t="s">
        <v>5740</v>
      </c>
      <c r="D22916" s="1123" t="s">
        <v>11871</v>
      </c>
      <c r="E22916" s="1083">
        <v>1000</v>
      </c>
      <c r="F22916" s="1083"/>
      <c r="G22916" s="125">
        <f t="shared" si="637"/>
        <v>-1000</v>
      </c>
      <c r="H22916" s="704" t="s">
        <v>15778</v>
      </c>
    </row>
    <row r="22917" spans="1:8" ht="15" x14ac:dyDescent="0.2">
      <c r="A22917" s="1081">
        <v>45688</v>
      </c>
      <c r="B22917" s="1082" t="s">
        <v>14232</v>
      </c>
      <c r="C22917" s="1082" t="s">
        <v>5740</v>
      </c>
      <c r="D22917" s="1123" t="s">
        <v>369</v>
      </c>
      <c r="E22917" s="1083">
        <v>3000</v>
      </c>
      <c r="F22917" s="1083"/>
      <c r="G22917" s="125">
        <f t="shared" si="637"/>
        <v>-3000</v>
      </c>
      <c r="H22917" s="704" t="s">
        <v>15778</v>
      </c>
    </row>
    <row r="22918" spans="1:8" ht="15" x14ac:dyDescent="0.2">
      <c r="A22918" s="1081">
        <v>45688</v>
      </c>
      <c r="B22918" s="1082" t="s">
        <v>12671</v>
      </c>
      <c r="C22918" s="1082" t="s">
        <v>391</v>
      </c>
      <c r="D22918" s="1123" t="s">
        <v>15844</v>
      </c>
      <c r="E22918" s="1083">
        <v>2100</v>
      </c>
      <c r="F22918" s="1083"/>
      <c r="G22918" s="125">
        <f t="shared" si="637"/>
        <v>-2100</v>
      </c>
      <c r="H22918" s="704" t="s">
        <v>15778</v>
      </c>
    </row>
    <row r="22919" spans="1:8" ht="15" x14ac:dyDescent="0.2">
      <c r="A22919" s="1081">
        <v>45688</v>
      </c>
      <c r="B22919" s="1082" t="s">
        <v>15261</v>
      </c>
      <c r="C22919" s="1082" t="s">
        <v>391</v>
      </c>
      <c r="D22919" s="1123" t="s">
        <v>15845</v>
      </c>
      <c r="E22919" s="1083">
        <v>1500</v>
      </c>
      <c r="F22919" s="1083"/>
      <c r="G22919" s="125">
        <f t="shared" si="637"/>
        <v>-1500</v>
      </c>
      <c r="H22919" s="704" t="s">
        <v>15778</v>
      </c>
    </row>
    <row r="22920" spans="1:8" ht="15" x14ac:dyDescent="0.2">
      <c r="A22920" s="1081">
        <v>45688</v>
      </c>
      <c r="B22920" s="1082" t="s">
        <v>13240</v>
      </c>
      <c r="C22920" s="1082" t="s">
        <v>285</v>
      </c>
      <c r="D22920" s="1123" t="s">
        <v>15846</v>
      </c>
      <c r="E22920" s="1083">
        <v>2000</v>
      </c>
      <c r="F22920" s="1083"/>
      <c r="G22920" s="125">
        <f t="shared" si="637"/>
        <v>-2000</v>
      </c>
      <c r="H22920" s="704" t="s">
        <v>15778</v>
      </c>
    </row>
    <row r="22921" spans="1:8" ht="15" x14ac:dyDescent="0.2">
      <c r="A22921" s="1081">
        <v>45688</v>
      </c>
      <c r="B22921" s="1082" t="s">
        <v>103</v>
      </c>
      <c r="C22921" s="1082" t="s">
        <v>793</v>
      </c>
      <c r="D22921" s="1123" t="s">
        <v>15861</v>
      </c>
      <c r="E22921" s="1083">
        <v>7000</v>
      </c>
      <c r="F22921" s="1083"/>
      <c r="G22921" s="125">
        <f t="shared" ref="G22921:G22924" si="638">F22921-E22921</f>
        <v>-7000</v>
      </c>
      <c r="H22921" s="704" t="s">
        <v>15778</v>
      </c>
    </row>
    <row r="22922" spans="1:8" ht="15" x14ac:dyDescent="0.2">
      <c r="A22922" s="1081">
        <v>45688</v>
      </c>
      <c r="B22922" s="1082" t="s">
        <v>14351</v>
      </c>
      <c r="C22922" s="1082" t="s">
        <v>5740</v>
      </c>
      <c r="D22922" s="1123" t="s">
        <v>369</v>
      </c>
      <c r="E22922" s="1083">
        <v>2000</v>
      </c>
      <c r="F22922" s="1083"/>
      <c r="G22922" s="125">
        <f t="shared" si="638"/>
        <v>-2000</v>
      </c>
      <c r="H22922" s="704" t="s">
        <v>15778</v>
      </c>
    </row>
    <row r="22923" spans="1:8" ht="15" x14ac:dyDescent="0.2">
      <c r="A22923" s="1081">
        <v>45688</v>
      </c>
      <c r="B22923" s="1082" t="s">
        <v>13240</v>
      </c>
      <c r="C22923" s="1082" t="s">
        <v>5740</v>
      </c>
      <c r="D22923" s="1123" t="s">
        <v>369</v>
      </c>
      <c r="E22923" s="1083">
        <v>1000</v>
      </c>
      <c r="F22923" s="1083"/>
      <c r="G22923" s="125">
        <f t="shared" si="638"/>
        <v>-1000</v>
      </c>
      <c r="H22923" s="704" t="s">
        <v>15778</v>
      </c>
    </row>
    <row r="22924" spans="1:8" ht="15" x14ac:dyDescent="0.2">
      <c r="A22924" s="1081">
        <v>45688</v>
      </c>
      <c r="B22924" s="1082" t="s">
        <v>103</v>
      </c>
      <c r="C22924" s="1082" t="s">
        <v>391</v>
      </c>
      <c r="D22924" s="1123" t="s">
        <v>10199</v>
      </c>
      <c r="E22924" s="1083">
        <v>3000</v>
      </c>
      <c r="F22924" s="1083"/>
      <c r="G22924" s="125">
        <f t="shared" si="638"/>
        <v>-3000</v>
      </c>
      <c r="H22924" s="704" t="s">
        <v>15778</v>
      </c>
    </row>
    <row r="22925" spans="1:8" ht="15" x14ac:dyDescent="0.2">
      <c r="A22925" s="1081">
        <v>45688</v>
      </c>
      <c r="B22925" s="1082" t="s">
        <v>11068</v>
      </c>
      <c r="C22925" s="669" t="s">
        <v>15847</v>
      </c>
      <c r="D22925" s="905" t="s">
        <v>15855</v>
      </c>
      <c r="E22925" s="671">
        <v>29697</v>
      </c>
      <c r="F22925" s="1083"/>
      <c r="G22925" s="125">
        <f t="shared" ref="G22925:G22930" si="639">F22925-E22925</f>
        <v>-29697</v>
      </c>
      <c r="H22925" s="704" t="s">
        <v>15778</v>
      </c>
    </row>
    <row r="22926" spans="1:8" ht="15" x14ac:dyDescent="0.2">
      <c r="A22926" s="1081">
        <v>45688</v>
      </c>
      <c r="B22926" s="1082" t="s">
        <v>12671</v>
      </c>
      <c r="C22926" s="669" t="s">
        <v>15847</v>
      </c>
      <c r="D22926" s="905" t="s">
        <v>15855</v>
      </c>
      <c r="E22926" s="671">
        <v>81000</v>
      </c>
      <c r="F22926" s="1083"/>
      <c r="G22926" s="125">
        <f t="shared" ref="G22926:G22928" si="640">F22926-E22926</f>
        <v>-81000</v>
      </c>
      <c r="H22926" s="704" t="s">
        <v>15778</v>
      </c>
    </row>
    <row r="22927" spans="1:8" ht="15" x14ac:dyDescent="0.2">
      <c r="A22927" s="1081">
        <v>45688</v>
      </c>
      <c r="B22927" s="1082" t="s">
        <v>14568</v>
      </c>
      <c r="C22927" s="669" t="s">
        <v>15847</v>
      </c>
      <c r="D22927" s="905" t="s">
        <v>15855</v>
      </c>
      <c r="E22927" s="671">
        <v>147820</v>
      </c>
      <c r="F22927" s="1083"/>
      <c r="G22927" s="125">
        <f t="shared" si="640"/>
        <v>-147820</v>
      </c>
      <c r="H22927" s="704" t="s">
        <v>15778</v>
      </c>
    </row>
    <row r="22928" spans="1:8" ht="15" x14ac:dyDescent="0.2">
      <c r="A22928" s="1081">
        <v>45688</v>
      </c>
      <c r="B22928" s="1082" t="s">
        <v>14232</v>
      </c>
      <c r="C22928" s="669" t="s">
        <v>15847</v>
      </c>
      <c r="D22928" s="905" t="s">
        <v>15855</v>
      </c>
      <c r="E22928" s="671">
        <v>241483</v>
      </c>
      <c r="F22928" s="1083"/>
      <c r="G22928" s="125">
        <f t="shared" si="640"/>
        <v>-241483</v>
      </c>
      <c r="H22928" s="704" t="s">
        <v>15778</v>
      </c>
    </row>
    <row r="22929" spans="1:8" ht="15" x14ac:dyDescent="0.2">
      <c r="A22929" s="1081">
        <v>45688</v>
      </c>
      <c r="B22929" s="1082" t="s">
        <v>15338</v>
      </c>
      <c r="C22929" s="1082" t="s">
        <v>15848</v>
      </c>
      <c r="D22929" s="1123" t="s">
        <v>15849</v>
      </c>
      <c r="E22929" s="1083">
        <v>1000000</v>
      </c>
      <c r="F22929" s="1083"/>
      <c r="G22929" s="125">
        <f t="shared" si="639"/>
        <v>-1000000</v>
      </c>
      <c r="H22929" s="704" t="s">
        <v>15778</v>
      </c>
    </row>
    <row r="22930" spans="1:8" ht="24" x14ac:dyDescent="0.2">
      <c r="A22930" s="1081">
        <v>45688</v>
      </c>
      <c r="B22930" s="1082" t="s">
        <v>14351</v>
      </c>
      <c r="C22930" s="1082" t="s">
        <v>15850</v>
      </c>
      <c r="D22930" s="1123" t="s">
        <v>15851</v>
      </c>
      <c r="E22930" s="1083">
        <v>70000</v>
      </c>
      <c r="F22930" s="1083"/>
      <c r="G22930" s="125">
        <f t="shared" si="639"/>
        <v>-70000</v>
      </c>
      <c r="H22930" s="704" t="s">
        <v>15778</v>
      </c>
    </row>
    <row r="22931" spans="1:8" ht="24" x14ac:dyDescent="0.2">
      <c r="A22931" s="732">
        <v>45658</v>
      </c>
      <c r="B22931" s="173" t="s">
        <v>12671</v>
      </c>
      <c r="C22931" s="173" t="s">
        <v>1197</v>
      </c>
      <c r="D22931" s="227" t="s">
        <v>15411</v>
      </c>
      <c r="E22931" s="235">
        <v>1000000</v>
      </c>
      <c r="F22931" s="235"/>
      <c r="G22931" s="235">
        <f t="shared" si="596"/>
        <v>-1000000</v>
      </c>
      <c r="H22931" s="708" t="s">
        <v>15118</v>
      </c>
    </row>
    <row r="22932" spans="1:8" ht="15" x14ac:dyDescent="0.2">
      <c r="A22932" s="732">
        <v>45658</v>
      </c>
      <c r="B22932" s="173" t="s">
        <v>14351</v>
      </c>
      <c r="C22932" s="173" t="s">
        <v>14431</v>
      </c>
      <c r="D22932" s="227" t="s">
        <v>15448</v>
      </c>
      <c r="E22932" s="235">
        <v>200000</v>
      </c>
      <c r="F22932" s="235"/>
      <c r="G22932" s="235">
        <f t="shared" si="596"/>
        <v>-200000</v>
      </c>
      <c r="H22932" s="708" t="s">
        <v>15118</v>
      </c>
    </row>
    <row r="22933" spans="1:8" ht="15" x14ac:dyDescent="0.2">
      <c r="A22933" s="732">
        <v>45663</v>
      </c>
      <c r="B22933" s="173" t="s">
        <v>11068</v>
      </c>
      <c r="C22933" s="173" t="s">
        <v>15451</v>
      </c>
      <c r="D22933" s="227" t="s">
        <v>15452</v>
      </c>
      <c r="E22933" s="235">
        <v>200000</v>
      </c>
      <c r="F22933" s="235"/>
      <c r="G22933" s="235">
        <f t="shared" si="596"/>
        <v>-200000</v>
      </c>
      <c r="H22933" s="708" t="s">
        <v>15118</v>
      </c>
    </row>
    <row r="22934" spans="1:8" ht="24" x14ac:dyDescent="0.2">
      <c r="A22934" s="732">
        <v>45664</v>
      </c>
      <c r="B22934" s="173" t="s">
        <v>13165</v>
      </c>
      <c r="C22934" s="550" t="s">
        <v>1197</v>
      </c>
      <c r="D22934" s="739" t="s">
        <v>15453</v>
      </c>
      <c r="E22934" s="551">
        <v>952500</v>
      </c>
      <c r="F22934" s="235"/>
      <c r="G22934" s="235">
        <f t="shared" ref="G22934" si="641">F22934-E22934</f>
        <v>-952500</v>
      </c>
      <c r="H22934" s="708" t="s">
        <v>15118</v>
      </c>
    </row>
    <row r="22935" spans="1:8" ht="24" x14ac:dyDescent="0.2">
      <c r="A22935" s="732">
        <v>45664</v>
      </c>
      <c r="B22935" s="173" t="s">
        <v>13240</v>
      </c>
      <c r="C22935" s="550" t="s">
        <v>1197</v>
      </c>
      <c r="D22935" s="739" t="s">
        <v>15453</v>
      </c>
      <c r="E22935" s="551">
        <v>164100</v>
      </c>
      <c r="F22935" s="235"/>
      <c r="G22935" s="235">
        <f t="shared" ref="G22935:G22941" si="642">F22935-E22935</f>
        <v>-164100</v>
      </c>
      <c r="H22935" s="708" t="s">
        <v>15118</v>
      </c>
    </row>
    <row r="22936" spans="1:8" ht="24" x14ac:dyDescent="0.2">
      <c r="A22936" s="732">
        <v>45664</v>
      </c>
      <c r="B22936" s="173" t="s">
        <v>15033</v>
      </c>
      <c r="C22936" s="550" t="s">
        <v>1197</v>
      </c>
      <c r="D22936" s="739" t="s">
        <v>15453</v>
      </c>
      <c r="E22936" s="551">
        <v>74000</v>
      </c>
      <c r="F22936" s="235"/>
      <c r="G22936" s="235">
        <f t="shared" si="642"/>
        <v>-74000</v>
      </c>
      <c r="H22936" s="708" t="s">
        <v>15118</v>
      </c>
    </row>
    <row r="22937" spans="1:8" ht="24" x14ac:dyDescent="0.2">
      <c r="A22937" s="732">
        <v>45664</v>
      </c>
      <c r="B22937" s="173" t="s">
        <v>12671</v>
      </c>
      <c r="C22937" s="550" t="s">
        <v>1197</v>
      </c>
      <c r="D22937" s="739" t="s">
        <v>15453</v>
      </c>
      <c r="E22937" s="551">
        <v>296217</v>
      </c>
      <c r="F22937" s="235"/>
      <c r="G22937" s="235">
        <f t="shared" si="642"/>
        <v>-296217</v>
      </c>
      <c r="H22937" s="708" t="s">
        <v>15118</v>
      </c>
    </row>
    <row r="22938" spans="1:8" ht="24" x14ac:dyDescent="0.2">
      <c r="A22938" s="732">
        <v>45664</v>
      </c>
      <c r="B22938" s="173" t="s">
        <v>11068</v>
      </c>
      <c r="C22938" s="550" t="s">
        <v>1197</v>
      </c>
      <c r="D22938" s="739" t="s">
        <v>15453</v>
      </c>
      <c r="E22938" s="551">
        <v>14683</v>
      </c>
      <c r="F22938" s="235"/>
      <c r="G22938" s="235">
        <f t="shared" si="642"/>
        <v>-14683</v>
      </c>
      <c r="H22938" s="708" t="s">
        <v>15118</v>
      </c>
    </row>
    <row r="22939" spans="1:8" ht="15" x14ac:dyDescent="0.2">
      <c r="A22939" s="732">
        <v>45670</v>
      </c>
      <c r="B22939" s="173" t="s">
        <v>14568</v>
      </c>
      <c r="C22939" s="173" t="s">
        <v>3883</v>
      </c>
      <c r="D22939" s="227" t="s">
        <v>15536</v>
      </c>
      <c r="E22939" s="235">
        <v>150000</v>
      </c>
      <c r="F22939" s="235"/>
      <c r="G22939" s="235">
        <f t="shared" ref="G22939" si="643">F22939-E22939</f>
        <v>-150000</v>
      </c>
      <c r="H22939" s="708" t="s">
        <v>15118</v>
      </c>
    </row>
    <row r="22940" spans="1:8" ht="15" x14ac:dyDescent="0.2">
      <c r="A22940" s="732">
        <v>45670</v>
      </c>
      <c r="B22940" s="173" t="s">
        <v>14568</v>
      </c>
      <c r="C22940" s="173" t="s">
        <v>3883</v>
      </c>
      <c r="D22940" s="227" t="s">
        <v>15537</v>
      </c>
      <c r="E22940" s="235">
        <v>150000</v>
      </c>
      <c r="F22940" s="235"/>
      <c r="G22940" s="235">
        <f t="shared" si="642"/>
        <v>-150000</v>
      </c>
      <c r="H22940" s="708" t="s">
        <v>15118</v>
      </c>
    </row>
    <row r="22941" spans="1:8" ht="15" x14ac:dyDescent="0.2">
      <c r="A22941" s="732">
        <v>45672</v>
      </c>
      <c r="B22941" s="173" t="s">
        <v>14568</v>
      </c>
      <c r="C22941" s="173" t="s">
        <v>12271</v>
      </c>
      <c r="D22941" s="227" t="s">
        <v>15589</v>
      </c>
      <c r="E22941" s="235">
        <v>55000</v>
      </c>
      <c r="F22941" s="235"/>
      <c r="G22941" s="235">
        <f t="shared" si="642"/>
        <v>-55000</v>
      </c>
      <c r="H22941" s="708" t="s">
        <v>15118</v>
      </c>
    </row>
    <row r="22942" spans="1:8" ht="15" x14ac:dyDescent="0.2">
      <c r="A22942" s="732">
        <v>45672</v>
      </c>
      <c r="B22942" s="173" t="s">
        <v>3944</v>
      </c>
      <c r="C22942" s="669" t="s">
        <v>3002</v>
      </c>
      <c r="D22942" s="905" t="s">
        <v>15590</v>
      </c>
      <c r="E22942" s="671">
        <v>45360</v>
      </c>
      <c r="F22942" s="235"/>
      <c r="G22942" s="235">
        <f t="shared" ref="G22942:G22950" si="644">F22942-E22942</f>
        <v>-45360</v>
      </c>
      <c r="H22942" s="708" t="s">
        <v>15118</v>
      </c>
    </row>
    <row r="22943" spans="1:8" ht="15" x14ac:dyDescent="0.2">
      <c r="A22943" s="732">
        <v>45672</v>
      </c>
      <c r="B22943" s="173" t="s">
        <v>3945</v>
      </c>
      <c r="C22943" s="669" t="s">
        <v>3002</v>
      </c>
      <c r="D22943" s="905" t="s">
        <v>15590</v>
      </c>
      <c r="E22943" s="671">
        <v>44880</v>
      </c>
      <c r="F22943" s="235"/>
      <c r="G22943" s="235">
        <f t="shared" si="644"/>
        <v>-44880</v>
      </c>
      <c r="H22943" s="708" t="s">
        <v>15118</v>
      </c>
    </row>
    <row r="22944" spans="1:8" ht="15" x14ac:dyDescent="0.2">
      <c r="A22944" s="732">
        <v>45672</v>
      </c>
      <c r="B22944" s="173" t="s">
        <v>37</v>
      </c>
      <c r="C22944" s="669" t="s">
        <v>3002</v>
      </c>
      <c r="D22944" s="905" t="s">
        <v>15590</v>
      </c>
      <c r="E22944" s="671">
        <v>33872</v>
      </c>
      <c r="F22944" s="235"/>
      <c r="G22944" s="235">
        <f t="shared" si="644"/>
        <v>-33872</v>
      </c>
      <c r="H22944" s="708" t="s">
        <v>15118</v>
      </c>
    </row>
    <row r="22945" spans="1:8" ht="15" x14ac:dyDescent="0.2">
      <c r="A22945" s="732">
        <v>45672</v>
      </c>
      <c r="B22945" s="173" t="s">
        <v>37</v>
      </c>
      <c r="C22945" s="669" t="s">
        <v>3002</v>
      </c>
      <c r="D22945" s="905" t="s">
        <v>15591</v>
      </c>
      <c r="E22945" s="671">
        <v>94725</v>
      </c>
      <c r="F22945" s="235"/>
      <c r="G22945" s="235">
        <f t="shared" si="644"/>
        <v>-94725</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15338</v>
      </c>
      <c r="C22947" s="173" t="s">
        <v>3427</v>
      </c>
      <c r="D22947" s="227" t="s">
        <v>15647</v>
      </c>
      <c r="E22947" s="235">
        <v>200000</v>
      </c>
      <c r="F22947" s="235"/>
      <c r="G22947" s="235">
        <f t="shared" si="644"/>
        <v>-200000</v>
      </c>
      <c r="H22947" s="708" t="s">
        <v>15118</v>
      </c>
    </row>
    <row r="22948" spans="1:8" ht="15" x14ac:dyDescent="0.2">
      <c r="A22948" s="732">
        <v>45679</v>
      </c>
      <c r="B22948" s="173" t="s">
        <v>14718</v>
      </c>
      <c r="C22948" s="173" t="s">
        <v>15184</v>
      </c>
      <c r="D22948" s="227" t="s">
        <v>15648</v>
      </c>
      <c r="E22948" s="235">
        <v>311440</v>
      </c>
      <c r="F22948" s="235"/>
      <c r="G22948" s="235">
        <f t="shared" si="644"/>
        <v>-311440</v>
      </c>
      <c r="H22948" s="708" t="s">
        <v>15118</v>
      </c>
    </row>
    <row r="22949" spans="1:8" ht="15" x14ac:dyDescent="0.2">
      <c r="A22949" s="732">
        <v>45681</v>
      </c>
      <c r="B22949" s="173" t="s">
        <v>13213</v>
      </c>
      <c r="C22949" s="669" t="s">
        <v>13477</v>
      </c>
      <c r="D22949" s="905" t="s">
        <v>15649</v>
      </c>
      <c r="E22949" s="671">
        <v>25000</v>
      </c>
      <c r="F22949" s="235"/>
      <c r="G22949" s="235">
        <f t="shared" si="644"/>
        <v>-25000</v>
      </c>
      <c r="H22949" s="708" t="s">
        <v>15118</v>
      </c>
    </row>
    <row r="22950" spans="1:8" ht="15" x14ac:dyDescent="0.2">
      <c r="A22950" s="732">
        <v>45681</v>
      </c>
      <c r="B22950" s="173" t="s">
        <v>15337</v>
      </c>
      <c r="C22950" s="669" t="s">
        <v>13477</v>
      </c>
      <c r="D22950" s="905" t="s">
        <v>15649</v>
      </c>
      <c r="E22950" s="671">
        <v>160000</v>
      </c>
      <c r="F22950" s="235"/>
      <c r="G22950" s="235">
        <f t="shared" si="644"/>
        <v>-160000</v>
      </c>
      <c r="H22950" s="708" t="s">
        <v>15118</v>
      </c>
    </row>
    <row r="22951" spans="1:8" ht="24" x14ac:dyDescent="0.2">
      <c r="A22951" s="732">
        <v>45681</v>
      </c>
      <c r="B22951" s="173" t="s">
        <v>14351</v>
      </c>
      <c r="C22951" s="173" t="s">
        <v>15121</v>
      </c>
      <c r="D22951" s="227" t="s">
        <v>15626</v>
      </c>
      <c r="E22951" s="235">
        <v>1895435</v>
      </c>
      <c r="F22951" s="235"/>
      <c r="G22951" s="235">
        <f t="shared" ref="G22951:G22952" si="645">F22951-E22951</f>
        <v>-1895435</v>
      </c>
      <c r="H22951" s="708" t="s">
        <v>15118</v>
      </c>
    </row>
    <row r="22952" spans="1:8" ht="15" x14ac:dyDescent="0.2">
      <c r="A22952" s="732">
        <v>45688</v>
      </c>
      <c r="B22952" s="173" t="s">
        <v>15400</v>
      </c>
      <c r="C22952" s="173" t="s">
        <v>15184</v>
      </c>
      <c r="D22952" s="227" t="s">
        <v>15853</v>
      </c>
      <c r="E22952" s="235">
        <v>162472</v>
      </c>
      <c r="F22952" s="235"/>
      <c r="G22952" s="235">
        <f t="shared" si="645"/>
        <v>-162472</v>
      </c>
      <c r="H22952" s="708" t="s">
        <v>15118</v>
      </c>
    </row>
    <row r="22953" spans="1:8" ht="15" x14ac:dyDescent="0.2">
      <c r="A22953" s="729">
        <v>45658</v>
      </c>
      <c r="B22953" s="93" t="s">
        <v>37</v>
      </c>
      <c r="C22953" s="93" t="s">
        <v>558</v>
      </c>
      <c r="D22953" s="890" t="s">
        <v>15408</v>
      </c>
      <c r="E22953" s="175"/>
      <c r="F22953" s="175">
        <v>1261745</v>
      </c>
      <c r="G22953" s="175">
        <f t="shared" ref="G22953" si="646">F22953-E22953</f>
        <v>1261745</v>
      </c>
      <c r="H22953" s="701" t="s">
        <v>15409</v>
      </c>
    </row>
    <row r="22954" spans="1:8" ht="24" x14ac:dyDescent="0.2">
      <c r="A22954" s="729">
        <v>45664</v>
      </c>
      <c r="B22954" s="93" t="s">
        <v>13213</v>
      </c>
      <c r="C22954" s="93" t="s">
        <v>558</v>
      </c>
      <c r="D22954" s="800" t="s">
        <v>15449</v>
      </c>
      <c r="E22954" s="175"/>
      <c r="F22954" s="175">
        <v>5005006</v>
      </c>
      <c r="G22954" s="175">
        <f t="shared" ref="G22954:G22955" si="647">F22954-E22954</f>
        <v>5005006</v>
      </c>
      <c r="H22954" s="701" t="s">
        <v>15409</v>
      </c>
    </row>
    <row r="22955" spans="1:8" ht="15" x14ac:dyDescent="0.2">
      <c r="A22955" s="729">
        <v>45664</v>
      </c>
      <c r="B22955" s="93" t="s">
        <v>13213</v>
      </c>
      <c r="C22955" s="93" t="s">
        <v>558</v>
      </c>
      <c r="D22955" s="896" t="s">
        <v>12006</v>
      </c>
      <c r="E22955" s="642">
        <v>40050</v>
      </c>
      <c r="F22955" s="175"/>
      <c r="G22955" s="175">
        <f t="shared" si="647"/>
        <v>-40050</v>
      </c>
      <c r="H22955" s="701" t="s">
        <v>15409</v>
      </c>
    </row>
    <row r="22956" spans="1:8" ht="24" x14ac:dyDescent="0.2">
      <c r="A22956" s="729">
        <v>45664</v>
      </c>
      <c r="B22956" s="93" t="s">
        <v>13213</v>
      </c>
      <c r="C22956" s="93" t="s">
        <v>558</v>
      </c>
      <c r="D22956" s="800" t="s">
        <v>15450</v>
      </c>
      <c r="E22956" s="175"/>
      <c r="F22956" s="175">
        <v>1501500</v>
      </c>
      <c r="G22956" s="175">
        <f t="shared" ref="G22956:G22958" si="648">F22956-E22956</f>
        <v>1501500</v>
      </c>
      <c r="H22956" s="701" t="s">
        <v>15409</v>
      </c>
    </row>
    <row r="22957" spans="1:8" ht="28.5" customHeight="1" x14ac:dyDescent="0.2">
      <c r="A22957" s="729">
        <v>45664</v>
      </c>
      <c r="B22957" s="93" t="s">
        <v>37</v>
      </c>
      <c r="C22957" s="93" t="s">
        <v>558</v>
      </c>
      <c r="D22957" s="896" t="s">
        <v>15523</v>
      </c>
      <c r="E22957" s="642">
        <v>4542</v>
      </c>
      <c r="F22957" s="175"/>
      <c r="G22957" s="175">
        <f t="shared" si="648"/>
        <v>-4542</v>
      </c>
      <c r="H22957" s="701" t="s">
        <v>15409</v>
      </c>
    </row>
    <row r="22958" spans="1:8" ht="15" x14ac:dyDescent="0.2">
      <c r="A22958" s="729">
        <v>45664</v>
      </c>
      <c r="B22958" s="93" t="s">
        <v>3945</v>
      </c>
      <c r="C22958" s="93" t="s">
        <v>558</v>
      </c>
      <c r="D22958" s="800" t="s">
        <v>15858</v>
      </c>
      <c r="E22958" s="175"/>
      <c r="F22958" s="175">
        <v>401676</v>
      </c>
      <c r="G22958" s="175">
        <f t="shared" si="648"/>
        <v>401676</v>
      </c>
      <c r="H22958" s="701" t="s">
        <v>15409</v>
      </c>
    </row>
    <row r="22959" spans="1:8" ht="24" x14ac:dyDescent="0.2">
      <c r="A22959" s="729">
        <v>45665</v>
      </c>
      <c r="B22959" s="93" t="s">
        <v>12388</v>
      </c>
      <c r="C22959" s="93" t="s">
        <v>558</v>
      </c>
      <c r="D22959" s="800" t="s">
        <v>15454</v>
      </c>
      <c r="E22959" s="175"/>
      <c r="F22959" s="175">
        <v>5000019</v>
      </c>
      <c r="G22959" s="175">
        <f t="shared" ref="G22959:G22960" si="649">F22959-E22959</f>
        <v>5000019</v>
      </c>
      <c r="H22959" s="701" t="s">
        <v>15409</v>
      </c>
    </row>
    <row r="22960" spans="1:8" ht="15" x14ac:dyDescent="0.2">
      <c r="A22960" s="729">
        <v>45665</v>
      </c>
      <c r="B22960" s="93" t="s">
        <v>12388</v>
      </c>
      <c r="C22960" s="93" t="s">
        <v>558</v>
      </c>
      <c r="D22960" s="896" t="s">
        <v>12006</v>
      </c>
      <c r="E22960" s="642">
        <v>40000</v>
      </c>
      <c r="F22960" s="175"/>
      <c r="G22960" s="175">
        <f t="shared" si="649"/>
        <v>-40000</v>
      </c>
      <c r="H22960" s="701" t="s">
        <v>15409</v>
      </c>
    </row>
    <row r="22961" spans="1:8" ht="15" x14ac:dyDescent="0.2">
      <c r="A22961" s="729">
        <v>45671</v>
      </c>
      <c r="B22961" s="93" t="s">
        <v>11707</v>
      </c>
      <c r="C22961" s="93" t="s">
        <v>558</v>
      </c>
      <c r="D22961" s="800" t="s">
        <v>15522</v>
      </c>
      <c r="E22961" s="175"/>
      <c r="F22961" s="175">
        <v>1931558</v>
      </c>
      <c r="G22961" s="175">
        <f t="shared" ref="G22961" si="650">F22961-E22961</f>
        <v>1931558</v>
      </c>
      <c r="H22961" s="701" t="s">
        <v>15409</v>
      </c>
    </row>
    <row r="22962" spans="1:8" ht="24" x14ac:dyDescent="0.2">
      <c r="A22962" s="729">
        <v>45674</v>
      </c>
      <c r="B22962" s="93" t="s">
        <v>12783</v>
      </c>
      <c r="C22962" s="93" t="s">
        <v>558</v>
      </c>
      <c r="D22962" s="800" t="s">
        <v>15577</v>
      </c>
      <c r="E22962" s="175"/>
      <c r="F22962" s="175">
        <v>3489463</v>
      </c>
      <c r="G22962" s="175">
        <f t="shared" ref="G22962" si="651">F22962-E22962</f>
        <v>3489463</v>
      </c>
      <c r="H22962" s="701" t="s">
        <v>15409</v>
      </c>
    </row>
    <row r="22963" spans="1:8" ht="24" x14ac:dyDescent="0.2">
      <c r="A22963" s="729">
        <v>45675</v>
      </c>
      <c r="B22963" s="93" t="s">
        <v>13098</v>
      </c>
      <c r="C22963" s="93" t="s">
        <v>558</v>
      </c>
      <c r="D22963" s="800" t="s">
        <v>15578</v>
      </c>
      <c r="E22963" s="175"/>
      <c r="F22963" s="175">
        <v>2679142</v>
      </c>
      <c r="G22963" s="175">
        <f t="shared" ref="G22963:G22965" si="652">F22963-E22963</f>
        <v>2679142</v>
      </c>
      <c r="H22963" s="701" t="s">
        <v>15409</v>
      </c>
    </row>
    <row r="22964" spans="1:8" ht="15" x14ac:dyDescent="0.2">
      <c r="A22964" s="729">
        <v>45675</v>
      </c>
      <c r="B22964" s="93" t="s">
        <v>13098</v>
      </c>
      <c r="C22964" s="93" t="s">
        <v>558</v>
      </c>
      <c r="D22964" s="896" t="s">
        <v>12006</v>
      </c>
      <c r="E22964" s="642">
        <v>26783</v>
      </c>
      <c r="F22964" s="175"/>
      <c r="G22964" s="175">
        <f t="shared" ref="G22964" si="653">F22964-E22964</f>
        <v>-26783</v>
      </c>
      <c r="H22964" s="701" t="s">
        <v>15409</v>
      </c>
    </row>
    <row r="22965" spans="1:8" ht="24" x14ac:dyDescent="0.2">
      <c r="A22965" s="729">
        <v>45680</v>
      </c>
      <c r="B22965" s="93" t="s">
        <v>12388</v>
      </c>
      <c r="C22965" s="93" t="s">
        <v>558</v>
      </c>
      <c r="D22965" s="800" t="s">
        <v>15626</v>
      </c>
      <c r="E22965" s="175"/>
      <c r="F22965" s="175">
        <v>1895435</v>
      </c>
      <c r="G22965" s="175">
        <f t="shared" si="652"/>
        <v>1895435</v>
      </c>
      <c r="H22965" s="701" t="s">
        <v>15409</v>
      </c>
    </row>
    <row r="22966" spans="1:8" ht="24" x14ac:dyDescent="0.2">
      <c r="A22966" s="729">
        <v>45685</v>
      </c>
      <c r="B22966" s="93" t="s">
        <v>11068</v>
      </c>
      <c r="C22966" s="93" t="s">
        <v>558</v>
      </c>
      <c r="D22966" s="800" t="s">
        <v>15791</v>
      </c>
      <c r="E22966" s="175"/>
      <c r="F22966" s="175">
        <v>3637888</v>
      </c>
      <c r="G22966" s="175">
        <f t="shared" ref="G22966:G23096" si="654">F22966-E22966</f>
        <v>3637888</v>
      </c>
      <c r="H22966" s="701" t="s">
        <v>15409</v>
      </c>
    </row>
    <row r="22967" spans="1:8" ht="24" x14ac:dyDescent="0.2">
      <c r="A22967" s="729">
        <v>45685</v>
      </c>
      <c r="B22967" s="93" t="s">
        <v>11068</v>
      </c>
      <c r="C22967" s="93" t="s">
        <v>558</v>
      </c>
      <c r="D22967" s="800" t="s">
        <v>15792</v>
      </c>
      <c r="E22967" s="175"/>
      <c r="F22967" s="175">
        <v>3620988</v>
      </c>
      <c r="G22967" s="175">
        <f t="shared" si="654"/>
        <v>3620988</v>
      </c>
      <c r="H22967" s="701" t="s">
        <v>15409</v>
      </c>
    </row>
    <row r="22968" spans="1:8" ht="24" x14ac:dyDescent="0.2">
      <c r="A22968" s="729">
        <v>45685</v>
      </c>
      <c r="B22968" s="93" t="s">
        <v>11068</v>
      </c>
      <c r="C22968" s="93" t="s">
        <v>558</v>
      </c>
      <c r="D22968" s="800" t="s">
        <v>15793</v>
      </c>
      <c r="E22968" s="175"/>
      <c r="F22968" s="175">
        <v>3604088</v>
      </c>
      <c r="G22968" s="175">
        <f t="shared" si="654"/>
        <v>3604088</v>
      </c>
      <c r="H22968" s="701" t="s">
        <v>15409</v>
      </c>
    </row>
    <row r="22969" spans="1:8" ht="15" x14ac:dyDescent="0.2">
      <c r="A22969" s="729">
        <v>45685</v>
      </c>
      <c r="B22969" s="93" t="s">
        <v>11068</v>
      </c>
      <c r="C22969" s="93" t="s">
        <v>558</v>
      </c>
      <c r="D22969" s="896" t="s">
        <v>12006</v>
      </c>
      <c r="E22969" s="642">
        <v>36378</v>
      </c>
      <c r="F22969" s="175"/>
      <c r="G22969" s="175">
        <f t="shared" ref="G22969:G22971" si="655">F22969-E22969</f>
        <v>-36378</v>
      </c>
      <c r="H22969" s="701" t="s">
        <v>15409</v>
      </c>
    </row>
    <row r="22970" spans="1:8" ht="15" x14ac:dyDescent="0.2">
      <c r="A22970" s="729">
        <v>45685</v>
      </c>
      <c r="B22970" s="93" t="s">
        <v>11068</v>
      </c>
      <c r="C22970" s="93" t="s">
        <v>558</v>
      </c>
      <c r="D22970" s="896" t="s">
        <v>12006</v>
      </c>
      <c r="E22970" s="642">
        <v>36209</v>
      </c>
      <c r="F22970" s="175"/>
      <c r="G22970" s="175">
        <f t="shared" si="655"/>
        <v>-36209</v>
      </c>
      <c r="H22970" s="701" t="s">
        <v>15409</v>
      </c>
    </row>
    <row r="22971" spans="1:8" ht="15" x14ac:dyDescent="0.2">
      <c r="A22971" s="729">
        <v>45685</v>
      </c>
      <c r="B22971" s="93" t="s">
        <v>11068</v>
      </c>
      <c r="C22971" s="93" t="s">
        <v>558</v>
      </c>
      <c r="D22971" s="896" t="s">
        <v>12006</v>
      </c>
      <c r="E22971" s="642">
        <v>36040</v>
      </c>
      <c r="F22971" s="175"/>
      <c r="G22971" s="175">
        <f t="shared" si="655"/>
        <v>-36040</v>
      </c>
      <c r="H22971" s="701" t="s">
        <v>15409</v>
      </c>
    </row>
    <row r="22972" spans="1:8" ht="15" x14ac:dyDescent="0.2">
      <c r="A22972" s="1081">
        <v>45689</v>
      </c>
      <c r="B22972" s="1082" t="s">
        <v>14232</v>
      </c>
      <c r="C22972" s="1082" t="s">
        <v>10972</v>
      </c>
      <c r="D22972" s="1123" t="s">
        <v>15862</v>
      </c>
      <c r="E22972" s="1083">
        <v>1700</v>
      </c>
      <c r="F22972" s="1083"/>
      <c r="G22972" s="125">
        <f t="shared" ref="G22972:G22976" si="656">F22972-E22972</f>
        <v>-1700</v>
      </c>
      <c r="H22972" s="704" t="s">
        <v>15860</v>
      </c>
    </row>
    <row r="22973" spans="1:8" ht="15" x14ac:dyDescent="0.2">
      <c r="A22973" s="1081">
        <v>45689</v>
      </c>
      <c r="B22973" s="1082" t="s">
        <v>15261</v>
      </c>
      <c r="C22973" s="1082" t="s">
        <v>10972</v>
      </c>
      <c r="D22973" s="1123" t="s">
        <v>15863</v>
      </c>
      <c r="E22973" s="1083">
        <v>1160</v>
      </c>
      <c r="F22973" s="1083"/>
      <c r="G22973" s="125">
        <f t="shared" si="656"/>
        <v>-1160</v>
      </c>
      <c r="H22973" s="704" t="s">
        <v>15860</v>
      </c>
    </row>
    <row r="22974" spans="1:8" ht="15" x14ac:dyDescent="0.2">
      <c r="A22974" s="1081">
        <v>45689</v>
      </c>
      <c r="B22974" s="1082" t="s">
        <v>15261</v>
      </c>
      <c r="C22974" s="1082" t="s">
        <v>10972</v>
      </c>
      <c r="D22974" s="1123" t="s">
        <v>15864</v>
      </c>
      <c r="E22974" s="1083">
        <v>11850</v>
      </c>
      <c r="F22974" s="1083"/>
      <c r="G22974" s="125">
        <f t="shared" si="656"/>
        <v>-11850</v>
      </c>
      <c r="H22974" s="704" t="s">
        <v>15860</v>
      </c>
    </row>
    <row r="22975" spans="1:8" ht="15" x14ac:dyDescent="0.2">
      <c r="A22975" s="1081">
        <v>45689</v>
      </c>
      <c r="B22975" s="1082" t="s">
        <v>15865</v>
      </c>
      <c r="C22975" s="1082" t="s">
        <v>10972</v>
      </c>
      <c r="D22975" s="1123" t="s">
        <v>15866</v>
      </c>
      <c r="E22975" s="1083">
        <v>39600</v>
      </c>
      <c r="F22975" s="1083"/>
      <c r="G22975" s="125">
        <f t="shared" si="656"/>
        <v>-39600</v>
      </c>
      <c r="H22975" s="704" t="s">
        <v>15860</v>
      </c>
    </row>
    <row r="22976" spans="1:8" ht="15" x14ac:dyDescent="0.2">
      <c r="A22976" s="1081">
        <v>45689</v>
      </c>
      <c r="B22976" s="1082" t="s">
        <v>14568</v>
      </c>
      <c r="C22976" s="1082" t="s">
        <v>5740</v>
      </c>
      <c r="D22976" s="1123" t="s">
        <v>369</v>
      </c>
      <c r="E22976" s="1083">
        <v>1500</v>
      </c>
      <c r="F22976" s="1083"/>
      <c r="G22976" s="125">
        <f t="shared" si="656"/>
        <v>-1500</v>
      </c>
      <c r="H22976" s="704" t="s">
        <v>15860</v>
      </c>
    </row>
    <row r="22977" spans="1:8" ht="15" x14ac:dyDescent="0.2">
      <c r="A22977" s="1081">
        <v>45689</v>
      </c>
      <c r="B22977" s="1082" t="s">
        <v>14718</v>
      </c>
      <c r="C22977" s="669" t="s">
        <v>10972</v>
      </c>
      <c r="D22977" s="905" t="s">
        <v>15869</v>
      </c>
      <c r="E22977" s="671">
        <v>24100</v>
      </c>
      <c r="F22977" s="1083"/>
      <c r="G22977" s="125">
        <f t="shared" ref="G22977:G22984" si="657">F22977-E22977</f>
        <v>-24100</v>
      </c>
      <c r="H22977" s="704" t="s">
        <v>15860</v>
      </c>
    </row>
    <row r="22978" spans="1:8" ht="15" x14ac:dyDescent="0.2">
      <c r="A22978" s="1081">
        <v>45689</v>
      </c>
      <c r="B22978" s="1082" t="s">
        <v>15100</v>
      </c>
      <c r="C22978" s="669" t="s">
        <v>10972</v>
      </c>
      <c r="D22978" s="905" t="s">
        <v>15869</v>
      </c>
      <c r="E22978" s="671">
        <v>24300</v>
      </c>
      <c r="F22978" s="1083"/>
      <c r="G22978" s="125">
        <f t="shared" ref="G22978:G22981" si="658">F22978-E22978</f>
        <v>-24300</v>
      </c>
      <c r="H22978" s="704" t="s">
        <v>15860</v>
      </c>
    </row>
    <row r="22979" spans="1:8" ht="15" x14ac:dyDescent="0.2">
      <c r="A22979" s="1081">
        <v>45689</v>
      </c>
      <c r="B22979" s="1082" t="s">
        <v>12671</v>
      </c>
      <c r="C22979" s="669" t="s">
        <v>10972</v>
      </c>
      <c r="D22979" s="905" t="s">
        <v>15869</v>
      </c>
      <c r="E22979" s="671">
        <v>24100</v>
      </c>
      <c r="F22979" s="1083"/>
      <c r="G22979" s="125">
        <f t="shared" si="658"/>
        <v>-24100</v>
      </c>
      <c r="H22979" s="704" t="s">
        <v>15860</v>
      </c>
    </row>
    <row r="22980" spans="1:8" ht="15" x14ac:dyDescent="0.2">
      <c r="A22980" s="1081">
        <v>45689</v>
      </c>
      <c r="B22980" s="1082" t="s">
        <v>11068</v>
      </c>
      <c r="C22980" s="1082" t="s">
        <v>15867</v>
      </c>
      <c r="D22980" s="1123" t="s">
        <v>14765</v>
      </c>
      <c r="E22980" s="1083">
        <v>82000</v>
      </c>
      <c r="F22980" s="1083"/>
      <c r="G22980" s="125">
        <f t="shared" si="658"/>
        <v>-82000</v>
      </c>
      <c r="H22980" s="704" t="s">
        <v>15860</v>
      </c>
    </row>
    <row r="22981" spans="1:8" ht="15" x14ac:dyDescent="0.2">
      <c r="A22981" s="1081">
        <v>45689</v>
      </c>
      <c r="B22981" s="1082" t="s">
        <v>15338</v>
      </c>
      <c r="C22981" s="1082" t="s">
        <v>15870</v>
      </c>
      <c r="D22981" s="1123" t="s">
        <v>15868</v>
      </c>
      <c r="E22981" s="1083">
        <v>101900</v>
      </c>
      <c r="F22981" s="1083"/>
      <c r="G22981" s="125">
        <f t="shared" si="658"/>
        <v>-101900</v>
      </c>
      <c r="H22981" s="704" t="s">
        <v>15860</v>
      </c>
    </row>
    <row r="22982" spans="1:8" ht="15" x14ac:dyDescent="0.2">
      <c r="A22982" s="1081">
        <v>45689</v>
      </c>
      <c r="B22982" s="1082" t="s">
        <v>14596</v>
      </c>
      <c r="C22982" s="1082" t="s">
        <v>5409</v>
      </c>
      <c r="D22982" s="1123" t="s">
        <v>15871</v>
      </c>
      <c r="E22982" s="1083">
        <v>30000</v>
      </c>
      <c r="F22982" s="1083"/>
      <c r="G22982" s="125">
        <f t="shared" si="657"/>
        <v>-30000</v>
      </c>
      <c r="H22982" s="704" t="s">
        <v>15860</v>
      </c>
    </row>
    <row r="22983" spans="1:8" ht="15" x14ac:dyDescent="0.2">
      <c r="A22983" s="1081">
        <v>45691</v>
      </c>
      <c r="B22983" s="1082" t="s">
        <v>103</v>
      </c>
      <c r="C22983" s="1082" t="s">
        <v>1494</v>
      </c>
      <c r="D22983" s="1123" t="s">
        <v>369</v>
      </c>
      <c r="E22983" s="1083">
        <v>1920</v>
      </c>
      <c r="F22983" s="1083"/>
      <c r="G22983" s="125">
        <f t="shared" si="657"/>
        <v>-1920</v>
      </c>
      <c r="H22983" s="704" t="s">
        <v>15860</v>
      </c>
    </row>
    <row r="22984" spans="1:8" ht="15" x14ac:dyDescent="0.2">
      <c r="A22984" s="1081">
        <v>45691</v>
      </c>
      <c r="B22984" s="1082" t="s">
        <v>14351</v>
      </c>
      <c r="C22984" s="1082" t="s">
        <v>10972</v>
      </c>
      <c r="D22984" s="1123" t="s">
        <v>15876</v>
      </c>
      <c r="E22984" s="1083">
        <v>4600</v>
      </c>
      <c r="F22984" s="1083"/>
      <c r="G22984" s="125">
        <f t="shared" si="657"/>
        <v>-4600</v>
      </c>
      <c r="H22984" s="704" t="s">
        <v>15860</v>
      </c>
    </row>
    <row r="22985" spans="1:8" ht="15" x14ac:dyDescent="0.2">
      <c r="A22985" s="1081">
        <v>45691</v>
      </c>
      <c r="B22985" s="1082" t="s">
        <v>14232</v>
      </c>
      <c r="C22985" s="1082" t="s">
        <v>10972</v>
      </c>
      <c r="D22985" s="1123" t="s">
        <v>15876</v>
      </c>
      <c r="E22985" s="1083">
        <v>4600</v>
      </c>
      <c r="F22985" s="1083"/>
      <c r="G22985" s="125">
        <f t="shared" ref="G22985:G23002" si="659">F22985-E22985</f>
        <v>-4600</v>
      </c>
      <c r="H22985" s="704" t="s">
        <v>15860</v>
      </c>
    </row>
    <row r="22986" spans="1:8" ht="15" x14ac:dyDescent="0.2">
      <c r="A22986" s="1081">
        <v>45691</v>
      </c>
      <c r="B22986" s="1082" t="s">
        <v>12671</v>
      </c>
      <c r="C22986" s="1082" t="s">
        <v>10972</v>
      </c>
      <c r="D22986" s="1123" t="s">
        <v>15872</v>
      </c>
      <c r="E22986" s="1083">
        <v>1900</v>
      </c>
      <c r="F22986" s="1083"/>
      <c r="G22986" s="125">
        <f t="shared" si="659"/>
        <v>-1900</v>
      </c>
      <c r="H22986" s="704" t="s">
        <v>15860</v>
      </c>
    </row>
    <row r="22987" spans="1:8" ht="15" x14ac:dyDescent="0.2">
      <c r="A22987" s="1081">
        <v>45691</v>
      </c>
      <c r="B22987" s="1082" t="s">
        <v>11068</v>
      </c>
      <c r="C22987" s="1082" t="s">
        <v>5740</v>
      </c>
      <c r="D22987" s="1123" t="s">
        <v>369</v>
      </c>
      <c r="E22987" s="1083">
        <v>3500</v>
      </c>
      <c r="F22987" s="1083"/>
      <c r="G22987" s="125">
        <f t="shared" si="659"/>
        <v>-3500</v>
      </c>
      <c r="H22987" s="704" t="s">
        <v>15860</v>
      </c>
    </row>
    <row r="22988" spans="1:8" ht="15" x14ac:dyDescent="0.2">
      <c r="A22988" s="1081">
        <v>45691</v>
      </c>
      <c r="B22988" s="1082" t="s">
        <v>14232</v>
      </c>
      <c r="C22988" s="1082" t="s">
        <v>5740</v>
      </c>
      <c r="D22988" s="1123" t="s">
        <v>14254</v>
      </c>
      <c r="E22988" s="1083">
        <v>1000</v>
      </c>
      <c r="F22988" s="1083"/>
      <c r="G22988" s="125">
        <f t="shared" si="659"/>
        <v>-1000</v>
      </c>
      <c r="H22988" s="704" t="s">
        <v>15860</v>
      </c>
    </row>
    <row r="22989" spans="1:8" ht="15" x14ac:dyDescent="0.2">
      <c r="A22989" s="1081">
        <v>45691</v>
      </c>
      <c r="B22989" s="1082" t="s">
        <v>14334</v>
      </c>
      <c r="C22989" s="1082" t="s">
        <v>5386</v>
      </c>
      <c r="D22989" s="1123" t="s">
        <v>15873</v>
      </c>
      <c r="E22989" s="1083">
        <v>20000</v>
      </c>
      <c r="F22989" s="1083"/>
      <c r="G22989" s="125">
        <f t="shared" si="659"/>
        <v>-20000</v>
      </c>
      <c r="H22989" s="704" t="s">
        <v>15860</v>
      </c>
    </row>
    <row r="22990" spans="1:8" ht="15" x14ac:dyDescent="0.2">
      <c r="A22990" s="1081">
        <v>45691</v>
      </c>
      <c r="B22990" s="1082" t="s">
        <v>103</v>
      </c>
      <c r="C22990" s="1082" t="s">
        <v>391</v>
      </c>
      <c r="D22990" s="1123" t="s">
        <v>10199</v>
      </c>
      <c r="E22990" s="1083">
        <v>3000</v>
      </c>
      <c r="F22990" s="1083"/>
      <c r="G22990" s="125">
        <f t="shared" si="659"/>
        <v>-3000</v>
      </c>
      <c r="H22990" s="704" t="s">
        <v>15860</v>
      </c>
    </row>
    <row r="22991" spans="1:8" ht="15" x14ac:dyDescent="0.2">
      <c r="A22991" s="1081">
        <v>45691</v>
      </c>
      <c r="B22991" s="1082" t="s">
        <v>14334</v>
      </c>
      <c r="C22991" s="1082" t="s">
        <v>285</v>
      </c>
      <c r="D22991" s="1123" t="s">
        <v>15874</v>
      </c>
      <c r="E22991" s="1083">
        <v>2000</v>
      </c>
      <c r="F22991" s="1083"/>
      <c r="G22991" s="125">
        <f t="shared" si="659"/>
        <v>-2000</v>
      </c>
      <c r="H22991" s="704" t="s">
        <v>15860</v>
      </c>
    </row>
    <row r="22992" spans="1:8" ht="15" x14ac:dyDescent="0.2">
      <c r="A22992" s="1081">
        <v>45691</v>
      </c>
      <c r="B22992" s="1082" t="s">
        <v>15430</v>
      </c>
      <c r="C22992" s="1082" t="s">
        <v>5386</v>
      </c>
      <c r="D22992" s="1123" t="s">
        <v>15875</v>
      </c>
      <c r="E22992" s="1083">
        <v>5000</v>
      </c>
      <c r="F22992" s="1083"/>
      <c r="G22992" s="125">
        <f t="shared" si="659"/>
        <v>-5000</v>
      </c>
      <c r="H22992" s="704" t="s">
        <v>15860</v>
      </c>
    </row>
    <row r="22993" spans="1:8" ht="15" x14ac:dyDescent="0.2">
      <c r="A22993" s="1081">
        <v>45691</v>
      </c>
      <c r="B22993" s="1082" t="s">
        <v>103</v>
      </c>
      <c r="C22993" s="1082" t="s">
        <v>391</v>
      </c>
      <c r="D22993" s="1123" t="s">
        <v>14836</v>
      </c>
      <c r="E22993" s="1083">
        <v>2500</v>
      </c>
      <c r="F22993" s="1083"/>
      <c r="G22993" s="125">
        <f t="shared" si="659"/>
        <v>-2500</v>
      </c>
      <c r="H22993" s="704" t="s">
        <v>15860</v>
      </c>
    </row>
    <row r="22994" spans="1:8" ht="24" x14ac:dyDescent="0.2">
      <c r="A22994" s="1081">
        <v>45691</v>
      </c>
      <c r="B22994" s="1082" t="s">
        <v>15430</v>
      </c>
      <c r="C22994" s="1082" t="s">
        <v>11535</v>
      </c>
      <c r="D22994" s="1123" t="s">
        <v>15877</v>
      </c>
      <c r="E22994" s="1083">
        <v>507000</v>
      </c>
      <c r="F22994" s="1083"/>
      <c r="G22994" s="125">
        <f t="shared" si="659"/>
        <v>-507000</v>
      </c>
      <c r="H22994" s="704" t="s">
        <v>15860</v>
      </c>
    </row>
    <row r="22995" spans="1:8" ht="15" x14ac:dyDescent="0.2">
      <c r="A22995" s="1081">
        <v>45691</v>
      </c>
      <c r="B22995" s="1082" t="s">
        <v>11068</v>
      </c>
      <c r="C22995" s="1082" t="s">
        <v>15878</v>
      </c>
      <c r="D22995" s="1123" t="s">
        <v>15879</v>
      </c>
      <c r="E22995" s="1083">
        <v>200000</v>
      </c>
      <c r="F22995" s="1083"/>
      <c r="G22995" s="125">
        <f t="shared" si="659"/>
        <v>-200000</v>
      </c>
      <c r="H22995" s="704" t="s">
        <v>15860</v>
      </c>
    </row>
    <row r="22996" spans="1:8" ht="15" x14ac:dyDescent="0.2">
      <c r="A22996" s="1081">
        <v>45691</v>
      </c>
      <c r="B22996" s="1082" t="s">
        <v>11068</v>
      </c>
      <c r="C22996" s="1082" t="s">
        <v>15878</v>
      </c>
      <c r="D22996" s="1123" t="s">
        <v>15879</v>
      </c>
      <c r="E22996" s="1083">
        <v>200000</v>
      </c>
      <c r="F22996" s="1083"/>
      <c r="G22996" s="125">
        <f t="shared" si="659"/>
        <v>-200000</v>
      </c>
      <c r="H22996" s="704" t="s">
        <v>15860</v>
      </c>
    </row>
    <row r="22997" spans="1:8" ht="15" x14ac:dyDescent="0.2">
      <c r="A22997" s="1081">
        <v>45691</v>
      </c>
      <c r="B22997" s="1082" t="s">
        <v>12594</v>
      </c>
      <c r="C22997" s="1132" t="s">
        <v>793</v>
      </c>
      <c r="D22997" s="1133" t="s">
        <v>12789</v>
      </c>
      <c r="E22997" s="1134">
        <v>50000</v>
      </c>
      <c r="F22997" s="1083"/>
      <c r="G22997" s="125">
        <f t="shared" ref="G22997:G23000" si="660">F22997-E22997</f>
        <v>-50000</v>
      </c>
      <c r="H22997" s="704" t="s">
        <v>15860</v>
      </c>
    </row>
    <row r="22998" spans="1:8" ht="15" x14ac:dyDescent="0.2">
      <c r="A22998" s="1081">
        <v>45691</v>
      </c>
      <c r="B22998" s="1082" t="s">
        <v>10167</v>
      </c>
      <c r="C22998" s="1132" t="s">
        <v>793</v>
      </c>
      <c r="D22998" s="1133" t="s">
        <v>8421</v>
      </c>
      <c r="E22998" s="1134">
        <v>5000</v>
      </c>
      <c r="F22998" s="1083"/>
      <c r="G22998" s="125">
        <f t="shared" si="660"/>
        <v>-5000</v>
      </c>
      <c r="H22998" s="704" t="s">
        <v>15860</v>
      </c>
    </row>
    <row r="22999" spans="1:8" ht="15" x14ac:dyDescent="0.2">
      <c r="A22999" s="1081">
        <v>45691</v>
      </c>
      <c r="B22999" s="1082" t="s">
        <v>15257</v>
      </c>
      <c r="C22999" s="1132" t="s">
        <v>793</v>
      </c>
      <c r="D22999" s="1133" t="s">
        <v>12183</v>
      </c>
      <c r="E22999" s="1134">
        <v>50000</v>
      </c>
      <c r="F22999" s="1083"/>
      <c r="G22999" s="125">
        <f t="shared" si="660"/>
        <v>-50000</v>
      </c>
      <c r="H22999" s="704" t="s">
        <v>15860</v>
      </c>
    </row>
    <row r="23000" spans="1:8" ht="15" x14ac:dyDescent="0.2">
      <c r="A23000" s="1081">
        <v>45691</v>
      </c>
      <c r="B23000" s="1082" t="s">
        <v>25</v>
      </c>
      <c r="C23000" s="1132" t="s">
        <v>793</v>
      </c>
      <c r="D23000" s="1133" t="s">
        <v>12790</v>
      </c>
      <c r="E23000" s="1134">
        <v>105000</v>
      </c>
      <c r="F23000" s="1083"/>
      <c r="G23000" s="125">
        <f t="shared" si="660"/>
        <v>-105000</v>
      </c>
      <c r="H23000" s="704" t="s">
        <v>15860</v>
      </c>
    </row>
    <row r="23001" spans="1:8" ht="15" x14ac:dyDescent="0.2">
      <c r="A23001" s="1081">
        <v>45691</v>
      </c>
      <c r="B23001" s="1082" t="s">
        <v>15430</v>
      </c>
      <c r="C23001" s="1082" t="s">
        <v>1229</v>
      </c>
      <c r="D23001" s="1123" t="s">
        <v>15880</v>
      </c>
      <c r="E23001" s="1083">
        <v>30000</v>
      </c>
      <c r="F23001" s="1083"/>
      <c r="G23001" s="125">
        <f t="shared" si="659"/>
        <v>-30000</v>
      </c>
      <c r="H23001" s="704" t="s">
        <v>15860</v>
      </c>
    </row>
    <row r="23002" spans="1:8" ht="15" x14ac:dyDescent="0.2">
      <c r="A23002" s="1081">
        <v>45692</v>
      </c>
      <c r="B23002" s="1082" t="s">
        <v>15430</v>
      </c>
      <c r="C23002" s="1082" t="s">
        <v>10332</v>
      </c>
      <c r="D23002" s="1123" t="s">
        <v>15881</v>
      </c>
      <c r="E23002" s="1083">
        <v>1700</v>
      </c>
      <c r="F23002" s="1083"/>
      <c r="G23002" s="125">
        <f t="shared" si="659"/>
        <v>-1700</v>
      </c>
      <c r="H23002" s="704" t="s">
        <v>15860</v>
      </c>
    </row>
    <row r="23003" spans="1:8" ht="15" x14ac:dyDescent="0.2">
      <c r="A23003" s="1081">
        <v>45692</v>
      </c>
      <c r="B23003" s="1082" t="s">
        <v>15100</v>
      </c>
      <c r="C23003" s="1082" t="s">
        <v>10332</v>
      </c>
      <c r="D23003" s="1123" t="s">
        <v>15882</v>
      </c>
      <c r="E23003" s="1083">
        <v>5400</v>
      </c>
      <c r="F23003" s="1083"/>
      <c r="G23003" s="125">
        <f t="shared" ref="G23003:G23017" si="661">F23003-E23003</f>
        <v>-5400</v>
      </c>
      <c r="H23003" s="704" t="s">
        <v>15860</v>
      </c>
    </row>
    <row r="23004" spans="1:8" ht="15" x14ac:dyDescent="0.2">
      <c r="A23004" s="1081">
        <v>45692</v>
      </c>
      <c r="B23004" s="1082" t="s">
        <v>14596</v>
      </c>
      <c r="C23004" s="1082" t="s">
        <v>793</v>
      </c>
      <c r="D23004" s="1123" t="s">
        <v>10340</v>
      </c>
      <c r="E23004" s="1083">
        <v>103700</v>
      </c>
      <c r="F23004" s="1083"/>
      <c r="G23004" s="125">
        <f t="shared" si="661"/>
        <v>-103700</v>
      </c>
      <c r="H23004" s="704" t="s">
        <v>15860</v>
      </c>
    </row>
    <row r="23005" spans="1:8" ht="15" x14ac:dyDescent="0.2">
      <c r="A23005" s="1081">
        <v>45692</v>
      </c>
      <c r="B23005" s="1082" t="s">
        <v>13240</v>
      </c>
      <c r="C23005" s="1082" t="s">
        <v>10972</v>
      </c>
      <c r="D23005" s="1123" t="s">
        <v>15883</v>
      </c>
      <c r="E23005" s="1083">
        <v>19000</v>
      </c>
      <c r="F23005" s="1083"/>
      <c r="G23005" s="125">
        <f t="shared" si="661"/>
        <v>-19000</v>
      </c>
      <c r="H23005" s="704" t="s">
        <v>15860</v>
      </c>
    </row>
    <row r="23006" spans="1:8" ht="15" x14ac:dyDescent="0.2">
      <c r="A23006" s="1081">
        <v>45692</v>
      </c>
      <c r="B23006" s="1082" t="s">
        <v>6503</v>
      </c>
      <c r="C23006" s="1082" t="s">
        <v>5740</v>
      </c>
      <c r="D23006" s="1123" t="s">
        <v>369</v>
      </c>
      <c r="E23006" s="1083">
        <v>500</v>
      </c>
      <c r="F23006" s="1083"/>
      <c r="G23006" s="125">
        <f t="shared" si="661"/>
        <v>-500</v>
      </c>
      <c r="H23006" s="704" t="s">
        <v>15860</v>
      </c>
    </row>
    <row r="23007" spans="1:8" ht="15" x14ac:dyDescent="0.2">
      <c r="A23007" s="1081">
        <v>45692</v>
      </c>
      <c r="B23007" s="1082" t="s">
        <v>103</v>
      </c>
      <c r="C23007" s="1082" t="s">
        <v>391</v>
      </c>
      <c r="D23007" s="1123" t="s">
        <v>10199</v>
      </c>
      <c r="E23007" s="1083">
        <v>3000</v>
      </c>
      <c r="F23007" s="1083"/>
      <c r="G23007" s="125">
        <f t="shared" si="661"/>
        <v>-3000</v>
      </c>
      <c r="H23007" s="704" t="s">
        <v>15860</v>
      </c>
    </row>
    <row r="23008" spans="1:8" ht="15" x14ac:dyDescent="0.2">
      <c r="A23008" s="1081">
        <v>45692</v>
      </c>
      <c r="B23008" s="1082" t="s">
        <v>14351</v>
      </c>
      <c r="C23008" s="1082" t="s">
        <v>5740</v>
      </c>
      <c r="D23008" s="1123" t="s">
        <v>369</v>
      </c>
      <c r="E23008" s="1083">
        <v>800</v>
      </c>
      <c r="F23008" s="1083"/>
      <c r="G23008" s="125">
        <f t="shared" si="661"/>
        <v>-800</v>
      </c>
      <c r="H23008" s="704" t="s">
        <v>15860</v>
      </c>
    </row>
    <row r="23009" spans="1:8" ht="15" x14ac:dyDescent="0.2">
      <c r="A23009" s="1081">
        <v>45692</v>
      </c>
      <c r="B23009" s="1082" t="s">
        <v>14351</v>
      </c>
      <c r="C23009" s="1082" t="s">
        <v>437</v>
      </c>
      <c r="D23009" s="1123" t="s">
        <v>15884</v>
      </c>
      <c r="E23009" s="1083">
        <v>830000</v>
      </c>
      <c r="F23009" s="1083"/>
      <c r="G23009" s="125">
        <f t="shared" si="661"/>
        <v>-830000</v>
      </c>
      <c r="H23009" s="704" t="s">
        <v>15860</v>
      </c>
    </row>
    <row r="23010" spans="1:8" ht="15" x14ac:dyDescent="0.2">
      <c r="A23010" s="1081">
        <v>45692</v>
      </c>
      <c r="B23010" s="1082" t="s">
        <v>14351</v>
      </c>
      <c r="C23010" s="1082" t="s">
        <v>5740</v>
      </c>
      <c r="D23010" s="1123" t="s">
        <v>13082</v>
      </c>
      <c r="E23010" s="1083">
        <v>4000</v>
      </c>
      <c r="F23010" s="1083"/>
      <c r="G23010" s="125">
        <f t="shared" si="661"/>
        <v>-4000</v>
      </c>
      <c r="H23010" s="704" t="s">
        <v>15860</v>
      </c>
    </row>
    <row r="23011" spans="1:8" ht="15" x14ac:dyDescent="0.2">
      <c r="A23011" s="1081">
        <v>45692</v>
      </c>
      <c r="B23011" s="1082" t="s">
        <v>14596</v>
      </c>
      <c r="C23011" s="1082" t="s">
        <v>793</v>
      </c>
      <c r="D23011" s="1123" t="s">
        <v>14883</v>
      </c>
      <c r="E23011" s="1083">
        <v>49300</v>
      </c>
      <c r="F23011" s="1083"/>
      <c r="G23011" s="125">
        <f t="shared" si="661"/>
        <v>-49300</v>
      </c>
      <c r="H23011" s="704" t="s">
        <v>15860</v>
      </c>
    </row>
    <row r="23012" spans="1:8" ht="15" x14ac:dyDescent="0.2">
      <c r="A23012" s="1081">
        <v>45692</v>
      </c>
      <c r="B23012" s="1082" t="s">
        <v>103</v>
      </c>
      <c r="C23012" s="1082" t="s">
        <v>793</v>
      </c>
      <c r="D23012" s="1123" t="s">
        <v>15885</v>
      </c>
      <c r="E23012" s="1083">
        <v>90000</v>
      </c>
      <c r="F23012" s="1083"/>
      <c r="G23012" s="125">
        <f t="shared" si="661"/>
        <v>-90000</v>
      </c>
      <c r="H23012" s="704" t="s">
        <v>15860</v>
      </c>
    </row>
    <row r="23013" spans="1:8" ht="15" x14ac:dyDescent="0.2">
      <c r="A23013" s="1081">
        <v>45692</v>
      </c>
      <c r="B23013" s="1082" t="s">
        <v>3945</v>
      </c>
      <c r="C23013" s="1082" t="s">
        <v>793</v>
      </c>
      <c r="D23013" s="1123" t="s">
        <v>15886</v>
      </c>
      <c r="E23013" s="1083">
        <v>37670</v>
      </c>
      <c r="F23013" s="1083"/>
      <c r="G23013" s="125">
        <f t="shared" si="661"/>
        <v>-37670</v>
      </c>
      <c r="H23013" s="704" t="s">
        <v>15860</v>
      </c>
    </row>
    <row r="23014" spans="1:8" ht="15" x14ac:dyDescent="0.2">
      <c r="A23014" s="1081">
        <v>45692</v>
      </c>
      <c r="B23014" s="1082" t="s">
        <v>103</v>
      </c>
      <c r="C23014" s="1082" t="s">
        <v>793</v>
      </c>
      <c r="D23014" s="1123" t="s">
        <v>15887</v>
      </c>
      <c r="E23014" s="1083">
        <v>46000</v>
      </c>
      <c r="F23014" s="1083"/>
      <c r="G23014" s="125">
        <f t="shared" si="661"/>
        <v>-46000</v>
      </c>
      <c r="H23014" s="704" t="s">
        <v>15860</v>
      </c>
    </row>
    <row r="23015" spans="1:8" ht="15" x14ac:dyDescent="0.2">
      <c r="A23015" s="1081">
        <v>45692</v>
      </c>
      <c r="B23015" s="1082" t="s">
        <v>103</v>
      </c>
      <c r="C23015" s="1082" t="s">
        <v>793</v>
      </c>
      <c r="D23015" s="1123" t="s">
        <v>15888</v>
      </c>
      <c r="E23015" s="1083">
        <v>52250</v>
      </c>
      <c r="F23015" s="1083"/>
      <c r="G23015" s="125">
        <f t="shared" si="661"/>
        <v>-52250</v>
      </c>
      <c r="H23015" s="704" t="s">
        <v>15860</v>
      </c>
    </row>
    <row r="23016" spans="1:8" ht="15" x14ac:dyDescent="0.2">
      <c r="A23016" s="1081">
        <v>45692</v>
      </c>
      <c r="B23016" s="1082" t="s">
        <v>14718</v>
      </c>
      <c r="C23016" s="1082" t="s">
        <v>793</v>
      </c>
      <c r="D23016" s="1123" t="s">
        <v>15889</v>
      </c>
      <c r="E23016" s="1083">
        <v>81830</v>
      </c>
      <c r="F23016" s="1083"/>
      <c r="G23016" s="125">
        <f t="shared" si="661"/>
        <v>-81830</v>
      </c>
      <c r="H23016" s="704" t="s">
        <v>15860</v>
      </c>
    </row>
    <row r="23017" spans="1:8" ht="15" x14ac:dyDescent="0.2">
      <c r="A23017" s="1081">
        <v>45692</v>
      </c>
      <c r="B23017" s="1082" t="s">
        <v>103</v>
      </c>
      <c r="C23017" s="1082" t="s">
        <v>793</v>
      </c>
      <c r="D23017" s="1123" t="s">
        <v>15429</v>
      </c>
      <c r="E23017" s="1083">
        <v>23000</v>
      </c>
      <c r="F23017" s="1083"/>
      <c r="G23017" s="125">
        <f t="shared" si="661"/>
        <v>-23000</v>
      </c>
      <c r="H23017" s="704" t="s">
        <v>15860</v>
      </c>
    </row>
    <row r="23018" spans="1:8" ht="15" x14ac:dyDescent="0.2">
      <c r="A23018" s="1081">
        <v>45692</v>
      </c>
      <c r="B23018" s="1082" t="s">
        <v>14351</v>
      </c>
      <c r="C23018" s="1082" t="s">
        <v>437</v>
      </c>
      <c r="D23018" s="1123" t="s">
        <v>15890</v>
      </c>
      <c r="E23018" s="1083">
        <v>185100</v>
      </c>
      <c r="F23018" s="1083"/>
      <c r="G23018" s="125">
        <f t="shared" ref="G23018:G23019" si="662">F23018-E23018</f>
        <v>-185100</v>
      </c>
      <c r="H23018" s="704" t="s">
        <v>15860</v>
      </c>
    </row>
    <row r="23019" spans="1:8" ht="15" x14ac:dyDescent="0.2">
      <c r="A23019" s="1081">
        <v>45692</v>
      </c>
      <c r="B23019" s="1082" t="s">
        <v>12671</v>
      </c>
      <c r="C23019" s="1082" t="s">
        <v>14600</v>
      </c>
      <c r="D23019" s="1123" t="s">
        <v>15446</v>
      </c>
      <c r="E23019" s="1083">
        <v>100000</v>
      </c>
      <c r="F23019" s="1083"/>
      <c r="G23019" s="125">
        <f t="shared" si="662"/>
        <v>-100000</v>
      </c>
      <c r="H23019" s="704" t="s">
        <v>15860</v>
      </c>
    </row>
    <row r="23020" spans="1:8" ht="15" x14ac:dyDescent="0.2">
      <c r="A23020" s="1081">
        <v>45692</v>
      </c>
      <c r="B23020" s="1082" t="s">
        <v>25</v>
      </c>
      <c r="C23020" s="1082" t="s">
        <v>391</v>
      </c>
      <c r="D23020" s="1123" t="s">
        <v>15907</v>
      </c>
      <c r="E23020" s="1083">
        <v>85000</v>
      </c>
      <c r="F23020" s="1083"/>
      <c r="G23020" s="125">
        <f t="shared" ref="G23020:G23021" si="663">F23020-E23020</f>
        <v>-85000</v>
      </c>
      <c r="H23020" s="704" t="s">
        <v>15860</v>
      </c>
    </row>
    <row r="23021" spans="1:8" ht="15" x14ac:dyDescent="0.2">
      <c r="A23021" s="1081">
        <v>45692</v>
      </c>
      <c r="B23021" s="1082" t="s">
        <v>25</v>
      </c>
      <c r="C23021" s="1082" t="s">
        <v>391</v>
      </c>
      <c r="D23021" s="1123" t="s">
        <v>15908</v>
      </c>
      <c r="E23021" s="1083">
        <v>20000</v>
      </c>
      <c r="F23021" s="1083"/>
      <c r="G23021" s="125">
        <f t="shared" si="663"/>
        <v>-20000</v>
      </c>
      <c r="H23021" s="704" t="s">
        <v>15860</v>
      </c>
    </row>
    <row r="23022" spans="1:8" ht="15" x14ac:dyDescent="0.2">
      <c r="A23022" s="1081">
        <v>45693</v>
      </c>
      <c r="B23022" s="1082" t="s">
        <v>15898</v>
      </c>
      <c r="C23022" s="1082" t="s">
        <v>3144</v>
      </c>
      <c r="D23022" s="1123" t="s">
        <v>15547</v>
      </c>
      <c r="E23022" s="1083">
        <v>65620</v>
      </c>
      <c r="F23022" s="1083"/>
      <c r="G23022" s="125">
        <f t="shared" ref="G23022:G23025" si="664">F23022-E23022</f>
        <v>-65620</v>
      </c>
      <c r="H23022" s="704" t="s">
        <v>15860</v>
      </c>
    </row>
    <row r="23023" spans="1:8" ht="24" x14ac:dyDescent="0.2">
      <c r="A23023" s="1081">
        <v>45693</v>
      </c>
      <c r="B23023" s="1082" t="s">
        <v>14351</v>
      </c>
      <c r="C23023" s="1082" t="s">
        <v>3144</v>
      </c>
      <c r="D23023" s="1123" t="s">
        <v>15899</v>
      </c>
      <c r="E23023" s="1083">
        <v>124560</v>
      </c>
      <c r="F23023" s="1083"/>
      <c r="G23023" s="125">
        <f t="shared" si="664"/>
        <v>-124560</v>
      </c>
      <c r="H23023" s="704" t="s">
        <v>15860</v>
      </c>
    </row>
    <row r="23024" spans="1:8" ht="15" x14ac:dyDescent="0.2">
      <c r="A23024" s="1081">
        <v>45693</v>
      </c>
      <c r="B23024" s="1132" t="s">
        <v>15338</v>
      </c>
      <c r="C23024" s="1132" t="s">
        <v>1229</v>
      </c>
      <c r="D23024" s="1133" t="s">
        <v>15900</v>
      </c>
      <c r="E23024" s="1134">
        <v>187000</v>
      </c>
      <c r="F23024" s="1083"/>
      <c r="G23024" s="125">
        <f t="shared" si="664"/>
        <v>-187000</v>
      </c>
      <c r="H23024" s="704" t="s">
        <v>15860</v>
      </c>
    </row>
    <row r="23025" spans="1:8" ht="15" x14ac:dyDescent="0.2">
      <c r="A23025" s="1081">
        <v>45693</v>
      </c>
      <c r="B23025" s="1132" t="s">
        <v>12671</v>
      </c>
      <c r="C23025" s="1132" t="s">
        <v>1229</v>
      </c>
      <c r="D23025" s="1133" t="s">
        <v>15901</v>
      </c>
      <c r="E23025" s="1134">
        <v>90000</v>
      </c>
      <c r="F23025" s="1083"/>
      <c r="G23025" s="125">
        <f t="shared" si="664"/>
        <v>-90000</v>
      </c>
      <c r="H23025" s="704" t="s">
        <v>15860</v>
      </c>
    </row>
    <row r="23026" spans="1:8" ht="15" x14ac:dyDescent="0.2">
      <c r="A23026" s="1081">
        <v>45694</v>
      </c>
      <c r="B23026" s="1082" t="s">
        <v>37</v>
      </c>
      <c r="C23026" s="1082" t="s">
        <v>793</v>
      </c>
      <c r="D23026" s="1123" t="s">
        <v>11813</v>
      </c>
      <c r="E23026" s="1083">
        <v>229969.75806451615</v>
      </c>
      <c r="F23026" s="1083"/>
      <c r="G23026" s="125">
        <f t="shared" ref="G23026:G23037" si="665">F23026-E23026</f>
        <v>-229969.75806451615</v>
      </c>
      <c r="H23026" s="704" t="s">
        <v>15860</v>
      </c>
    </row>
    <row r="23027" spans="1:8" ht="15" x14ac:dyDescent="0.2">
      <c r="A23027" s="1081">
        <v>45694</v>
      </c>
      <c r="B23027" s="1082" t="s">
        <v>3945</v>
      </c>
      <c r="C23027" s="1082" t="s">
        <v>793</v>
      </c>
      <c r="D23027" s="1123" t="s">
        <v>12071</v>
      </c>
      <c r="E23027" s="1083">
        <v>100920</v>
      </c>
      <c r="F23027" s="1083"/>
      <c r="G23027" s="125">
        <f t="shared" si="665"/>
        <v>-100920</v>
      </c>
      <c r="H23027" s="704" t="s">
        <v>15860</v>
      </c>
    </row>
    <row r="23028" spans="1:8" ht="15" x14ac:dyDescent="0.2">
      <c r="A23028" s="1081">
        <v>45694</v>
      </c>
      <c r="B23028" s="1082" t="s">
        <v>37</v>
      </c>
      <c r="C23028" s="1082" t="s">
        <v>391</v>
      </c>
      <c r="D23028" s="1123" t="s">
        <v>15891</v>
      </c>
      <c r="E23028" s="1083">
        <v>3000</v>
      </c>
      <c r="F23028" s="1083"/>
      <c r="G23028" s="125">
        <f t="shared" si="665"/>
        <v>-3000</v>
      </c>
      <c r="H23028" s="704" t="s">
        <v>15860</v>
      </c>
    </row>
    <row r="23029" spans="1:8" ht="15" x14ac:dyDescent="0.2">
      <c r="A23029" s="1081">
        <v>45694</v>
      </c>
      <c r="B23029" s="1082" t="s">
        <v>13240</v>
      </c>
      <c r="C23029" s="1082" t="s">
        <v>793</v>
      </c>
      <c r="D23029" s="1123" t="s">
        <v>15892</v>
      </c>
      <c r="E23029" s="1083">
        <v>65140</v>
      </c>
      <c r="F23029" s="1083"/>
      <c r="G23029" s="125">
        <f t="shared" si="665"/>
        <v>-65140</v>
      </c>
      <c r="H23029" s="704" t="s">
        <v>15860</v>
      </c>
    </row>
    <row r="23030" spans="1:8" ht="15" x14ac:dyDescent="0.2">
      <c r="A23030" s="1081">
        <v>45694</v>
      </c>
      <c r="B23030" s="1082" t="s">
        <v>13240</v>
      </c>
      <c r="C23030" s="1082" t="s">
        <v>10972</v>
      </c>
      <c r="D23030" s="1123" t="s">
        <v>15893</v>
      </c>
      <c r="E23030" s="1083">
        <v>400</v>
      </c>
      <c r="F23030" s="1083"/>
      <c r="G23030" s="125">
        <f t="shared" si="665"/>
        <v>-400</v>
      </c>
      <c r="H23030" s="704" t="s">
        <v>15860</v>
      </c>
    </row>
    <row r="23031" spans="1:8" ht="15" x14ac:dyDescent="0.2">
      <c r="A23031" s="1081">
        <v>45694</v>
      </c>
      <c r="B23031" s="1082" t="s">
        <v>14351</v>
      </c>
      <c r="C23031" s="1082" t="s">
        <v>10972</v>
      </c>
      <c r="D23031" s="1123" t="s">
        <v>15894</v>
      </c>
      <c r="E23031" s="1083">
        <v>9200</v>
      </c>
      <c r="F23031" s="1083"/>
      <c r="G23031" s="125">
        <f t="shared" si="665"/>
        <v>-9200</v>
      </c>
      <c r="H23031" s="704" t="s">
        <v>15860</v>
      </c>
    </row>
    <row r="23032" spans="1:8" ht="15" x14ac:dyDescent="0.2">
      <c r="A23032" s="1081">
        <v>45694</v>
      </c>
      <c r="B23032" s="1082" t="s">
        <v>13240</v>
      </c>
      <c r="C23032" s="1082" t="s">
        <v>285</v>
      </c>
      <c r="D23032" s="1123" t="s">
        <v>15874</v>
      </c>
      <c r="E23032" s="1083">
        <v>1000</v>
      </c>
      <c r="F23032" s="1083"/>
      <c r="G23032" s="125">
        <f t="shared" si="665"/>
        <v>-1000</v>
      </c>
      <c r="H23032" s="704" t="s">
        <v>15860</v>
      </c>
    </row>
    <row r="23033" spans="1:8" ht="15" x14ac:dyDescent="0.2">
      <c r="A23033" s="1081">
        <v>45694</v>
      </c>
      <c r="B23033" s="1082" t="s">
        <v>103</v>
      </c>
      <c r="C23033" s="1082" t="s">
        <v>391</v>
      </c>
      <c r="D23033" s="1123" t="s">
        <v>10199</v>
      </c>
      <c r="E23033" s="1083">
        <v>3000</v>
      </c>
      <c r="F23033" s="1083"/>
      <c r="G23033" s="125">
        <f t="shared" si="665"/>
        <v>-3000</v>
      </c>
      <c r="H23033" s="704" t="s">
        <v>15860</v>
      </c>
    </row>
    <row r="23034" spans="1:8" ht="15" x14ac:dyDescent="0.2">
      <c r="A23034" s="1081">
        <v>45694</v>
      </c>
      <c r="B23034" s="1082" t="s">
        <v>15338</v>
      </c>
      <c r="C23034" s="1082" t="s">
        <v>5740</v>
      </c>
      <c r="D23034" s="1123" t="s">
        <v>369</v>
      </c>
      <c r="E23034" s="1083">
        <v>1200</v>
      </c>
      <c r="F23034" s="1083"/>
      <c r="G23034" s="125">
        <f t="shared" si="665"/>
        <v>-1200</v>
      </c>
      <c r="H23034" s="704" t="s">
        <v>15860</v>
      </c>
    </row>
    <row r="23035" spans="1:8" ht="15" x14ac:dyDescent="0.2">
      <c r="A23035" s="1081">
        <v>45694</v>
      </c>
      <c r="B23035" s="1082" t="s">
        <v>14351</v>
      </c>
      <c r="C23035" s="1082" t="s">
        <v>391</v>
      </c>
      <c r="D23035" s="1123" t="s">
        <v>15895</v>
      </c>
      <c r="E23035" s="1083">
        <v>8500</v>
      </c>
      <c r="F23035" s="1083"/>
      <c r="G23035" s="125">
        <f t="shared" si="665"/>
        <v>-8500</v>
      </c>
      <c r="H23035" s="704" t="s">
        <v>15860</v>
      </c>
    </row>
    <row r="23036" spans="1:8" ht="15" x14ac:dyDescent="0.2">
      <c r="A23036" s="1081">
        <v>45694</v>
      </c>
      <c r="B23036" s="1132" t="s">
        <v>14351</v>
      </c>
      <c r="C23036" s="1132" t="s">
        <v>793</v>
      </c>
      <c r="D23036" s="1133" t="s">
        <v>15896</v>
      </c>
      <c r="E23036" s="1134">
        <v>45000</v>
      </c>
      <c r="F23036" s="1083"/>
      <c r="G23036" s="125">
        <f t="shared" si="665"/>
        <v>-45000</v>
      </c>
      <c r="H23036" s="704" t="s">
        <v>15860</v>
      </c>
    </row>
    <row r="23037" spans="1:8" ht="15" x14ac:dyDescent="0.2">
      <c r="A23037" s="1081">
        <v>45694</v>
      </c>
      <c r="B23037" s="1132" t="s">
        <v>13240</v>
      </c>
      <c r="C23037" s="1132" t="s">
        <v>793</v>
      </c>
      <c r="D23037" s="1133" t="s">
        <v>15897</v>
      </c>
      <c r="E23037" s="1134">
        <v>74210</v>
      </c>
      <c r="F23037" s="1083"/>
      <c r="G23037" s="125">
        <f t="shared" si="665"/>
        <v>-74210</v>
      </c>
      <c r="H23037" s="704" t="s">
        <v>15860</v>
      </c>
    </row>
    <row r="23038" spans="1:8" ht="15" x14ac:dyDescent="0.2">
      <c r="A23038" s="1081">
        <v>45694</v>
      </c>
      <c r="B23038" s="1082" t="s">
        <v>11068</v>
      </c>
      <c r="C23038" s="1082" t="s">
        <v>10972</v>
      </c>
      <c r="D23038" s="1123" t="s">
        <v>15914</v>
      </c>
      <c r="E23038" s="1083">
        <v>11200</v>
      </c>
      <c r="F23038" s="1083"/>
      <c r="G23038" s="125">
        <f t="shared" ref="G23038:G23044" si="666">F23038-E23038</f>
        <v>-11200</v>
      </c>
      <c r="H23038" s="704" t="s">
        <v>15860</v>
      </c>
    </row>
    <row r="23039" spans="1:8" ht="15" x14ac:dyDescent="0.2">
      <c r="A23039" s="1081">
        <v>45694</v>
      </c>
      <c r="B23039" s="1082" t="s">
        <v>14596</v>
      </c>
      <c r="C23039" s="1082" t="s">
        <v>793</v>
      </c>
      <c r="D23039" s="1123" t="s">
        <v>15915</v>
      </c>
      <c r="E23039" s="1083">
        <v>383630</v>
      </c>
      <c r="F23039" s="1083"/>
      <c r="G23039" s="125">
        <f t="shared" si="666"/>
        <v>-383630</v>
      </c>
      <c r="H23039" s="704" t="s">
        <v>15860</v>
      </c>
    </row>
    <row r="23040" spans="1:8" ht="15" x14ac:dyDescent="0.2">
      <c r="A23040" s="1081">
        <v>45694</v>
      </c>
      <c r="B23040" s="1082" t="s">
        <v>15338</v>
      </c>
      <c r="C23040" s="1082" t="s">
        <v>793</v>
      </c>
      <c r="D23040" s="1123" t="s">
        <v>15916</v>
      </c>
      <c r="E23040" s="1083">
        <v>53270</v>
      </c>
      <c r="F23040" s="1083"/>
      <c r="G23040" s="125">
        <f t="shared" si="666"/>
        <v>-53270</v>
      </c>
      <c r="H23040" s="704" t="s">
        <v>15860</v>
      </c>
    </row>
    <row r="23041" spans="1:8" ht="15" x14ac:dyDescent="0.2">
      <c r="A23041" s="1081">
        <v>45694</v>
      </c>
      <c r="B23041" s="1082" t="s">
        <v>3945</v>
      </c>
      <c r="C23041" s="1082" t="s">
        <v>793</v>
      </c>
      <c r="D23041" s="1123" t="s">
        <v>8420</v>
      </c>
      <c r="E23041" s="1083">
        <v>28000</v>
      </c>
      <c r="F23041" s="1083"/>
      <c r="G23041" s="125">
        <f t="shared" si="666"/>
        <v>-28000</v>
      </c>
      <c r="H23041" s="704" t="s">
        <v>15860</v>
      </c>
    </row>
    <row r="23042" spans="1:8" ht="15" x14ac:dyDescent="0.2">
      <c r="A23042" s="1081">
        <v>45694</v>
      </c>
      <c r="B23042" s="1082" t="s">
        <v>13240</v>
      </c>
      <c r="C23042" s="1082" t="s">
        <v>391</v>
      </c>
      <c r="D23042" s="1123" t="s">
        <v>15917</v>
      </c>
      <c r="E23042" s="1083">
        <v>2000</v>
      </c>
      <c r="F23042" s="1083"/>
      <c r="G23042" s="125">
        <f t="shared" si="666"/>
        <v>-2000</v>
      </c>
      <c r="H23042" s="704" t="s">
        <v>15860</v>
      </c>
    </row>
    <row r="23043" spans="1:8" ht="15" x14ac:dyDescent="0.2">
      <c r="A23043" s="1081">
        <v>45694</v>
      </c>
      <c r="B23043" s="1082" t="s">
        <v>14596</v>
      </c>
      <c r="C23043" s="1082" t="s">
        <v>285</v>
      </c>
      <c r="D23043" s="1123" t="s">
        <v>15199</v>
      </c>
      <c r="E23043" s="1083">
        <v>1000</v>
      </c>
      <c r="F23043" s="1083"/>
      <c r="G23043" s="125">
        <f t="shared" si="666"/>
        <v>-1000</v>
      </c>
      <c r="H23043" s="704" t="s">
        <v>15860</v>
      </c>
    </row>
    <row r="23044" spans="1:8" ht="15" x14ac:dyDescent="0.2">
      <c r="A23044" s="1081">
        <v>45694</v>
      </c>
      <c r="B23044" s="1082" t="s">
        <v>25</v>
      </c>
      <c r="C23044" s="1082" t="s">
        <v>391</v>
      </c>
      <c r="D23044" s="1123" t="s">
        <v>15918</v>
      </c>
      <c r="E23044" s="1083">
        <v>1000</v>
      </c>
      <c r="F23044" s="1083"/>
      <c r="G23044" s="125">
        <f t="shared" si="666"/>
        <v>-1000</v>
      </c>
      <c r="H23044" s="704" t="s">
        <v>15860</v>
      </c>
    </row>
    <row r="23045" spans="1:8" ht="15" x14ac:dyDescent="0.2">
      <c r="A23045" s="1081">
        <v>45694</v>
      </c>
      <c r="B23045" s="1082" t="s">
        <v>15430</v>
      </c>
      <c r="C23045" s="1082" t="s">
        <v>1229</v>
      </c>
      <c r="D23045" s="1123" t="s">
        <v>15902</v>
      </c>
      <c r="E23045" s="1083">
        <v>363419</v>
      </c>
      <c r="F23045" s="1083"/>
      <c r="G23045" s="125">
        <f t="shared" ref="G23045:G23095" si="667">F23045-E23045</f>
        <v>-363419</v>
      </c>
      <c r="H23045" s="704" t="s">
        <v>15860</v>
      </c>
    </row>
    <row r="23046" spans="1:8" ht="15" x14ac:dyDescent="0.2">
      <c r="A23046" s="1081">
        <v>45694</v>
      </c>
      <c r="B23046" s="1082" t="s">
        <v>15400</v>
      </c>
      <c r="C23046" s="1082" t="s">
        <v>1229</v>
      </c>
      <c r="D23046" s="1123" t="s">
        <v>15498</v>
      </c>
      <c r="E23046" s="1083">
        <v>177206</v>
      </c>
      <c r="F23046" s="1083"/>
      <c r="G23046" s="125">
        <f t="shared" si="667"/>
        <v>-177206</v>
      </c>
      <c r="H23046" s="704" t="s">
        <v>15860</v>
      </c>
    </row>
    <row r="23047" spans="1:8" ht="15" x14ac:dyDescent="0.2">
      <c r="A23047" s="1081">
        <v>45694</v>
      </c>
      <c r="B23047" s="1082" t="s">
        <v>13240</v>
      </c>
      <c r="C23047" s="1082" t="s">
        <v>1229</v>
      </c>
      <c r="D23047" s="1123" t="s">
        <v>15903</v>
      </c>
      <c r="E23047" s="1083">
        <v>115000</v>
      </c>
      <c r="F23047" s="1083"/>
      <c r="G23047" s="125">
        <f t="shared" si="667"/>
        <v>-115000</v>
      </c>
      <c r="H23047" s="704" t="s">
        <v>15860</v>
      </c>
    </row>
    <row r="23048" spans="1:8" ht="15" x14ac:dyDescent="0.2">
      <c r="A23048" s="1081">
        <v>45694</v>
      </c>
      <c r="B23048" s="1082" t="s">
        <v>3944</v>
      </c>
      <c r="C23048" s="1082" t="s">
        <v>1229</v>
      </c>
      <c r="D23048" s="1123" t="s">
        <v>15174</v>
      </c>
      <c r="E23048" s="1083">
        <v>181244</v>
      </c>
      <c r="F23048" s="1083"/>
      <c r="G23048" s="125">
        <f t="shared" si="667"/>
        <v>-181244</v>
      </c>
      <c r="H23048" s="704" t="s">
        <v>15860</v>
      </c>
    </row>
    <row r="23049" spans="1:8" ht="24" x14ac:dyDescent="0.2">
      <c r="A23049" s="1081">
        <v>45694</v>
      </c>
      <c r="B23049" s="1082" t="s">
        <v>15261</v>
      </c>
      <c r="C23049" s="1082" t="s">
        <v>13258</v>
      </c>
      <c r="D23049" s="1123" t="s">
        <v>15905</v>
      </c>
      <c r="E23049" s="1083">
        <v>420000</v>
      </c>
      <c r="F23049" s="1083"/>
      <c r="G23049" s="125">
        <f t="shared" si="667"/>
        <v>-420000</v>
      </c>
      <c r="H23049" s="704" t="s">
        <v>15860</v>
      </c>
    </row>
    <row r="23050" spans="1:8" ht="15" x14ac:dyDescent="0.2">
      <c r="A23050" s="1081">
        <v>45694</v>
      </c>
      <c r="B23050" s="1082" t="s">
        <v>15338</v>
      </c>
      <c r="C23050" s="1082" t="s">
        <v>11993</v>
      </c>
      <c r="D23050" s="1123" t="s">
        <v>15906</v>
      </c>
      <c r="E23050" s="1083">
        <v>550000</v>
      </c>
      <c r="F23050" s="1083"/>
      <c r="G23050" s="125">
        <f t="shared" ref="G23050" si="668">F23050-E23050</f>
        <v>-550000</v>
      </c>
      <c r="H23050" s="704" t="s">
        <v>15860</v>
      </c>
    </row>
    <row r="23051" spans="1:8" ht="15" x14ac:dyDescent="0.2">
      <c r="A23051" s="1081">
        <v>45695</v>
      </c>
      <c r="B23051" s="1082" t="s">
        <v>15919</v>
      </c>
      <c r="C23051" s="1082" t="s">
        <v>10972</v>
      </c>
      <c r="D23051" s="1123" t="s">
        <v>15920</v>
      </c>
      <c r="E23051" s="1083">
        <v>19300</v>
      </c>
      <c r="F23051" s="1083"/>
      <c r="G23051" s="125">
        <f t="shared" ref="G23051:G23061" si="669">F23051-E23051</f>
        <v>-19300</v>
      </c>
      <c r="H23051" s="704" t="s">
        <v>15860</v>
      </c>
    </row>
    <row r="23052" spans="1:8" ht="15" x14ac:dyDescent="0.2">
      <c r="A23052" s="1081">
        <v>45695</v>
      </c>
      <c r="B23052" s="1082" t="s">
        <v>11068</v>
      </c>
      <c r="C23052" s="1082" t="s">
        <v>5740</v>
      </c>
      <c r="D23052" s="1123" t="s">
        <v>369</v>
      </c>
      <c r="E23052" s="1083">
        <v>500</v>
      </c>
      <c r="F23052" s="1083"/>
      <c r="G23052" s="125">
        <f t="shared" si="669"/>
        <v>-500</v>
      </c>
      <c r="H23052" s="704" t="s">
        <v>15860</v>
      </c>
    </row>
    <row r="23053" spans="1:8" ht="15" x14ac:dyDescent="0.2">
      <c r="A23053" s="1081">
        <v>45695</v>
      </c>
      <c r="B23053" s="1082" t="s">
        <v>14718</v>
      </c>
      <c r="C23053" s="1082" t="s">
        <v>793</v>
      </c>
      <c r="D23053" s="1123" t="s">
        <v>11015</v>
      </c>
      <c r="E23053" s="1083">
        <v>44610</v>
      </c>
      <c r="F23053" s="1083"/>
      <c r="G23053" s="125">
        <f t="shared" si="669"/>
        <v>-44610</v>
      </c>
      <c r="H23053" s="704" t="s">
        <v>15860</v>
      </c>
    </row>
    <row r="23054" spans="1:8" ht="15" x14ac:dyDescent="0.2">
      <c r="A23054" s="1081">
        <v>45695</v>
      </c>
      <c r="B23054" s="1082" t="s">
        <v>14596</v>
      </c>
      <c r="C23054" s="1082" t="s">
        <v>793</v>
      </c>
      <c r="D23054" s="1123" t="s">
        <v>14530</v>
      </c>
      <c r="E23054" s="1083">
        <v>29650</v>
      </c>
      <c r="F23054" s="1083"/>
      <c r="G23054" s="125">
        <f t="shared" si="669"/>
        <v>-29650</v>
      </c>
      <c r="H23054" s="704" t="s">
        <v>15860</v>
      </c>
    </row>
    <row r="23055" spans="1:8" ht="15" x14ac:dyDescent="0.2">
      <c r="A23055" s="1081">
        <v>45695</v>
      </c>
      <c r="B23055" s="1082" t="s">
        <v>14596</v>
      </c>
      <c r="C23055" s="1082" t="s">
        <v>391</v>
      </c>
      <c r="D23055" s="1123" t="s">
        <v>15921</v>
      </c>
      <c r="E23055" s="1083">
        <v>9000</v>
      </c>
      <c r="F23055" s="1083"/>
      <c r="G23055" s="125">
        <f t="shared" si="669"/>
        <v>-9000</v>
      </c>
      <c r="H23055" s="704" t="s">
        <v>15860</v>
      </c>
    </row>
    <row r="23056" spans="1:8" ht="15" x14ac:dyDescent="0.2">
      <c r="A23056" s="1081">
        <v>45695</v>
      </c>
      <c r="B23056" s="1082" t="s">
        <v>15922</v>
      </c>
      <c r="C23056" s="1082" t="s">
        <v>793</v>
      </c>
      <c r="D23056" s="1123" t="s">
        <v>15923</v>
      </c>
      <c r="E23056" s="1083">
        <v>110000</v>
      </c>
      <c r="F23056" s="1083"/>
      <c r="G23056" s="125">
        <f t="shared" si="669"/>
        <v>-110000</v>
      </c>
      <c r="H23056" s="704" t="s">
        <v>15860</v>
      </c>
    </row>
    <row r="23057" spans="1:8" ht="15" x14ac:dyDescent="0.2">
      <c r="A23057" s="1081">
        <v>45694</v>
      </c>
      <c r="B23057" s="1082" t="s">
        <v>103</v>
      </c>
      <c r="C23057" s="1082" t="s">
        <v>793</v>
      </c>
      <c r="D23057" s="1123" t="s">
        <v>15924</v>
      </c>
      <c r="E23057" s="1083">
        <v>122500</v>
      </c>
      <c r="F23057" s="1083"/>
      <c r="G23057" s="125">
        <f t="shared" si="669"/>
        <v>-122500</v>
      </c>
      <c r="H23057" s="704" t="s">
        <v>15860</v>
      </c>
    </row>
    <row r="23058" spans="1:8" ht="15" x14ac:dyDescent="0.2">
      <c r="A23058" s="1081">
        <v>45695</v>
      </c>
      <c r="B23058" s="1082" t="s">
        <v>14718</v>
      </c>
      <c r="C23058" s="1082" t="s">
        <v>793</v>
      </c>
      <c r="D23058" s="1123" t="s">
        <v>15925</v>
      </c>
      <c r="E23058" s="1083">
        <v>125970</v>
      </c>
      <c r="F23058" s="1083"/>
      <c r="G23058" s="125">
        <f t="shared" si="669"/>
        <v>-125970</v>
      </c>
      <c r="H23058" s="704" t="s">
        <v>15860</v>
      </c>
    </row>
    <row r="23059" spans="1:8" ht="15" x14ac:dyDescent="0.2">
      <c r="A23059" s="1081">
        <v>45695</v>
      </c>
      <c r="B23059" s="1082" t="s">
        <v>14718</v>
      </c>
      <c r="C23059" s="1082" t="s">
        <v>793</v>
      </c>
      <c r="D23059" s="1123" t="s">
        <v>12376</v>
      </c>
      <c r="E23059" s="1083">
        <v>47000</v>
      </c>
      <c r="F23059" s="1083"/>
      <c r="G23059" s="125">
        <f t="shared" si="669"/>
        <v>-47000</v>
      </c>
      <c r="H23059" s="704" t="s">
        <v>15860</v>
      </c>
    </row>
    <row r="23060" spans="1:8" ht="15" x14ac:dyDescent="0.2">
      <c r="A23060" s="1081">
        <v>45695</v>
      </c>
      <c r="B23060" s="1082" t="s">
        <v>14568</v>
      </c>
      <c r="C23060" s="1082" t="s">
        <v>10972</v>
      </c>
      <c r="D23060" s="1123" t="s">
        <v>15926</v>
      </c>
      <c r="E23060" s="1083">
        <v>5000</v>
      </c>
      <c r="F23060" s="1083"/>
      <c r="G23060" s="125">
        <f t="shared" si="669"/>
        <v>-5000</v>
      </c>
      <c r="H23060" s="704" t="s">
        <v>15860</v>
      </c>
    </row>
    <row r="23061" spans="1:8" ht="15" x14ac:dyDescent="0.2">
      <c r="A23061" s="1081">
        <v>45695</v>
      </c>
      <c r="B23061" s="1082" t="s">
        <v>15337</v>
      </c>
      <c r="C23061" s="1082" t="s">
        <v>793</v>
      </c>
      <c r="D23061" s="1123" t="s">
        <v>11566</v>
      </c>
      <c r="E23061" s="1083">
        <v>43650</v>
      </c>
      <c r="F23061" s="1083"/>
      <c r="G23061" s="125">
        <f t="shared" si="669"/>
        <v>-43650</v>
      </c>
      <c r="H23061" s="704" t="s">
        <v>15860</v>
      </c>
    </row>
    <row r="23062" spans="1:8" ht="15" x14ac:dyDescent="0.2">
      <c r="A23062" s="1081">
        <v>45695</v>
      </c>
      <c r="B23062" s="1082" t="s">
        <v>15430</v>
      </c>
      <c r="C23062" s="669" t="s">
        <v>15927</v>
      </c>
      <c r="D23062" s="905" t="s">
        <v>15931</v>
      </c>
      <c r="E23062" s="671">
        <v>350000</v>
      </c>
      <c r="F23062" s="1083"/>
      <c r="G23062" s="125">
        <f t="shared" ref="G23062:G23066" si="670">F23062-E23062</f>
        <v>-350000</v>
      </c>
      <c r="H23062" s="704" t="s">
        <v>15860</v>
      </c>
    </row>
    <row r="23063" spans="1:8" ht="15" x14ac:dyDescent="0.2">
      <c r="A23063" s="1081">
        <v>45695</v>
      </c>
      <c r="B23063" s="1082" t="s">
        <v>15100</v>
      </c>
      <c r="C23063" s="669" t="s">
        <v>15927</v>
      </c>
      <c r="D23063" s="905" t="s">
        <v>15931</v>
      </c>
      <c r="E23063" s="671">
        <v>350000</v>
      </c>
      <c r="F23063" s="1083"/>
      <c r="G23063" s="125">
        <f t="shared" si="670"/>
        <v>-350000</v>
      </c>
      <c r="H23063" s="704" t="s">
        <v>15860</v>
      </c>
    </row>
    <row r="23064" spans="1:8" ht="24" x14ac:dyDescent="0.2">
      <c r="A23064" s="1081">
        <v>45695</v>
      </c>
      <c r="B23064" s="1082" t="s">
        <v>14351</v>
      </c>
      <c r="C23064" s="1082" t="s">
        <v>15928</v>
      </c>
      <c r="D23064" s="1123" t="s">
        <v>15929</v>
      </c>
      <c r="E23064" s="1083">
        <v>50100</v>
      </c>
      <c r="F23064" s="1083"/>
      <c r="G23064" s="125">
        <f t="shared" si="670"/>
        <v>-50100</v>
      </c>
      <c r="H23064" s="704" t="s">
        <v>15860</v>
      </c>
    </row>
    <row r="23065" spans="1:8" ht="15" x14ac:dyDescent="0.2">
      <c r="A23065" s="1081">
        <v>45695</v>
      </c>
      <c r="B23065" s="1082" t="s">
        <v>11423</v>
      </c>
      <c r="C23065" s="669" t="s">
        <v>5680</v>
      </c>
      <c r="D23065" s="905" t="s">
        <v>15930</v>
      </c>
      <c r="E23065" s="671">
        <v>82756</v>
      </c>
      <c r="F23065" s="1083"/>
      <c r="G23065" s="125">
        <f t="shared" si="670"/>
        <v>-82756</v>
      </c>
      <c r="H23065" s="704" t="s">
        <v>15860</v>
      </c>
    </row>
    <row r="23066" spans="1:8" ht="15" x14ac:dyDescent="0.2">
      <c r="A23066" s="1081">
        <v>45695</v>
      </c>
      <c r="B23066" s="1082" t="s">
        <v>11707</v>
      </c>
      <c r="C23066" s="669" t="s">
        <v>5680</v>
      </c>
      <c r="D23066" s="905" t="s">
        <v>15930</v>
      </c>
      <c r="E23066" s="671">
        <v>7244</v>
      </c>
      <c r="F23066" s="1083"/>
      <c r="G23066" s="125">
        <f t="shared" si="670"/>
        <v>-7244</v>
      </c>
      <c r="H23066" s="704" t="s">
        <v>15860</v>
      </c>
    </row>
    <row r="23067" spans="1:8" ht="15" x14ac:dyDescent="0.2">
      <c r="A23067" s="1081">
        <v>45696</v>
      </c>
      <c r="B23067" s="1082" t="s">
        <v>14232</v>
      </c>
      <c r="C23067" s="1082" t="s">
        <v>793</v>
      </c>
      <c r="D23067" s="1123" t="s">
        <v>15932</v>
      </c>
      <c r="E23067" s="1083">
        <v>181200</v>
      </c>
      <c r="F23067" s="1083"/>
      <c r="G23067" s="125">
        <f t="shared" ref="G23067:G23076" si="671">F23067-E23067</f>
        <v>-181200</v>
      </c>
      <c r="H23067" s="704" t="s">
        <v>15860</v>
      </c>
    </row>
    <row r="23068" spans="1:8" ht="15" x14ac:dyDescent="0.2">
      <c r="A23068" s="1081">
        <v>45696</v>
      </c>
      <c r="B23068" s="1082" t="s">
        <v>103</v>
      </c>
      <c r="C23068" s="1082" t="s">
        <v>391</v>
      </c>
      <c r="D23068" s="1123" t="s">
        <v>10199</v>
      </c>
      <c r="E23068" s="1083">
        <v>2000</v>
      </c>
      <c r="F23068" s="1083"/>
      <c r="G23068" s="125">
        <f>F23068-E23068</f>
        <v>-2000</v>
      </c>
      <c r="H23068" s="704" t="s">
        <v>15860</v>
      </c>
    </row>
    <row r="23069" spans="1:8" ht="15" x14ac:dyDescent="0.2">
      <c r="A23069" s="1081">
        <v>45696</v>
      </c>
      <c r="B23069" s="1082" t="s">
        <v>12334</v>
      </c>
      <c r="C23069" s="1082" t="s">
        <v>793</v>
      </c>
      <c r="D23069" s="1123" t="s">
        <v>15933</v>
      </c>
      <c r="E23069" s="1083">
        <v>112100</v>
      </c>
      <c r="F23069" s="1083"/>
      <c r="G23069" s="125">
        <f t="shared" si="671"/>
        <v>-112100</v>
      </c>
      <c r="H23069" s="704" t="s">
        <v>15860</v>
      </c>
    </row>
    <row r="23070" spans="1:8" ht="15" x14ac:dyDescent="0.2">
      <c r="A23070" s="1081">
        <v>45696</v>
      </c>
      <c r="B23070" s="1082" t="s">
        <v>13213</v>
      </c>
      <c r="C23070" s="1082" t="s">
        <v>793</v>
      </c>
      <c r="D23070" s="1123" t="s">
        <v>15934</v>
      </c>
      <c r="E23070" s="1083">
        <v>71620</v>
      </c>
      <c r="F23070" s="1083"/>
      <c r="G23070" s="125">
        <f t="shared" si="671"/>
        <v>-71620</v>
      </c>
      <c r="H23070" s="704" t="s">
        <v>15860</v>
      </c>
    </row>
    <row r="23071" spans="1:8" ht="15" x14ac:dyDescent="0.2">
      <c r="A23071" s="1081">
        <v>45696</v>
      </c>
      <c r="B23071" s="1082" t="s">
        <v>15337</v>
      </c>
      <c r="C23071" s="1082" t="s">
        <v>793</v>
      </c>
      <c r="D23071" s="1123" t="s">
        <v>15492</v>
      </c>
      <c r="E23071" s="1083">
        <v>34230</v>
      </c>
      <c r="F23071" s="1083"/>
      <c r="G23071" s="125">
        <f t="shared" si="671"/>
        <v>-34230</v>
      </c>
      <c r="H23071" s="704" t="s">
        <v>15860</v>
      </c>
    </row>
    <row r="23072" spans="1:8" ht="15" x14ac:dyDescent="0.2">
      <c r="A23072" s="1081">
        <v>45696</v>
      </c>
      <c r="B23072" s="1082" t="s">
        <v>11068</v>
      </c>
      <c r="C23072" s="1082" t="s">
        <v>793</v>
      </c>
      <c r="D23072" s="1123" t="s">
        <v>15935</v>
      </c>
      <c r="E23072" s="1083">
        <v>88120</v>
      </c>
      <c r="F23072" s="1083"/>
      <c r="G23072" s="125">
        <f t="shared" si="671"/>
        <v>-88120</v>
      </c>
      <c r="H23072" s="704" t="s">
        <v>15860</v>
      </c>
    </row>
    <row r="23073" spans="1:8" ht="15" x14ac:dyDescent="0.2">
      <c r="A23073" s="1081">
        <v>45696</v>
      </c>
      <c r="B23073" s="1082" t="s">
        <v>37</v>
      </c>
      <c r="C23073" s="1082" t="s">
        <v>5740</v>
      </c>
      <c r="D23073" s="1123" t="s">
        <v>15936</v>
      </c>
      <c r="E23073" s="1083">
        <v>12000</v>
      </c>
      <c r="F23073" s="1083"/>
      <c r="G23073" s="125">
        <f t="shared" si="671"/>
        <v>-12000</v>
      </c>
      <c r="H23073" s="704" t="s">
        <v>15860</v>
      </c>
    </row>
    <row r="23074" spans="1:8" ht="15" x14ac:dyDescent="0.2">
      <c r="A23074" s="1081">
        <v>45696</v>
      </c>
      <c r="B23074" s="1082" t="s">
        <v>13213</v>
      </c>
      <c r="C23074" s="1082" t="s">
        <v>5740</v>
      </c>
      <c r="D23074" s="1123" t="s">
        <v>10325</v>
      </c>
      <c r="E23074" s="1083">
        <v>250</v>
      </c>
      <c r="F23074" s="1083"/>
      <c r="G23074" s="125">
        <f t="shared" si="671"/>
        <v>-250</v>
      </c>
      <c r="H23074" s="704" t="s">
        <v>15860</v>
      </c>
    </row>
    <row r="23075" spans="1:8" ht="15" x14ac:dyDescent="0.2">
      <c r="A23075" s="1081">
        <v>45696</v>
      </c>
      <c r="B23075" s="1082" t="s">
        <v>14568</v>
      </c>
      <c r="C23075" s="1082" t="s">
        <v>5740</v>
      </c>
      <c r="D23075" s="1123" t="s">
        <v>733</v>
      </c>
      <c r="E23075" s="1083">
        <v>1500</v>
      </c>
      <c r="F23075" s="1083"/>
      <c r="G23075" s="125">
        <f t="shared" si="671"/>
        <v>-1500</v>
      </c>
      <c r="H23075" s="704" t="s">
        <v>15860</v>
      </c>
    </row>
    <row r="23076" spans="1:8" ht="15" x14ac:dyDescent="0.2">
      <c r="A23076" s="1081">
        <v>45696</v>
      </c>
      <c r="B23076" s="1082" t="s">
        <v>14351</v>
      </c>
      <c r="C23076" s="1082" t="s">
        <v>10972</v>
      </c>
      <c r="D23076" s="1123" t="s">
        <v>11255</v>
      </c>
      <c r="E23076" s="1083">
        <v>700</v>
      </c>
      <c r="F23076" s="1083"/>
      <c r="G23076" s="125">
        <f t="shared" si="671"/>
        <v>-700</v>
      </c>
      <c r="H23076" s="704" t="s">
        <v>15860</v>
      </c>
    </row>
    <row r="23077" spans="1:8" ht="15" x14ac:dyDescent="0.2">
      <c r="A23077" s="1081">
        <v>45696</v>
      </c>
      <c r="B23077" s="1082" t="s">
        <v>14351</v>
      </c>
      <c r="C23077" s="1082" t="s">
        <v>437</v>
      </c>
      <c r="D23077" s="1123" t="s">
        <v>15937</v>
      </c>
      <c r="E23077" s="1083">
        <v>1000000</v>
      </c>
      <c r="F23077" s="1083"/>
      <c r="G23077" s="125">
        <f t="shared" ref="G23077:G23078" si="672">F23077-E23077</f>
        <v>-1000000</v>
      </c>
      <c r="H23077" s="704" t="s">
        <v>15860</v>
      </c>
    </row>
    <row r="23078" spans="1:8" ht="15" x14ac:dyDescent="0.2">
      <c r="A23078" s="1081">
        <v>45696</v>
      </c>
      <c r="B23078" s="1082" t="s">
        <v>14232</v>
      </c>
      <c r="C23078" s="1082" t="s">
        <v>10972</v>
      </c>
      <c r="D23078" s="1123" t="s">
        <v>10193</v>
      </c>
      <c r="E23078" s="1083">
        <v>35380</v>
      </c>
      <c r="F23078" s="1083"/>
      <c r="G23078" s="125">
        <f t="shared" si="672"/>
        <v>-35380</v>
      </c>
      <c r="H23078" s="704" t="s">
        <v>15860</v>
      </c>
    </row>
    <row r="23079" spans="1:8" ht="15" x14ac:dyDescent="0.2">
      <c r="A23079" s="1081">
        <v>45696</v>
      </c>
      <c r="B23079" s="1082" t="s">
        <v>15430</v>
      </c>
      <c r="C23079" s="1082" t="s">
        <v>10972</v>
      </c>
      <c r="D23079" s="1123" t="s">
        <v>15942</v>
      </c>
      <c r="E23079" s="1083">
        <v>69000</v>
      </c>
      <c r="F23079" s="1083"/>
      <c r="G23079" s="125">
        <f t="shared" ref="G23079" si="673">F23079-E23079</f>
        <v>-69000</v>
      </c>
      <c r="H23079" s="704" t="s">
        <v>15860</v>
      </c>
    </row>
    <row r="23080" spans="1:8" ht="24" x14ac:dyDescent="0.2">
      <c r="A23080" s="1081">
        <v>45698</v>
      </c>
      <c r="B23080" s="1082" t="s">
        <v>14351</v>
      </c>
      <c r="C23080" s="1082" t="s">
        <v>11602</v>
      </c>
      <c r="D23080" s="1123" t="s">
        <v>15943</v>
      </c>
      <c r="E23080" s="1083">
        <v>168000</v>
      </c>
      <c r="F23080" s="1083"/>
      <c r="G23080" s="125">
        <f t="shared" ref="G23080:G23085" si="674">F23080-E23080</f>
        <v>-168000</v>
      </c>
      <c r="H23080" s="704" t="s">
        <v>15860</v>
      </c>
    </row>
    <row r="23081" spans="1:8" ht="24" x14ac:dyDescent="0.2">
      <c r="A23081" s="1081">
        <v>45698</v>
      </c>
      <c r="B23081" s="1082" t="s">
        <v>15338</v>
      </c>
      <c r="C23081" s="565" t="s">
        <v>13714</v>
      </c>
      <c r="D23081" s="873" t="s">
        <v>15945</v>
      </c>
      <c r="E23081" s="566">
        <v>18133</v>
      </c>
      <c r="F23081" s="1083"/>
      <c r="G23081" s="125">
        <f t="shared" si="674"/>
        <v>-18133</v>
      </c>
      <c r="H23081" s="704" t="s">
        <v>15860</v>
      </c>
    </row>
    <row r="23082" spans="1:8" ht="24" x14ac:dyDescent="0.2">
      <c r="A23082" s="1081">
        <v>45698</v>
      </c>
      <c r="B23082" s="1082" t="s">
        <v>15257</v>
      </c>
      <c r="C23082" s="565" t="s">
        <v>13714</v>
      </c>
      <c r="D23082" s="873" t="s">
        <v>15945</v>
      </c>
      <c r="E23082" s="566">
        <v>18134</v>
      </c>
      <c r="F23082" s="1083"/>
      <c r="G23082" s="125">
        <f t="shared" si="674"/>
        <v>-18134</v>
      </c>
      <c r="H23082" s="704" t="s">
        <v>15860</v>
      </c>
    </row>
    <row r="23083" spans="1:8" ht="24" x14ac:dyDescent="0.2">
      <c r="A23083" s="1081">
        <v>45698</v>
      </c>
      <c r="B23083" s="1082" t="s">
        <v>15260</v>
      </c>
      <c r="C23083" s="565" t="s">
        <v>13714</v>
      </c>
      <c r="D23083" s="873" t="s">
        <v>15945</v>
      </c>
      <c r="E23083" s="566">
        <v>18133</v>
      </c>
      <c r="F23083" s="1083"/>
      <c r="G23083" s="125">
        <f t="shared" si="674"/>
        <v>-18133</v>
      </c>
      <c r="H23083" s="704" t="s">
        <v>15860</v>
      </c>
    </row>
    <row r="23084" spans="1:8" ht="24" x14ac:dyDescent="0.2">
      <c r="A23084" s="1081">
        <v>45698</v>
      </c>
      <c r="B23084" s="1082" t="s">
        <v>15430</v>
      </c>
      <c r="C23084" s="1082" t="s">
        <v>3144</v>
      </c>
      <c r="D23084" s="1123" t="s">
        <v>15944</v>
      </c>
      <c r="E23084" s="1083">
        <v>80000</v>
      </c>
      <c r="F23084" s="1083"/>
      <c r="G23084" s="125">
        <f t="shared" si="674"/>
        <v>-80000</v>
      </c>
      <c r="H23084" s="704" t="s">
        <v>15860</v>
      </c>
    </row>
    <row r="23085" spans="1:8" ht="15" x14ac:dyDescent="0.2">
      <c r="A23085" s="1081">
        <v>45698</v>
      </c>
      <c r="B23085" s="1082" t="s">
        <v>15100</v>
      </c>
      <c r="C23085" s="1082" t="s">
        <v>3144</v>
      </c>
      <c r="D23085" s="1123" t="s">
        <v>15547</v>
      </c>
      <c r="E23085" s="1083">
        <v>113620</v>
      </c>
      <c r="F23085" s="1083"/>
      <c r="G23085" s="125">
        <f t="shared" si="674"/>
        <v>-113620</v>
      </c>
      <c r="H23085" s="704" t="s">
        <v>15860</v>
      </c>
    </row>
    <row r="23086" spans="1:8" ht="15" x14ac:dyDescent="0.2">
      <c r="A23086" s="1081">
        <v>45698</v>
      </c>
      <c r="B23086" s="1082" t="s">
        <v>14334</v>
      </c>
      <c r="C23086" s="1082" t="s">
        <v>15947</v>
      </c>
      <c r="D23086" s="1123" t="s">
        <v>15946</v>
      </c>
      <c r="E23086" s="1083">
        <v>500000</v>
      </c>
      <c r="F23086" s="1083"/>
      <c r="G23086" s="125">
        <f t="shared" ref="G23086:G23087" si="675">F23086-E23086</f>
        <v>-500000</v>
      </c>
      <c r="H23086" s="704" t="s">
        <v>15860</v>
      </c>
    </row>
    <row r="23087" spans="1:8" ht="15" x14ac:dyDescent="0.2">
      <c r="A23087" s="1081">
        <v>45698</v>
      </c>
      <c r="B23087" s="1082" t="s">
        <v>11068</v>
      </c>
      <c r="C23087" s="1082" t="s">
        <v>10972</v>
      </c>
      <c r="D23087" s="1123" t="s">
        <v>15948</v>
      </c>
      <c r="E23087" s="1083">
        <v>28000</v>
      </c>
      <c r="F23087" s="1083"/>
      <c r="G23087" s="125">
        <f t="shared" si="675"/>
        <v>-28000</v>
      </c>
      <c r="H23087" s="704" t="s">
        <v>15860</v>
      </c>
    </row>
    <row r="23088" spans="1:8" ht="15" x14ac:dyDescent="0.2">
      <c r="A23088" s="1081">
        <v>45699</v>
      </c>
      <c r="B23088" s="1082" t="s">
        <v>12783</v>
      </c>
      <c r="C23088" s="1082" t="s">
        <v>14180</v>
      </c>
      <c r="D23088" s="1123" t="s">
        <v>15949</v>
      </c>
      <c r="E23088" s="1083">
        <v>496500</v>
      </c>
      <c r="F23088" s="1083"/>
      <c r="G23088" s="125">
        <f t="shared" ref="G23088" si="676">F23088-E23088</f>
        <v>-496500</v>
      </c>
      <c r="H23088" s="704" t="s">
        <v>15860</v>
      </c>
    </row>
    <row r="23089" spans="1:8" ht="15" x14ac:dyDescent="0.2">
      <c r="A23089" s="1081">
        <v>45699</v>
      </c>
      <c r="B23089" s="1082" t="s">
        <v>15100</v>
      </c>
      <c r="C23089" s="1082" t="s">
        <v>15950</v>
      </c>
      <c r="D23089" s="1123" t="s">
        <v>15951</v>
      </c>
      <c r="E23089" s="1083">
        <v>33000</v>
      </c>
      <c r="F23089" s="1083"/>
      <c r="G23089" s="125">
        <f t="shared" ref="G23089:G23092" si="677">F23089-E23089</f>
        <v>-33000</v>
      </c>
      <c r="H23089" s="704" t="s">
        <v>15860</v>
      </c>
    </row>
    <row r="23090" spans="1:8" ht="15" x14ac:dyDescent="0.2">
      <c r="A23090" s="1081">
        <v>45699</v>
      </c>
      <c r="B23090" s="1082" t="s">
        <v>37</v>
      </c>
      <c r="C23090" s="1082" t="s">
        <v>15056</v>
      </c>
      <c r="D23090" s="1123" t="s">
        <v>15952</v>
      </c>
      <c r="E23090" s="1083">
        <v>100000</v>
      </c>
      <c r="F23090" s="1083"/>
      <c r="G23090" s="125">
        <f t="shared" si="677"/>
        <v>-100000</v>
      </c>
      <c r="H23090" s="704" t="s">
        <v>15860</v>
      </c>
    </row>
    <row r="23091" spans="1:8" ht="15" x14ac:dyDescent="0.2">
      <c r="A23091" s="1081">
        <v>45699</v>
      </c>
      <c r="B23091" s="735"/>
      <c r="C23091" s="1082" t="s">
        <v>1390</v>
      </c>
      <c r="D23091" s="1123" t="s">
        <v>15953</v>
      </c>
      <c r="E23091" s="1083">
        <v>150000</v>
      </c>
      <c r="F23091" s="1083"/>
      <c r="G23091" s="125">
        <f t="shared" si="677"/>
        <v>-150000</v>
      </c>
      <c r="H23091" s="704" t="s">
        <v>15860</v>
      </c>
    </row>
    <row r="23092" spans="1:8" ht="15" x14ac:dyDescent="0.2">
      <c r="A23092" s="1081">
        <v>45699</v>
      </c>
      <c r="B23092" s="1082" t="s">
        <v>14351</v>
      </c>
      <c r="C23092" s="1082" t="s">
        <v>437</v>
      </c>
      <c r="D23092" s="1123" t="s">
        <v>15954</v>
      </c>
      <c r="E23092" s="1083">
        <v>282830</v>
      </c>
      <c r="F23092" s="1083"/>
      <c r="G23092" s="125">
        <f t="shared" si="677"/>
        <v>-282830</v>
      </c>
      <c r="H23092" s="704" t="s">
        <v>15860</v>
      </c>
    </row>
    <row r="23093" spans="1:8" ht="15" x14ac:dyDescent="0.2">
      <c r="A23093" s="732">
        <v>45692</v>
      </c>
      <c r="B23093" s="173" t="s">
        <v>14351</v>
      </c>
      <c r="C23093" s="173" t="s">
        <v>14431</v>
      </c>
      <c r="D23093" s="227" t="s">
        <v>15904</v>
      </c>
      <c r="E23093" s="235">
        <v>300000</v>
      </c>
      <c r="F23093" s="235"/>
      <c r="G23093" s="235">
        <f t="shared" si="667"/>
        <v>-300000</v>
      </c>
      <c r="H23093" s="708" t="s">
        <v>15860</v>
      </c>
    </row>
    <row r="23094" spans="1:8" ht="15" x14ac:dyDescent="0.2">
      <c r="A23094" s="732">
        <v>45699</v>
      </c>
      <c r="B23094" s="173" t="s">
        <v>25</v>
      </c>
      <c r="C23094" s="173" t="s">
        <v>2427</v>
      </c>
      <c r="D23094" s="227" t="s">
        <v>15960</v>
      </c>
      <c r="E23094" s="235">
        <v>59000</v>
      </c>
      <c r="F23094" s="235"/>
      <c r="G23094" s="235">
        <f t="shared" si="667"/>
        <v>-59000</v>
      </c>
      <c r="H23094" s="708" t="s">
        <v>15860</v>
      </c>
    </row>
    <row r="23095" spans="1:8" ht="15" x14ac:dyDescent="0.2">
      <c r="A23095" s="732">
        <v>45699</v>
      </c>
      <c r="B23095" s="173" t="s">
        <v>12594</v>
      </c>
      <c r="C23095" s="173" t="s">
        <v>3103</v>
      </c>
      <c r="D23095" s="227" t="s">
        <v>15961</v>
      </c>
      <c r="E23095" s="235">
        <v>100000</v>
      </c>
      <c r="F23095" s="235"/>
      <c r="G23095" s="235">
        <f t="shared" si="667"/>
        <v>-100000</v>
      </c>
      <c r="H23095" s="708" t="s">
        <v>15860</v>
      </c>
    </row>
    <row r="23096" spans="1:8" ht="15" x14ac:dyDescent="0.2">
      <c r="A23096" s="729">
        <v>45692</v>
      </c>
      <c r="B23096" s="93" t="s">
        <v>3945</v>
      </c>
      <c r="C23096" s="93" t="s">
        <v>558</v>
      </c>
      <c r="D23096" s="800" t="s">
        <v>15857</v>
      </c>
      <c r="E23096" s="175"/>
      <c r="F23096" s="175">
        <v>401676</v>
      </c>
      <c r="G23096" s="175">
        <f t="shared" si="654"/>
        <v>401676</v>
      </c>
      <c r="H23096" s="701" t="s">
        <v>15860</v>
      </c>
    </row>
    <row r="23097" spans="1:8" ht="26.25" customHeight="1" x14ac:dyDescent="0.2">
      <c r="A23097" s="729">
        <v>45692</v>
      </c>
      <c r="B23097" s="93" t="s">
        <v>37</v>
      </c>
      <c r="C23097" s="93" t="s">
        <v>558</v>
      </c>
      <c r="D23097" s="896" t="s">
        <v>15938</v>
      </c>
      <c r="E23097" s="642">
        <v>20000</v>
      </c>
      <c r="F23097" s="175"/>
      <c r="G23097" s="175">
        <f t="shared" ref="G23097" si="678">F23097-E23097</f>
        <v>-20000</v>
      </c>
      <c r="H23097" s="701" t="s">
        <v>15860</v>
      </c>
    </row>
    <row r="23098" spans="1:8" ht="15" x14ac:dyDescent="0.2">
      <c r="A23098" s="729">
        <v>45692</v>
      </c>
      <c r="B23098" s="93" t="s">
        <v>11604</v>
      </c>
      <c r="C23098" s="93" t="s">
        <v>558</v>
      </c>
      <c r="D23098" s="800" t="s">
        <v>15859</v>
      </c>
      <c r="E23098" s="175"/>
      <c r="F23098" s="175">
        <v>1422198</v>
      </c>
      <c r="G23098" s="175">
        <f t="shared" ref="G23098" si="679">F23098-E23098</f>
        <v>1422198</v>
      </c>
      <c r="H23098" s="701" t="s">
        <v>15860</v>
      </c>
    </row>
    <row r="23099" spans="1:8" x14ac:dyDescent="0.2">
      <c r="C23099" s="62"/>
    </row>
  </sheetData>
  <autoFilter ref="A1:P23099"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1" sqref="C11"/>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178" t="s">
        <v>1766</v>
      </c>
      <c r="I4" s="1178"/>
      <c r="J4" s="1178"/>
    </row>
    <row r="5" spans="1:11" ht="24" thickBot="1" x14ac:dyDescent="0.35">
      <c r="A5" s="1162" t="s">
        <v>4136</v>
      </c>
      <c r="B5" s="1163" t="s">
        <v>4133</v>
      </c>
      <c r="C5" s="1163" t="s">
        <v>4134</v>
      </c>
      <c r="D5" s="1163" t="s">
        <v>4135</v>
      </c>
      <c r="E5" s="346"/>
      <c r="H5" s="1178"/>
      <c r="I5" s="1178"/>
      <c r="J5" s="1178"/>
      <c r="K5" s="1012" t="s">
        <v>10848</v>
      </c>
    </row>
    <row r="6" spans="1:11" ht="26.25" x14ac:dyDescent="0.4">
      <c r="A6" s="737" t="s">
        <v>15100</v>
      </c>
      <c r="B6" s="738">
        <v>1894346</v>
      </c>
      <c r="C6" s="738"/>
      <c r="D6" s="738">
        <v>-1894346</v>
      </c>
      <c r="F6" s="696" t="s">
        <v>155</v>
      </c>
      <c r="G6" s="697" t="s">
        <v>2612</v>
      </c>
      <c r="H6" s="697" t="s">
        <v>7679</v>
      </c>
      <c r="I6" s="696" t="s">
        <v>2614</v>
      </c>
    </row>
    <row r="7" spans="1:11" ht="26.25" x14ac:dyDescent="0.4">
      <c r="A7" s="737" t="s">
        <v>15310</v>
      </c>
      <c r="B7" s="738">
        <v>5736900</v>
      </c>
      <c r="C7" s="738"/>
      <c r="D7" s="738">
        <v>-5736900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15338</v>
      </c>
      <c r="B8" s="738">
        <v>4007893</v>
      </c>
      <c r="C8" s="738"/>
      <c r="D8" s="738">
        <v>-4007893</v>
      </c>
      <c r="F8" s="694" t="s">
        <v>4720</v>
      </c>
      <c r="G8" s="695">
        <f t="shared" si="0"/>
        <v>10795233.041129032</v>
      </c>
      <c r="H8" s="695">
        <f>VLOOKUP(F8,'Project wise Supplier balance'!$A$6:$D$91,4,0)</f>
        <v>0</v>
      </c>
      <c r="I8" s="692">
        <f t="shared" si="1"/>
        <v>10795233.041129032</v>
      </c>
    </row>
    <row r="9" spans="1:11" ht="26.25" x14ac:dyDescent="0.4">
      <c r="A9" s="737" t="s">
        <v>15363</v>
      </c>
      <c r="B9" s="738">
        <v>10000</v>
      </c>
      <c r="C9" s="738"/>
      <c r="D9" s="738">
        <v>-10000</v>
      </c>
      <c r="F9" s="694" t="s">
        <v>2651</v>
      </c>
      <c r="G9" s="695">
        <f t="shared" si="0"/>
        <v>10068965.30031715</v>
      </c>
      <c r="H9" s="695">
        <f>VLOOKUP(F9,'Project wise Supplier balance'!$A$6:$D$91,4,0)</f>
        <v>0</v>
      </c>
      <c r="I9" s="692">
        <f t="shared" si="1"/>
        <v>10068965.30031715</v>
      </c>
    </row>
    <row r="10" spans="1:11" ht="26.25" x14ac:dyDescent="0.4">
      <c r="A10" s="737" t="s">
        <v>15380</v>
      </c>
      <c r="B10" s="738">
        <v>10000</v>
      </c>
      <c r="C10" s="738"/>
      <c r="D10" s="738">
        <v>-10000</v>
      </c>
      <c r="F10" s="694" t="s">
        <v>1399</v>
      </c>
      <c r="G10" s="695">
        <f t="shared" si="0"/>
        <v>15877458.15589213</v>
      </c>
      <c r="H10" s="695">
        <f>VLOOKUP(F10,'Project wise Supplier balance'!$A$6:$D$91,4,0)</f>
        <v>0</v>
      </c>
      <c r="I10" s="692">
        <f t="shared" si="1"/>
        <v>15877458.15589213</v>
      </c>
    </row>
    <row r="11" spans="1:11" ht="26.25" x14ac:dyDescent="0.4">
      <c r="A11" s="737" t="s">
        <v>15260</v>
      </c>
      <c r="B11" s="738">
        <v>345733</v>
      </c>
      <c r="C11" s="738">
        <v>369216</v>
      </c>
      <c r="D11" s="738">
        <v>23483</v>
      </c>
      <c r="F11" s="694" t="s">
        <v>7124</v>
      </c>
      <c r="G11" s="695">
        <f t="shared" si="0"/>
        <v>27649</v>
      </c>
      <c r="H11" s="695" t="e">
        <f>VLOOKUP(F11,'Project wise Supplier balance'!$A$6:$D$91,4,0)</f>
        <v>#N/A</v>
      </c>
      <c r="I11" s="692" t="e">
        <f t="shared" si="1"/>
        <v>#N/A</v>
      </c>
    </row>
    <row r="12" spans="1:11" ht="26.25" x14ac:dyDescent="0.4">
      <c r="A12" s="737" t="s">
        <v>15261</v>
      </c>
      <c r="B12" s="738">
        <v>2074323</v>
      </c>
      <c r="C12" s="738">
        <v>1249314</v>
      </c>
      <c r="D12" s="738">
        <v>-825009</v>
      </c>
      <c r="F12" s="694" t="s">
        <v>7065</v>
      </c>
      <c r="G12" s="695">
        <f t="shared" si="0"/>
        <v>5665632</v>
      </c>
      <c r="H12" s="695" t="e">
        <f>VLOOKUP(F12,'Project wise Supplier balance'!$A$6:$D$91,4,0)</f>
        <v>#N/A</v>
      </c>
      <c r="I12" s="692" t="e">
        <f t="shared" si="1"/>
        <v>#N/A</v>
      </c>
    </row>
    <row r="13" spans="1:11" ht="26.25" x14ac:dyDescent="0.4">
      <c r="A13" s="737" t="s">
        <v>15032</v>
      </c>
      <c r="B13" s="738">
        <v>800000</v>
      </c>
      <c r="C13" s="738">
        <v>498813.93800000002</v>
      </c>
      <c r="D13" s="738">
        <v>-301186.06199999998</v>
      </c>
      <c r="F13" s="694" t="s">
        <v>6509</v>
      </c>
      <c r="G13" s="695">
        <f t="shared" si="0"/>
        <v>2445161</v>
      </c>
      <c r="H13" s="695" t="e">
        <f>VLOOKUP(F13,'Project wise Supplier balance'!$A$6:$D$91,4,0)</f>
        <v>#N/A</v>
      </c>
      <c r="I13" s="692" t="e">
        <f t="shared" si="1"/>
        <v>#N/A</v>
      </c>
    </row>
    <row r="14" spans="1:11" ht="26.25" x14ac:dyDescent="0.4">
      <c r="A14" s="737" t="s">
        <v>15257</v>
      </c>
      <c r="B14" s="738">
        <v>4325059</v>
      </c>
      <c r="C14" s="738">
        <v>8508670</v>
      </c>
      <c r="D14" s="738">
        <v>4183611</v>
      </c>
      <c r="F14" s="694" t="s">
        <v>6516</v>
      </c>
      <c r="G14" s="695">
        <f t="shared" si="0"/>
        <v>1915801.3763440857</v>
      </c>
      <c r="H14" s="695" t="e">
        <f>VLOOKUP(F14,'Project wise Supplier balance'!$A$6:$D$91,4,0)</f>
        <v>#N/A</v>
      </c>
      <c r="I14" s="692" t="e">
        <f t="shared" si="1"/>
        <v>#N/A</v>
      </c>
    </row>
    <row r="15" spans="1:11" ht="26.25" x14ac:dyDescent="0.4">
      <c r="A15" s="737" t="s">
        <v>14596</v>
      </c>
      <c r="B15" s="738">
        <v>3457535.166666667</v>
      </c>
      <c r="C15" s="738">
        <v>5370002</v>
      </c>
      <c r="D15" s="738">
        <v>1912466.833333333</v>
      </c>
      <c r="F15" s="694" t="s">
        <v>6506</v>
      </c>
      <c r="G15" s="695">
        <f t="shared" si="0"/>
        <v>2113933</v>
      </c>
      <c r="H15" s="695" t="e">
        <f>VLOOKUP(F15,'Project wise Supplier balance'!$A$6:$D$91,4,0)</f>
        <v>#N/A</v>
      </c>
      <c r="I15" s="692" t="e">
        <f t="shared" si="1"/>
        <v>#N/A</v>
      </c>
    </row>
    <row r="16" spans="1:11" ht="26.25" x14ac:dyDescent="0.4">
      <c r="A16" s="737" t="s">
        <v>14539</v>
      </c>
      <c r="B16" s="738">
        <v>7949954</v>
      </c>
      <c r="C16" s="738">
        <v>5042256</v>
      </c>
      <c r="D16" s="738">
        <v>-2907698</v>
      </c>
      <c r="F16" s="694" t="s">
        <v>6503</v>
      </c>
      <c r="G16" s="695">
        <f t="shared" si="0"/>
        <v>5753807.1117511522</v>
      </c>
      <c r="H16" s="695">
        <f>VLOOKUP(F16,'Project wise Supplier balance'!$A$6:$D$91,4,0)</f>
        <v>2078265</v>
      </c>
      <c r="I16" s="692">
        <f t="shared" si="1"/>
        <v>3675542.1117511522</v>
      </c>
    </row>
    <row r="17" spans="1:9" ht="26.25" x14ac:dyDescent="0.4">
      <c r="A17" s="737" t="s">
        <v>14351</v>
      </c>
      <c r="B17" s="738">
        <v>11713861</v>
      </c>
      <c r="C17" s="738">
        <v>4500001</v>
      </c>
      <c r="D17" s="738">
        <v>-7213860</v>
      </c>
      <c r="F17" s="694" t="s">
        <v>7553</v>
      </c>
      <c r="G17" s="695">
        <f t="shared" si="0"/>
        <v>2263410.5322580645</v>
      </c>
      <c r="H17" s="695" t="e">
        <f>VLOOKUP(F17,'Project wise Supplier balance'!$A$6:$D$91,4,0)</f>
        <v>#N/A</v>
      </c>
      <c r="I17" s="692" t="e">
        <f t="shared" si="1"/>
        <v>#N/A</v>
      </c>
    </row>
    <row r="18" spans="1:9" ht="26.25" x14ac:dyDescent="0.4">
      <c r="A18" s="737" t="s">
        <v>14334</v>
      </c>
      <c r="B18" s="738">
        <v>7476660</v>
      </c>
      <c r="C18" s="738">
        <v>4009600</v>
      </c>
      <c r="D18" s="738">
        <v>-3467060</v>
      </c>
      <c r="F18" s="694" t="s">
        <v>6951</v>
      </c>
      <c r="G18" s="695">
        <f t="shared" si="0"/>
        <v>1351664</v>
      </c>
      <c r="H18" s="695" t="e">
        <f>VLOOKUP(F18,'Project wise Supplier balance'!$A$6:$D$91,4,0)</f>
        <v>#N/A</v>
      </c>
      <c r="I18" s="692" t="e">
        <f t="shared" si="1"/>
        <v>#N/A</v>
      </c>
    </row>
    <row r="19" spans="1:9" ht="26.25" x14ac:dyDescent="0.4">
      <c r="A19" s="737" t="s">
        <v>14329</v>
      </c>
      <c r="B19" s="738">
        <v>440551</v>
      </c>
      <c r="C19" s="738">
        <v>500000</v>
      </c>
      <c r="D19" s="738">
        <v>59449</v>
      </c>
      <c r="F19" s="694" t="s">
        <v>6645</v>
      </c>
      <c r="G19" s="695">
        <f t="shared" si="0"/>
        <v>67087</v>
      </c>
      <c r="H19" s="695" t="e">
        <f>VLOOKUP(F19,'Project wise Supplier balance'!$A$6:$D$91,4,0)</f>
        <v>#N/A</v>
      </c>
      <c r="I19" s="692" t="e">
        <f t="shared" si="1"/>
        <v>#N/A</v>
      </c>
    </row>
    <row r="20" spans="1:9" ht="26.25" x14ac:dyDescent="0.4">
      <c r="A20" s="737" t="s">
        <v>14232</v>
      </c>
      <c r="B20" s="738">
        <v>8423207</v>
      </c>
      <c r="C20" s="738"/>
      <c r="D20" s="738">
        <v>-8423207</v>
      </c>
      <c r="F20" s="694" t="s">
        <v>7110</v>
      </c>
      <c r="G20" s="695">
        <f t="shared" si="0"/>
        <v>641998.78494623653</v>
      </c>
      <c r="H20" s="695" t="e">
        <f>VLOOKUP(F20,'Project wise Supplier balance'!$A$6:$D$91,4,0)</f>
        <v>#N/A</v>
      </c>
      <c r="I20" s="692" t="e">
        <f t="shared" si="1"/>
        <v>#N/A</v>
      </c>
    </row>
    <row r="21" spans="1:9" ht="26.25" x14ac:dyDescent="0.4">
      <c r="A21" s="737" t="s">
        <v>13904</v>
      </c>
      <c r="B21" s="738">
        <v>2071419</v>
      </c>
      <c r="C21" s="738">
        <v>5645132</v>
      </c>
      <c r="D21" s="738">
        <v>3573713</v>
      </c>
      <c r="F21" s="694" t="s">
        <v>7655</v>
      </c>
      <c r="G21" s="695">
        <f t="shared" si="0"/>
        <v>702698.51</v>
      </c>
      <c r="H21" s="695" t="e">
        <f>VLOOKUP(F21,'Project wise Supplier balance'!$A$6:$D$91,4,0)</f>
        <v>#N/A</v>
      </c>
      <c r="I21" s="692" t="e">
        <f t="shared" si="1"/>
        <v>#N/A</v>
      </c>
    </row>
    <row r="22" spans="1:9" ht="26.25" x14ac:dyDescent="0.4">
      <c r="A22" s="737" t="s">
        <v>13475</v>
      </c>
      <c r="B22" s="738">
        <v>822780</v>
      </c>
      <c r="C22" s="738"/>
      <c r="D22" s="738">
        <v>-822780</v>
      </c>
      <c r="F22" s="694" t="s">
        <v>6407</v>
      </c>
      <c r="G22" s="695">
        <f t="shared" si="0"/>
        <v>-290582.22580645164</v>
      </c>
      <c r="H22" s="695" t="e">
        <f>VLOOKUP(F22,'Project wise Supplier balance'!$A$6:$D$91,4,0)</f>
        <v>#N/A</v>
      </c>
      <c r="I22" s="692" t="e">
        <f t="shared" si="1"/>
        <v>#N/A</v>
      </c>
    </row>
    <row r="23" spans="1:9" ht="26.25" x14ac:dyDescent="0.4">
      <c r="A23" s="737" t="s">
        <v>13279</v>
      </c>
      <c r="B23" s="738">
        <v>966128</v>
      </c>
      <c r="C23" s="738">
        <v>1358848</v>
      </c>
      <c r="D23" s="738">
        <v>392720</v>
      </c>
      <c r="F23" s="694" t="s">
        <v>7728</v>
      </c>
      <c r="G23" s="695">
        <f t="shared" si="0"/>
        <v>301911.87096774194</v>
      </c>
      <c r="H23" s="695" t="e">
        <f>VLOOKUP(F23,'Project wise Supplier balance'!$A$6:$D$91,4,0)</f>
        <v>#N/A</v>
      </c>
      <c r="I23" s="692" t="e">
        <f t="shared" si="1"/>
        <v>#N/A</v>
      </c>
    </row>
    <row r="24" spans="1:9" ht="26.25" x14ac:dyDescent="0.4">
      <c r="A24" s="737" t="s">
        <v>13297</v>
      </c>
      <c r="B24" s="738">
        <v>770397</v>
      </c>
      <c r="C24" s="738">
        <v>2148981</v>
      </c>
      <c r="D24" s="738">
        <v>1378584</v>
      </c>
      <c r="F24" s="694" t="s">
        <v>7741</v>
      </c>
      <c r="G24" s="695" t="e">
        <f t="shared" si="0"/>
        <v>#N/A</v>
      </c>
      <c r="H24" s="695" t="e">
        <f>VLOOKUP(F24,'Project wise Supplier balance'!$A$6:$D$91,4,0)</f>
        <v>#N/A</v>
      </c>
      <c r="I24" s="692" t="e">
        <f t="shared" si="1"/>
        <v>#N/A</v>
      </c>
    </row>
    <row r="25" spans="1:9" ht="26.25" x14ac:dyDescent="0.4">
      <c r="A25" s="737" t="s">
        <v>13636</v>
      </c>
      <c r="B25" s="738">
        <v>372411</v>
      </c>
      <c r="C25" s="738"/>
      <c r="D25" s="738">
        <v>-372411</v>
      </c>
    </row>
    <row r="26" spans="1:9" ht="26.25" x14ac:dyDescent="0.4">
      <c r="A26" s="737" t="s">
        <v>13519</v>
      </c>
      <c r="B26" s="738">
        <v>5607658</v>
      </c>
      <c r="C26" s="738">
        <v>9167409</v>
      </c>
      <c r="D26" s="738">
        <v>3559751</v>
      </c>
    </row>
    <row r="27" spans="1:9" ht="26.25" x14ac:dyDescent="0.4">
      <c r="A27" s="737" t="s">
        <v>13417</v>
      </c>
      <c r="B27" s="738">
        <v>5810581</v>
      </c>
      <c r="C27" s="738">
        <v>8097014</v>
      </c>
      <c r="D27" s="738">
        <v>2286433</v>
      </c>
    </row>
    <row r="28" spans="1:9" ht="26.25" x14ac:dyDescent="0.4">
      <c r="A28" s="737" t="s">
        <v>13278</v>
      </c>
      <c r="B28" s="738">
        <v>3495963</v>
      </c>
      <c r="C28" s="738">
        <v>2900094</v>
      </c>
      <c r="D28" s="738">
        <v>-595869</v>
      </c>
    </row>
    <row r="29" spans="1:9" ht="26.25" x14ac:dyDescent="0.4">
      <c r="A29" s="737" t="s">
        <v>13240</v>
      </c>
      <c r="B29" s="738">
        <v>10550295</v>
      </c>
      <c r="C29" s="738">
        <v>8907586</v>
      </c>
      <c r="D29" s="738">
        <v>-1642709</v>
      </c>
    </row>
    <row r="30" spans="1:9" ht="26.25" x14ac:dyDescent="0.4">
      <c r="A30" s="737" t="s">
        <v>13165</v>
      </c>
      <c r="B30" s="738">
        <v>17162578</v>
      </c>
      <c r="C30" s="738">
        <v>6001008</v>
      </c>
      <c r="D30" s="738">
        <v>-11161570</v>
      </c>
    </row>
    <row r="31" spans="1:9" ht="26.25" x14ac:dyDescent="0.4">
      <c r="A31" s="737" t="s">
        <v>13213</v>
      </c>
      <c r="B31" s="738">
        <v>34110145</v>
      </c>
      <c r="C31" s="738">
        <v>27277412</v>
      </c>
      <c r="D31" s="738">
        <v>-6832733</v>
      </c>
    </row>
    <row r="32" spans="1:9" ht="26.25" x14ac:dyDescent="0.4">
      <c r="A32" s="737" t="s">
        <v>13098</v>
      </c>
      <c r="B32" s="738">
        <v>18491939.03763441</v>
      </c>
      <c r="C32" s="738">
        <v>12647455</v>
      </c>
      <c r="D32" s="738">
        <v>-5844484.03763441</v>
      </c>
    </row>
    <row r="33" spans="1:9" ht="26.25" x14ac:dyDescent="0.4">
      <c r="A33" s="737" t="s">
        <v>12988</v>
      </c>
      <c r="B33" s="738">
        <v>174670</v>
      </c>
      <c r="C33" s="738">
        <v>200000</v>
      </c>
      <c r="D33" s="738">
        <v>25330</v>
      </c>
    </row>
    <row r="34" spans="1:9" ht="26.25" x14ac:dyDescent="0.4">
      <c r="A34" s="737" t="s">
        <v>12742</v>
      </c>
      <c r="B34" s="738">
        <v>757000</v>
      </c>
      <c r="C34" s="738"/>
      <c r="D34" s="738">
        <v>-757000</v>
      </c>
    </row>
    <row r="35" spans="1:9" ht="26.25" x14ac:dyDescent="0.4">
      <c r="A35" s="737" t="s">
        <v>12671</v>
      </c>
      <c r="B35" s="738">
        <v>10848946.35483871</v>
      </c>
      <c r="C35" s="738">
        <v>9227916</v>
      </c>
      <c r="D35" s="738">
        <v>-1621030.3548387098</v>
      </c>
    </row>
    <row r="36" spans="1:9" ht="26.25" x14ac:dyDescent="0.4">
      <c r="A36" s="737" t="s">
        <v>12654</v>
      </c>
      <c r="B36" s="738">
        <v>195480</v>
      </c>
      <c r="C36" s="738"/>
      <c r="D36" s="738">
        <v>-195480</v>
      </c>
    </row>
    <row r="37" spans="1:9" ht="26.25" x14ac:dyDescent="0.4">
      <c r="A37" s="737" t="s">
        <v>12783</v>
      </c>
      <c r="B37" s="738">
        <v>2899511</v>
      </c>
      <c r="C37" s="738">
        <v>5009855</v>
      </c>
      <c r="D37" s="738">
        <v>2110344</v>
      </c>
    </row>
    <row r="38" spans="1:9" ht="26.25" x14ac:dyDescent="0.4">
      <c r="A38" s="737" t="s">
        <v>12774</v>
      </c>
      <c r="B38" s="738">
        <v>349079</v>
      </c>
      <c r="C38" s="738">
        <v>300000</v>
      </c>
      <c r="D38" s="738">
        <v>-49079</v>
      </c>
    </row>
    <row r="39" spans="1:9" ht="26.25" x14ac:dyDescent="0.4">
      <c r="A39" s="737" t="s">
        <v>12334</v>
      </c>
      <c r="B39" s="738">
        <v>1291789.0322580645</v>
      </c>
      <c r="C39" s="738">
        <v>1000000</v>
      </c>
      <c r="D39" s="738">
        <v>-291789.03225806449</v>
      </c>
    </row>
    <row r="40" spans="1:9" ht="26.25" x14ac:dyDescent="0.4">
      <c r="A40" s="737" t="s">
        <v>12471</v>
      </c>
      <c r="B40" s="738">
        <v>137150</v>
      </c>
      <c r="C40" s="738">
        <v>120000</v>
      </c>
      <c r="D40" s="738">
        <v>-17150</v>
      </c>
    </row>
    <row r="41" spans="1:9" ht="26.25" x14ac:dyDescent="0.4">
      <c r="A41" s="737" t="s">
        <v>12388</v>
      </c>
      <c r="B41" s="738">
        <v>18709322.166666668</v>
      </c>
      <c r="C41" s="738">
        <v>12898454</v>
      </c>
      <c r="D41" s="738">
        <v>-5810868.1666666679</v>
      </c>
    </row>
    <row r="42" spans="1:9" ht="26.25" x14ac:dyDescent="0.4">
      <c r="A42" s="737" t="s">
        <v>12492</v>
      </c>
      <c r="B42" s="738">
        <v>16339318.274193548</v>
      </c>
      <c r="C42" s="738">
        <v>26712556</v>
      </c>
      <c r="D42" s="738">
        <v>10373237.725806452</v>
      </c>
    </row>
    <row r="43" spans="1:9" ht="26.25" x14ac:dyDescent="0.4">
      <c r="A43" s="737" t="s">
        <v>12584</v>
      </c>
      <c r="B43" s="738">
        <v>1370437</v>
      </c>
      <c r="C43" s="738">
        <v>1500000</v>
      </c>
      <c r="D43" s="738">
        <v>129563</v>
      </c>
      <c r="F43" s="290"/>
      <c r="G43" s="693"/>
      <c r="H43" s="693"/>
      <c r="I43" s="290"/>
    </row>
    <row r="44" spans="1:9" ht="26.25" x14ac:dyDescent="0.4">
      <c r="A44" s="737" t="s">
        <v>12171</v>
      </c>
      <c r="B44" s="738">
        <v>9567425</v>
      </c>
      <c r="C44" s="738">
        <v>9316872</v>
      </c>
      <c r="D44" s="738">
        <v>-250553</v>
      </c>
      <c r="F44" s="290"/>
      <c r="G44" s="693"/>
      <c r="H44" s="693"/>
      <c r="I44" s="290"/>
    </row>
    <row r="45" spans="1:9" ht="26.25" x14ac:dyDescent="0.4">
      <c r="A45" s="737" t="s">
        <v>11864</v>
      </c>
      <c r="B45" s="738">
        <v>44154998</v>
      </c>
      <c r="C45" s="738">
        <v>62447124</v>
      </c>
      <c r="D45" s="738">
        <v>18292126</v>
      </c>
      <c r="F45" s="290"/>
      <c r="G45" s="693"/>
      <c r="H45" s="693"/>
      <c r="I45" s="290"/>
    </row>
    <row r="46" spans="1:9" ht="26.25" x14ac:dyDescent="0.4">
      <c r="A46" s="737" t="s">
        <v>11586</v>
      </c>
      <c r="B46" s="738">
        <v>10958710</v>
      </c>
      <c r="C46" s="738">
        <v>17854400</v>
      </c>
      <c r="D46" s="738">
        <v>6895690</v>
      </c>
      <c r="F46" s="290"/>
      <c r="G46" s="693"/>
      <c r="H46" s="693"/>
      <c r="I46" s="290"/>
    </row>
    <row r="47" spans="1:9" s="290" customFormat="1" ht="26.25" x14ac:dyDescent="0.4">
      <c r="A47" s="737" t="s">
        <v>11488</v>
      </c>
      <c r="B47" s="738">
        <v>18696627.922091208</v>
      </c>
      <c r="C47" s="738">
        <v>25222344.821199998</v>
      </c>
      <c r="D47" s="738">
        <v>6525716.899108788</v>
      </c>
      <c r="G47" s="693"/>
      <c r="H47" s="693"/>
    </row>
    <row r="48" spans="1:9" s="290" customFormat="1" ht="26.25" x14ac:dyDescent="0.4">
      <c r="A48" s="737" t="s">
        <v>11423</v>
      </c>
      <c r="B48" s="738">
        <v>7602493</v>
      </c>
      <c r="C48" s="738">
        <v>11253125</v>
      </c>
      <c r="D48" s="738">
        <v>3650632</v>
      </c>
      <c r="G48" s="693"/>
      <c r="H48" s="693"/>
    </row>
    <row r="49" spans="1:8" s="290" customFormat="1" ht="26.25" x14ac:dyDescent="0.4">
      <c r="A49" s="737" t="s">
        <v>7801</v>
      </c>
      <c r="B49" s="738">
        <v>6086551.935483871</v>
      </c>
      <c r="C49" s="738">
        <v>9158251</v>
      </c>
      <c r="D49" s="738">
        <v>3071699.064516129</v>
      </c>
      <c r="G49" s="693"/>
      <c r="H49" s="693"/>
    </row>
    <row r="50" spans="1:8" s="290" customFormat="1" ht="26.25" x14ac:dyDescent="0.4">
      <c r="A50" s="737" t="s">
        <v>11318</v>
      </c>
      <c r="B50" s="738">
        <v>76862</v>
      </c>
      <c r="C50" s="738">
        <v>200000</v>
      </c>
      <c r="D50" s="738">
        <v>123138</v>
      </c>
      <c r="G50" s="693"/>
      <c r="H50" s="693"/>
    </row>
    <row r="51" spans="1:8" s="290" customFormat="1" ht="26.25" x14ac:dyDescent="0.4">
      <c r="A51" s="737" t="s">
        <v>11054</v>
      </c>
      <c r="B51" s="738">
        <v>1197792</v>
      </c>
      <c r="C51" s="738">
        <v>1000000</v>
      </c>
      <c r="D51" s="738">
        <v>-197792</v>
      </c>
      <c r="G51" s="693"/>
      <c r="H51" s="693"/>
    </row>
    <row r="52" spans="1:8" s="290" customFormat="1" ht="26.25" x14ac:dyDescent="0.4">
      <c r="A52" s="737" t="s">
        <v>10986</v>
      </c>
      <c r="B52" s="738">
        <v>319470</v>
      </c>
      <c r="C52" s="738">
        <v>900000</v>
      </c>
      <c r="D52" s="738">
        <v>580530</v>
      </c>
      <c r="G52" s="693"/>
      <c r="H52" s="693"/>
    </row>
    <row r="53" spans="1:8" s="290" customFormat="1" ht="26.25" x14ac:dyDescent="0.4">
      <c r="A53" s="737" t="s">
        <v>9707</v>
      </c>
      <c r="B53" s="738">
        <v>138515</v>
      </c>
      <c r="C53" s="738">
        <v>500000</v>
      </c>
      <c r="D53" s="738">
        <v>361485</v>
      </c>
      <c r="G53" s="693"/>
      <c r="H53" s="693"/>
    </row>
    <row r="54" spans="1:8" s="290" customFormat="1" ht="26.25" x14ac:dyDescent="0.4">
      <c r="A54" s="737" t="s">
        <v>10890</v>
      </c>
      <c r="B54" s="738">
        <v>25840761.397849467</v>
      </c>
      <c r="C54" s="738">
        <v>33383494</v>
      </c>
      <c r="D54" s="738">
        <v>7542732.6021505389</v>
      </c>
      <c r="G54" s="693"/>
      <c r="H54" s="693"/>
    </row>
    <row r="55" spans="1:8" s="290" customFormat="1" ht="26.25" x14ac:dyDescent="0.4">
      <c r="A55" s="737" t="s">
        <v>10564</v>
      </c>
      <c r="B55" s="738">
        <v>35380444.333333336</v>
      </c>
      <c r="C55" s="738">
        <v>56936719</v>
      </c>
      <c r="D55" s="738">
        <v>21556274.666666668</v>
      </c>
      <c r="G55" s="693"/>
      <c r="H55" s="693"/>
    </row>
    <row r="56" spans="1:8" s="290" customFormat="1" ht="26.25" x14ac:dyDescent="0.4">
      <c r="A56" s="737" t="s">
        <v>10367</v>
      </c>
      <c r="B56" s="738">
        <v>4030880</v>
      </c>
      <c r="C56" s="738">
        <v>3000000</v>
      </c>
      <c r="D56" s="738">
        <v>-1030880</v>
      </c>
      <c r="G56" s="693"/>
      <c r="H56" s="693"/>
    </row>
    <row r="57" spans="1:8" s="290" customFormat="1" ht="26.25" x14ac:dyDescent="0.4">
      <c r="A57" s="737" t="s">
        <v>10326</v>
      </c>
      <c r="B57" s="738">
        <v>6167255</v>
      </c>
      <c r="C57" s="738">
        <v>9632939</v>
      </c>
      <c r="D57" s="738">
        <v>3465684</v>
      </c>
      <c r="G57" s="693"/>
      <c r="H57" s="693"/>
    </row>
    <row r="58" spans="1:8" s="290" customFormat="1" ht="26.25" x14ac:dyDescent="0.4">
      <c r="A58" s="737" t="s">
        <v>10284</v>
      </c>
      <c r="B58" s="738">
        <v>4438580.4623655919</v>
      </c>
      <c r="C58" s="738">
        <v>2000000</v>
      </c>
      <c r="D58" s="738">
        <v>-2438580.4623655914</v>
      </c>
      <c r="G58" s="693"/>
      <c r="H58" s="693"/>
    </row>
    <row r="59" spans="1:8" s="290" customFormat="1" ht="26.25" x14ac:dyDescent="0.4">
      <c r="A59" s="737" t="s">
        <v>10220</v>
      </c>
      <c r="B59" s="738">
        <v>21396611.333333336</v>
      </c>
      <c r="C59" s="738">
        <v>35292766</v>
      </c>
      <c r="D59" s="738">
        <v>13896154.666666666</v>
      </c>
      <c r="G59" s="693"/>
      <c r="H59" s="693"/>
    </row>
    <row r="60" spans="1:8" s="290" customFormat="1" ht="26.25" x14ac:dyDescent="0.4">
      <c r="A60" s="737" t="s">
        <v>10132</v>
      </c>
      <c r="B60" s="738">
        <v>7007362</v>
      </c>
      <c r="C60" s="738">
        <v>7704349</v>
      </c>
      <c r="D60" s="738">
        <v>696987</v>
      </c>
      <c r="G60" s="693"/>
      <c r="H60" s="693"/>
    </row>
    <row r="61" spans="1:8" s="290" customFormat="1" ht="26.25" x14ac:dyDescent="0.4">
      <c r="A61" s="737" t="s">
        <v>10110</v>
      </c>
      <c r="B61" s="738">
        <v>83200</v>
      </c>
      <c r="C61" s="738">
        <v>0</v>
      </c>
      <c r="D61" s="738">
        <v>-83200</v>
      </c>
      <c r="G61" s="693"/>
      <c r="H61" s="693"/>
    </row>
    <row r="62" spans="1:8" s="290" customFormat="1" ht="26.25" x14ac:dyDescent="0.4">
      <c r="A62" s="737" t="s">
        <v>10011</v>
      </c>
      <c r="B62" s="738">
        <v>8472086.5</v>
      </c>
      <c r="C62" s="738">
        <v>7120000</v>
      </c>
      <c r="D62" s="738">
        <v>-1352086.5</v>
      </c>
      <c r="G62" s="693"/>
      <c r="H62" s="693"/>
    </row>
    <row r="63" spans="1:8" s="290" customFormat="1" ht="26.25" x14ac:dyDescent="0.4">
      <c r="A63" s="737" t="s">
        <v>9820</v>
      </c>
      <c r="B63" s="738">
        <v>45503637.629032262</v>
      </c>
      <c r="C63" s="738">
        <v>50043150</v>
      </c>
      <c r="D63" s="738">
        <v>4539512.3709677421</v>
      </c>
      <c r="G63" s="693"/>
      <c r="H63" s="693"/>
    </row>
    <row r="64" spans="1:8" s="290" customFormat="1" ht="26.25" x14ac:dyDescent="0.4">
      <c r="A64" s="737" t="s">
        <v>9757</v>
      </c>
      <c r="B64" s="738">
        <v>16161004</v>
      </c>
      <c r="C64" s="738">
        <v>19855650</v>
      </c>
      <c r="D64" s="738">
        <v>3694646</v>
      </c>
      <c r="G64" s="693"/>
      <c r="H64" s="693"/>
    </row>
    <row r="65" spans="1:8" s="290" customFormat="1" ht="26.25" x14ac:dyDescent="0.4">
      <c r="A65" s="737" t="s">
        <v>9649</v>
      </c>
      <c r="B65" s="738">
        <v>8024472.9032258065</v>
      </c>
      <c r="C65" s="738">
        <v>13223436</v>
      </c>
      <c r="D65" s="738">
        <v>5198963.0967741944</v>
      </c>
      <c r="G65" s="693"/>
      <c r="H65" s="693"/>
    </row>
    <row r="66" spans="1:8" s="290" customFormat="1" ht="26.25" x14ac:dyDescent="0.4">
      <c r="A66" s="737" t="s">
        <v>9452</v>
      </c>
      <c r="B66" s="738">
        <v>2097832</v>
      </c>
      <c r="C66" s="738">
        <v>2722000</v>
      </c>
      <c r="D66" s="738">
        <v>624168</v>
      </c>
      <c r="G66" s="693"/>
      <c r="H66" s="693"/>
    </row>
    <row r="67" spans="1:8" s="290" customFormat="1" ht="26.25" x14ac:dyDescent="0.4">
      <c r="A67" s="737" t="s">
        <v>9495</v>
      </c>
      <c r="B67" s="738">
        <v>2653746</v>
      </c>
      <c r="C67" s="738">
        <v>3185630</v>
      </c>
      <c r="D67" s="738">
        <v>531884</v>
      </c>
      <c r="G67" s="693"/>
      <c r="H67" s="693"/>
    </row>
    <row r="68" spans="1:8" s="290" customFormat="1" ht="26.25" x14ac:dyDescent="0.4">
      <c r="A68" s="737" t="s">
        <v>9397</v>
      </c>
      <c r="B68" s="738">
        <v>6184137.7741935486</v>
      </c>
      <c r="C68" s="738">
        <v>12225909</v>
      </c>
      <c r="D68" s="738">
        <v>6041771.2258064514</v>
      </c>
      <c r="G68" s="693"/>
      <c r="H68" s="693"/>
    </row>
    <row r="69" spans="1:8" s="290" customFormat="1" ht="26.25" x14ac:dyDescent="0.4">
      <c r="A69" s="737" t="s">
        <v>9390</v>
      </c>
      <c r="B69" s="738">
        <v>5230861.5483870972</v>
      </c>
      <c r="C69" s="738">
        <v>6590400</v>
      </c>
      <c r="D69" s="738">
        <v>1359538.4516129033</v>
      </c>
      <c r="G69" s="693"/>
      <c r="H69" s="693"/>
    </row>
    <row r="70" spans="1:8" s="290" customFormat="1" ht="26.25" x14ac:dyDescent="0.4">
      <c r="A70" s="737" t="s">
        <v>9344</v>
      </c>
      <c r="B70" s="738">
        <v>23797640.833333332</v>
      </c>
      <c r="C70" s="738">
        <v>29544857</v>
      </c>
      <c r="D70" s="738">
        <v>5747216.166666666</v>
      </c>
      <c r="G70" s="693"/>
      <c r="H70" s="693"/>
    </row>
    <row r="71" spans="1:8" s="290" customFormat="1" ht="26.25" x14ac:dyDescent="0.4">
      <c r="A71" s="737" t="s">
        <v>8856</v>
      </c>
      <c r="B71" s="738">
        <v>3591593</v>
      </c>
      <c r="C71" s="738">
        <v>6000000</v>
      </c>
      <c r="D71" s="738">
        <v>2408407</v>
      </c>
      <c r="G71" s="693"/>
      <c r="H71" s="693"/>
    </row>
    <row r="72" spans="1:8" s="290" customFormat="1" ht="26.25" x14ac:dyDescent="0.4">
      <c r="A72" s="737" t="s">
        <v>8864</v>
      </c>
      <c r="B72" s="738">
        <v>9976414.3548387103</v>
      </c>
      <c r="C72" s="738">
        <v>19682463</v>
      </c>
      <c r="D72" s="738">
        <v>9706048.6451612897</v>
      </c>
      <c r="G72" s="693"/>
      <c r="H72" s="693"/>
    </row>
    <row r="73" spans="1:8" s="290" customFormat="1" ht="26.25" x14ac:dyDescent="0.4">
      <c r="A73" s="737" t="s">
        <v>8547</v>
      </c>
      <c r="B73" s="738">
        <v>6861001</v>
      </c>
      <c r="C73" s="738">
        <v>5930062</v>
      </c>
      <c r="D73" s="738">
        <v>-959338</v>
      </c>
      <c r="G73" s="693"/>
      <c r="H73" s="693"/>
    </row>
    <row r="74" spans="1:8" s="290" customFormat="1" ht="26.25" x14ac:dyDescent="0.4">
      <c r="A74" s="737" t="s">
        <v>8645</v>
      </c>
      <c r="B74" s="738">
        <v>16339873</v>
      </c>
      <c r="C74" s="738">
        <v>28411050.419999998</v>
      </c>
      <c r="D74" s="738">
        <v>12071177.42</v>
      </c>
      <c r="G74" s="693"/>
      <c r="H74" s="693"/>
    </row>
    <row r="75" spans="1:8" s="290" customFormat="1" ht="26.25" x14ac:dyDescent="0.4">
      <c r="A75" s="737" t="s">
        <v>8521</v>
      </c>
      <c r="B75" s="738">
        <v>543932</v>
      </c>
      <c r="C75" s="738">
        <v>600000</v>
      </c>
      <c r="D75" s="738">
        <v>56068</v>
      </c>
      <c r="G75" s="693"/>
      <c r="H75" s="693"/>
    </row>
    <row r="76" spans="1:8" s="290" customFormat="1" ht="26.25" x14ac:dyDescent="0.4">
      <c r="A76" s="737" t="s">
        <v>8068</v>
      </c>
      <c r="B76" s="738">
        <v>1657197</v>
      </c>
      <c r="C76" s="738">
        <v>2614743</v>
      </c>
      <c r="D76" s="738">
        <v>957546</v>
      </c>
      <c r="G76" s="693"/>
      <c r="H76" s="693"/>
    </row>
    <row r="77" spans="1:8" s="290" customFormat="1" ht="26.25" x14ac:dyDescent="0.4">
      <c r="A77" s="737" t="s">
        <v>8329</v>
      </c>
      <c r="B77" s="738">
        <v>9772295</v>
      </c>
      <c r="C77" s="738">
        <v>14204081</v>
      </c>
      <c r="D77" s="738">
        <v>4473879</v>
      </c>
      <c r="G77" s="693"/>
      <c r="H77" s="693"/>
    </row>
    <row r="78" spans="1:8" s="290" customFormat="1" ht="26.25" x14ac:dyDescent="0.4">
      <c r="A78" s="737" t="s">
        <v>7914</v>
      </c>
      <c r="B78" s="738">
        <v>19551392</v>
      </c>
      <c r="C78" s="738">
        <v>26037593</v>
      </c>
      <c r="D78" s="738">
        <v>6468201</v>
      </c>
      <c r="G78" s="693"/>
      <c r="H78" s="693"/>
    </row>
    <row r="79" spans="1:8" s="290" customFormat="1" ht="26.25" x14ac:dyDescent="0.4">
      <c r="A79" s="737" t="s">
        <v>8034</v>
      </c>
      <c r="B79" s="738">
        <v>20585018</v>
      </c>
      <c r="C79" s="738">
        <v>28580316</v>
      </c>
      <c r="D79" s="738">
        <v>7977298</v>
      </c>
      <c r="G79" s="693"/>
      <c r="H79" s="693"/>
    </row>
    <row r="80" spans="1:8" s="290" customFormat="1" ht="26.25" x14ac:dyDescent="0.4">
      <c r="A80" s="1166" t="s">
        <v>6506</v>
      </c>
      <c r="B80" s="1165">
        <v>2813049</v>
      </c>
      <c r="C80" s="1165">
        <v>4926982</v>
      </c>
      <c r="D80" s="1165">
        <v>2113933</v>
      </c>
      <c r="G80" s="693"/>
      <c r="H80" s="693"/>
    </row>
    <row r="81" spans="1:8" s="290" customFormat="1" ht="26.25" x14ac:dyDescent="0.4">
      <c r="A81" s="1166" t="s">
        <v>6509</v>
      </c>
      <c r="B81" s="1165">
        <v>7639492</v>
      </c>
      <c r="C81" s="1165">
        <v>10084653</v>
      </c>
      <c r="D81" s="1165">
        <v>2445161</v>
      </c>
      <c r="G81" s="693"/>
      <c r="H81" s="693"/>
    </row>
    <row r="82" spans="1:8" s="290" customFormat="1" ht="26.25" x14ac:dyDescent="0.4">
      <c r="A82" s="1166" t="s">
        <v>7124</v>
      </c>
      <c r="B82" s="1165">
        <v>2367767</v>
      </c>
      <c r="C82" s="1165">
        <v>2395416</v>
      </c>
      <c r="D82" s="1165">
        <v>27649</v>
      </c>
      <c r="G82" s="693"/>
      <c r="H82" s="693"/>
    </row>
    <row r="83" spans="1:8" s="290" customFormat="1" ht="26.25" x14ac:dyDescent="0.4">
      <c r="A83" s="1166" t="s">
        <v>6407</v>
      </c>
      <c r="B83" s="1165">
        <v>4994014.2258064514</v>
      </c>
      <c r="C83" s="1165">
        <v>4645812</v>
      </c>
      <c r="D83" s="1165">
        <v>-290582.22580645164</v>
      </c>
      <c r="G83" s="693"/>
      <c r="H83" s="693"/>
    </row>
    <row r="84" spans="1:8" s="290" customFormat="1" ht="26.25" x14ac:dyDescent="0.4">
      <c r="A84" s="1166" t="s">
        <v>18</v>
      </c>
      <c r="B84" s="1165">
        <v>2475860.1605222733</v>
      </c>
      <c r="C84" s="1165">
        <v>4096750</v>
      </c>
      <c r="D84" s="1165">
        <v>1630889.8394777267</v>
      </c>
      <c r="G84" s="693"/>
      <c r="H84" s="693"/>
    </row>
    <row r="85" spans="1:8" s="290" customFormat="1" ht="26.25" x14ac:dyDescent="0.4">
      <c r="A85" s="1166" t="s">
        <v>7946</v>
      </c>
      <c r="B85" s="1165">
        <v>4397458</v>
      </c>
      <c r="C85" s="1165">
        <v>6566988</v>
      </c>
      <c r="D85" s="1165">
        <v>2169530</v>
      </c>
      <c r="G85" s="693"/>
      <c r="H85" s="693"/>
    </row>
    <row r="86" spans="1:8" s="290" customFormat="1" ht="26.25" x14ac:dyDescent="0.4">
      <c r="A86" s="1166" t="s">
        <v>7810</v>
      </c>
      <c r="B86" s="1165">
        <v>781154</v>
      </c>
      <c r="C86" s="1165">
        <v>1300000</v>
      </c>
      <c r="D86" s="1165">
        <v>518846</v>
      </c>
      <c r="G86" s="693"/>
      <c r="H86" s="693"/>
    </row>
    <row r="87" spans="1:8" s="290" customFormat="1" ht="26.25" x14ac:dyDescent="0.4">
      <c r="A87" s="1166" t="s">
        <v>7728</v>
      </c>
      <c r="B87" s="1165">
        <v>428088.12903225806</v>
      </c>
      <c r="C87" s="1165">
        <v>730000</v>
      </c>
      <c r="D87" s="1165">
        <v>301911.87096774194</v>
      </c>
      <c r="G87" s="693"/>
      <c r="H87" s="693"/>
    </row>
    <row r="88" spans="1:8" s="290" customFormat="1" ht="26.25" x14ac:dyDescent="0.4">
      <c r="A88" s="1166" t="s">
        <v>4720</v>
      </c>
      <c r="B88" s="1165">
        <v>4360763.8588709673</v>
      </c>
      <c r="C88" s="1165">
        <v>15155996.9</v>
      </c>
      <c r="D88" s="1165">
        <v>10795233.041129032</v>
      </c>
      <c r="G88" s="693"/>
      <c r="H88" s="693"/>
    </row>
    <row r="89" spans="1:8" s="290" customFormat="1" ht="26.25" x14ac:dyDescent="0.4">
      <c r="A89" s="1166" t="s">
        <v>5810</v>
      </c>
      <c r="B89" s="1165">
        <v>3130611.7334869434</v>
      </c>
      <c r="C89" s="1165">
        <v>3500000</v>
      </c>
      <c r="D89" s="1165">
        <v>369388.26651305659</v>
      </c>
      <c r="G89" s="693"/>
      <c r="H89" s="693"/>
    </row>
    <row r="90" spans="1:8" s="290" customFormat="1" ht="26.25" x14ac:dyDescent="0.4">
      <c r="A90" s="1166" t="s">
        <v>3945</v>
      </c>
      <c r="B90" s="1165">
        <v>19799674.615667541</v>
      </c>
      <c r="C90" s="1165">
        <v>24122386</v>
      </c>
      <c r="D90" s="1165">
        <v>4340542.3843324576</v>
      </c>
      <c r="G90" s="693"/>
      <c r="H90" s="693"/>
    </row>
    <row r="91" spans="1:8" s="290" customFormat="1" ht="26.25" x14ac:dyDescent="0.4">
      <c r="A91" s="1166" t="s">
        <v>3944</v>
      </c>
      <c r="B91" s="1165">
        <v>11602863.798165288</v>
      </c>
      <c r="C91" s="1165">
        <v>19172426</v>
      </c>
      <c r="D91" s="1165">
        <v>7572941.2340927767</v>
      </c>
      <c r="G91" s="693"/>
      <c r="H91" s="693"/>
    </row>
    <row r="92" spans="1:8" s="290" customFormat="1" ht="26.25" x14ac:dyDescent="0.4">
      <c r="A92" s="1166" t="s">
        <v>6102</v>
      </c>
      <c r="B92" s="1165">
        <v>289848</v>
      </c>
      <c r="C92" s="1165">
        <v>1337000</v>
      </c>
      <c r="D92" s="1165">
        <v>1047152</v>
      </c>
      <c r="G92" s="693"/>
      <c r="H92" s="693"/>
    </row>
    <row r="93" spans="1:8" s="290" customFormat="1" ht="26.25" x14ac:dyDescent="0.4">
      <c r="A93" s="1166" t="s">
        <v>1399</v>
      </c>
      <c r="B93" s="1165">
        <v>114670526.94410785</v>
      </c>
      <c r="C93" s="1165">
        <v>130502260.09999999</v>
      </c>
      <c r="D93" s="1165">
        <v>15877458.15589213</v>
      </c>
      <c r="G93" s="693"/>
      <c r="H93" s="693"/>
    </row>
    <row r="94" spans="1:8" s="290" customFormat="1" ht="26.25" x14ac:dyDescent="0.4">
      <c r="A94" s="1166" t="s">
        <v>2932</v>
      </c>
      <c r="B94" s="1165">
        <v>97556794.74362056</v>
      </c>
      <c r="C94" s="1165">
        <v>137552234</v>
      </c>
      <c r="D94" s="1165">
        <v>39998531.25637947</v>
      </c>
      <c r="G94" s="693"/>
      <c r="H94" s="693"/>
    </row>
    <row r="95" spans="1:8" s="290" customFormat="1" ht="26.25" x14ac:dyDescent="0.4">
      <c r="A95" s="1166" t="s">
        <v>7655</v>
      </c>
      <c r="B95" s="1165">
        <v>2210566</v>
      </c>
      <c r="C95" s="1165">
        <v>2913264.51</v>
      </c>
      <c r="D95" s="1165">
        <v>702698.51</v>
      </c>
      <c r="G95" s="693"/>
      <c r="H95" s="693"/>
    </row>
    <row r="96" spans="1:8" s="290" customFormat="1" ht="26.25" x14ac:dyDescent="0.4">
      <c r="A96" s="1166" t="s">
        <v>7110</v>
      </c>
      <c r="B96" s="1165">
        <v>3206398.2150537632</v>
      </c>
      <c r="C96" s="1165">
        <v>3848397</v>
      </c>
      <c r="D96" s="1165">
        <v>641998.78494623653</v>
      </c>
      <c r="G96" s="693"/>
      <c r="H96" s="693"/>
    </row>
    <row r="97" spans="1:9" s="290" customFormat="1" ht="26.25" x14ac:dyDescent="0.4">
      <c r="A97" s="1166" t="s">
        <v>7065</v>
      </c>
      <c r="B97" s="1165">
        <v>18681972</v>
      </c>
      <c r="C97" s="1165">
        <v>24347604</v>
      </c>
      <c r="D97" s="1165">
        <v>5665632</v>
      </c>
      <c r="G97" s="693"/>
      <c r="H97" s="693"/>
    </row>
    <row r="98" spans="1:9" s="290" customFormat="1" ht="26.25" x14ac:dyDescent="0.4">
      <c r="A98" s="1166" t="s">
        <v>6503</v>
      </c>
      <c r="B98" s="1165">
        <v>6744388.9715821808</v>
      </c>
      <c r="C98" s="1165">
        <v>12473768.75</v>
      </c>
      <c r="D98" s="1165">
        <v>5753807.1117511522</v>
      </c>
      <c r="F98" s="4"/>
      <c r="G98" s="244"/>
      <c r="H98" s="244"/>
      <c r="I98" s="4"/>
    </row>
    <row r="99" spans="1:9" s="290" customFormat="1" ht="26.25" x14ac:dyDescent="0.4">
      <c r="A99" s="1166" t="s">
        <v>7553</v>
      </c>
      <c r="B99" s="1165">
        <v>2558998.4677419355</v>
      </c>
      <c r="C99" s="1165">
        <v>4822409</v>
      </c>
      <c r="D99" s="1165">
        <v>2263410.5322580645</v>
      </c>
      <c r="F99" s="4"/>
      <c r="G99" s="244"/>
      <c r="H99" s="244"/>
      <c r="I99" s="4"/>
    </row>
    <row r="100" spans="1:9" s="290" customFormat="1" ht="26.25" x14ac:dyDescent="0.4">
      <c r="A100" s="1166" t="s">
        <v>6951</v>
      </c>
      <c r="B100" s="1165">
        <v>3524112</v>
      </c>
      <c r="C100" s="1165">
        <v>4875776</v>
      </c>
      <c r="D100" s="1165">
        <v>1351664</v>
      </c>
      <c r="F100" s="4"/>
      <c r="G100" s="244"/>
      <c r="H100" s="244"/>
      <c r="I100" s="4"/>
    </row>
    <row r="101" spans="1:9" s="290" customFormat="1" ht="26.25" x14ac:dyDescent="0.4">
      <c r="A101" s="1166" t="s">
        <v>6645</v>
      </c>
      <c r="B101" s="1165">
        <v>381763</v>
      </c>
      <c r="C101" s="1165">
        <v>448850</v>
      </c>
      <c r="D101" s="1165">
        <v>67087</v>
      </c>
      <c r="F101" s="4"/>
      <c r="G101" s="244"/>
      <c r="H101" s="244"/>
      <c r="I101" s="4"/>
    </row>
    <row r="102" spans="1:9" ht="26.25" x14ac:dyDescent="0.4">
      <c r="A102" s="1166" t="s">
        <v>6516</v>
      </c>
      <c r="B102" s="1165">
        <v>11348698.623655912</v>
      </c>
      <c r="C102" s="1165">
        <v>13264500</v>
      </c>
      <c r="D102" s="1165">
        <v>1915801.3763440857</v>
      </c>
    </row>
    <row r="103" spans="1:9" ht="26.25" x14ac:dyDescent="0.4">
      <c r="A103" s="1166" t="s">
        <v>2651</v>
      </c>
      <c r="B103" s="1165">
        <v>26687909.699682843</v>
      </c>
      <c r="C103" s="1165">
        <v>36731542</v>
      </c>
      <c r="D103" s="1165">
        <v>10068965.30031715</v>
      </c>
    </row>
    <row r="104" spans="1:9" ht="26.25" x14ac:dyDescent="0.4">
      <c r="A104" s="1166" t="s">
        <v>5543</v>
      </c>
      <c r="B104" s="1165">
        <v>678790.36290322582</v>
      </c>
      <c r="C104" s="1165">
        <v>872151</v>
      </c>
      <c r="D104" s="1165">
        <v>193360.63709677418</v>
      </c>
    </row>
    <row r="105" spans="1:9" ht="26.25" x14ac:dyDescent="0.4">
      <c r="A105" s="1166" t="s">
        <v>5640</v>
      </c>
      <c r="B105" s="1165">
        <v>2512284.75</v>
      </c>
      <c r="C105" s="1165">
        <v>3685007</v>
      </c>
      <c r="D105" s="1165">
        <v>1236944.25</v>
      </c>
    </row>
    <row r="106" spans="1:9" ht="26.25" x14ac:dyDescent="0.4">
      <c r="A106" s="1166" t="s">
        <v>5051</v>
      </c>
      <c r="B106" s="1165">
        <v>4445446.3494623657</v>
      </c>
      <c r="C106" s="1165">
        <v>6341262</v>
      </c>
      <c r="D106" s="1165">
        <v>1895815.6505376345</v>
      </c>
    </row>
    <row r="107" spans="1:9" ht="26.25" x14ac:dyDescent="0.4">
      <c r="A107" s="1166" t="s">
        <v>5616</v>
      </c>
      <c r="B107" s="1165">
        <v>1142182.75</v>
      </c>
      <c r="C107" s="1165">
        <v>2131308</v>
      </c>
      <c r="D107" s="1165">
        <v>989125.25</v>
      </c>
    </row>
    <row r="108" spans="1:9" ht="26.25" x14ac:dyDescent="0.4">
      <c r="A108" s="1166" t="s">
        <v>82</v>
      </c>
      <c r="B108" s="1165">
        <v>4379244</v>
      </c>
      <c r="C108" s="1165">
        <v>12514162</v>
      </c>
      <c r="D108" s="1165">
        <v>8134918</v>
      </c>
    </row>
    <row r="109" spans="1:9" ht="26.25" x14ac:dyDescent="0.4">
      <c r="A109" s="1166" t="s">
        <v>154</v>
      </c>
      <c r="B109" s="1165">
        <v>6704728</v>
      </c>
      <c r="C109" s="1165">
        <v>10075309</v>
      </c>
      <c r="D109" s="1165">
        <v>3380173</v>
      </c>
    </row>
    <row r="110" spans="1:9" ht="26.25" x14ac:dyDescent="0.4">
      <c r="A110" s="1166" t="s">
        <v>2093</v>
      </c>
      <c r="B110" s="1165">
        <v>5185502.0489631332</v>
      </c>
      <c r="C110" s="1165">
        <v>6644055</v>
      </c>
      <c r="D110" s="1165">
        <v>1458552.9510368668</v>
      </c>
    </row>
    <row r="111" spans="1:9" ht="26.25" x14ac:dyDescent="0.4">
      <c r="A111" s="1166" t="s">
        <v>2786</v>
      </c>
      <c r="B111" s="1165">
        <v>45546316.695372485</v>
      </c>
      <c r="C111" s="1165">
        <v>60651110</v>
      </c>
      <c r="D111" s="1165">
        <v>15104793.304627493</v>
      </c>
    </row>
    <row r="112" spans="1:9" ht="26.25" x14ac:dyDescent="0.4">
      <c r="A112" s="1166" t="s">
        <v>2547</v>
      </c>
      <c r="B112" s="1165">
        <v>1543068.4838709678</v>
      </c>
      <c r="C112" s="1165">
        <v>2378225</v>
      </c>
      <c r="D112" s="1165">
        <v>835156.51612903224</v>
      </c>
    </row>
    <row r="113" spans="1:4" ht="26.25" x14ac:dyDescent="0.4">
      <c r="A113" s="1166" t="s">
        <v>75</v>
      </c>
      <c r="B113" s="1165">
        <v>294600</v>
      </c>
      <c r="C113" s="1165"/>
      <c r="D113" s="1165">
        <v>-294600</v>
      </c>
    </row>
    <row r="114" spans="1:4" ht="26.25" x14ac:dyDescent="0.4">
      <c r="A114" s="1166" t="s">
        <v>1492</v>
      </c>
      <c r="B114" s="1165">
        <v>1943741.4677419357</v>
      </c>
      <c r="C114" s="1165">
        <v>3015886</v>
      </c>
      <c r="D114" s="1165">
        <v>1072144.5322580645</v>
      </c>
    </row>
    <row r="115" spans="1:4" ht="26.25" x14ac:dyDescent="0.4">
      <c r="A115" s="1166" t="s">
        <v>37</v>
      </c>
      <c r="B115" s="1165">
        <v>19207661.706935216</v>
      </c>
      <c r="C115" s="1165">
        <v>27623664</v>
      </c>
      <c r="D115" s="1165">
        <v>8406654.8468282185</v>
      </c>
    </row>
    <row r="116" spans="1:4" ht="26.25" x14ac:dyDescent="0.4">
      <c r="A116" s="1166" t="s">
        <v>11</v>
      </c>
      <c r="B116" s="1165">
        <v>2191386.2044930877</v>
      </c>
      <c r="C116" s="1165">
        <v>1656000</v>
      </c>
      <c r="D116" s="1165">
        <v>-540386.20449308748</v>
      </c>
    </row>
    <row r="117" spans="1:4" ht="26.25" x14ac:dyDescent="0.4">
      <c r="A117" s="1166" t="s">
        <v>25</v>
      </c>
      <c r="B117" s="1165">
        <v>21911260.887096774</v>
      </c>
      <c r="C117" s="1165"/>
      <c r="D117" s="1165">
        <v>-21901260.887096774</v>
      </c>
    </row>
    <row r="118" spans="1:4" ht="26.25" x14ac:dyDescent="0.4">
      <c r="A118" s="1166" t="s">
        <v>14</v>
      </c>
      <c r="B118" s="1165">
        <v>1143402</v>
      </c>
      <c r="C118" s="1165">
        <v>1572705</v>
      </c>
      <c r="D118" s="1165">
        <v>429303</v>
      </c>
    </row>
    <row r="119" spans="1:4" ht="26.25" x14ac:dyDescent="0.4">
      <c r="A119" s="1166" t="s">
        <v>1690</v>
      </c>
      <c r="B119" s="1165">
        <v>1698566</v>
      </c>
      <c r="C119" s="1165"/>
      <c r="D119" s="1165">
        <v>-1698566</v>
      </c>
    </row>
    <row r="120" spans="1:4" ht="26.25" x14ac:dyDescent="0.4">
      <c r="A120" s="1166" t="s">
        <v>16</v>
      </c>
      <c r="B120" s="1165">
        <v>30647427.745294284</v>
      </c>
      <c r="C120" s="1165">
        <v>50000</v>
      </c>
      <c r="D120" s="1165">
        <v>-30597468.938842669</v>
      </c>
    </row>
    <row r="121" spans="1:4" ht="26.25" x14ac:dyDescent="0.4">
      <c r="A121" s="1166" t="s">
        <v>13296</v>
      </c>
      <c r="B121" s="1165">
        <v>928326</v>
      </c>
      <c r="C121" s="1165">
        <v>3500000</v>
      </c>
      <c r="D121" s="1165">
        <v>2571674</v>
      </c>
    </row>
    <row r="122" spans="1:4" ht="26.25" x14ac:dyDescent="0.4">
      <c r="A122" s="1166" t="s">
        <v>22</v>
      </c>
      <c r="B122" s="1165">
        <v>721543</v>
      </c>
      <c r="C122" s="1165">
        <v>1000426</v>
      </c>
      <c r="D122" s="1165">
        <v>278883</v>
      </c>
    </row>
    <row r="123" spans="1:4" ht="26.25" x14ac:dyDescent="0.4">
      <c r="A123" s="1166" t="s">
        <v>2656</v>
      </c>
      <c r="B123" s="1165">
        <v>1938887.6774193549</v>
      </c>
      <c r="C123" s="1165">
        <v>3056239</v>
      </c>
      <c r="D123" s="1165">
        <v>1117351.3225806453</v>
      </c>
    </row>
    <row r="124" spans="1:4" ht="26.25" x14ac:dyDescent="0.4">
      <c r="A124" s="1166" t="s">
        <v>5164</v>
      </c>
      <c r="B124" s="1165"/>
      <c r="C124" s="1165">
        <v>485141</v>
      </c>
      <c r="D124" s="1165">
        <v>485141</v>
      </c>
    </row>
    <row r="125" spans="1:4" ht="26.25" x14ac:dyDescent="0.4">
      <c r="A125" s="1166" t="s">
        <v>6633</v>
      </c>
      <c r="B125" s="1165">
        <v>631720</v>
      </c>
      <c r="C125" s="1165">
        <v>1000000</v>
      </c>
      <c r="D125" s="1165">
        <v>368280</v>
      </c>
    </row>
    <row r="126" spans="1:4" ht="26.25" x14ac:dyDescent="0.4">
      <c r="A126" s="1166" t="s">
        <v>6514</v>
      </c>
      <c r="B126" s="1165">
        <v>4971444.0025458178</v>
      </c>
      <c r="C126" s="1165">
        <v>7995733</v>
      </c>
      <c r="D126" s="1165">
        <v>3024288.9974541827</v>
      </c>
    </row>
    <row r="127" spans="1:4" ht="26.25" x14ac:dyDescent="0.4">
      <c r="A127" s="1166" t="s">
        <v>6446</v>
      </c>
      <c r="B127" s="1165">
        <v>550023</v>
      </c>
      <c r="C127" s="1165">
        <v>1100470</v>
      </c>
      <c r="D127" s="1165">
        <v>550447</v>
      </c>
    </row>
    <row r="128" spans="1:4" ht="26.25" x14ac:dyDescent="0.4">
      <c r="A128" s="1166" t="s">
        <v>5745</v>
      </c>
      <c r="B128" s="1165">
        <v>735045</v>
      </c>
      <c r="C128" s="1165">
        <v>1058484</v>
      </c>
      <c r="D128" s="1165">
        <v>323439</v>
      </c>
    </row>
    <row r="129" spans="1:4" ht="26.25" x14ac:dyDescent="0.4">
      <c r="A129" s="1166" t="s">
        <v>5670</v>
      </c>
      <c r="B129" s="1165">
        <v>271826</v>
      </c>
      <c r="C129" s="1165">
        <v>563000</v>
      </c>
      <c r="D129" s="1165">
        <v>291174</v>
      </c>
    </row>
    <row r="130" spans="1:4" ht="26.25" x14ac:dyDescent="0.4">
      <c r="A130" s="1166" t="s">
        <v>7759</v>
      </c>
      <c r="B130" s="1165"/>
      <c r="C130" s="1165">
        <v>64507</v>
      </c>
      <c r="D130" s="1165">
        <v>64507</v>
      </c>
    </row>
    <row r="131" spans="1:4" ht="26.25" x14ac:dyDescent="0.4">
      <c r="A131" s="1166" t="s">
        <v>40</v>
      </c>
      <c r="B131" s="1165">
        <v>51386165.801987335</v>
      </c>
      <c r="C131" s="1165">
        <v>69560627</v>
      </c>
      <c r="D131" s="1165">
        <v>18225961.198012669</v>
      </c>
    </row>
    <row r="132" spans="1:4" ht="26.25" x14ac:dyDescent="0.4">
      <c r="A132" s="1166" t="s">
        <v>5226</v>
      </c>
      <c r="B132" s="1165">
        <v>1808575</v>
      </c>
      <c r="C132" s="1165">
        <v>2875708</v>
      </c>
      <c r="D132" s="1165">
        <v>1067133</v>
      </c>
    </row>
    <row r="133" spans="1:4" ht="26.25" x14ac:dyDescent="0.4">
      <c r="A133" s="1166" t="s">
        <v>3621</v>
      </c>
      <c r="B133" s="1165">
        <v>7385548</v>
      </c>
      <c r="C133" s="1165">
        <v>12071334</v>
      </c>
      <c r="D133" s="1165">
        <v>4685786</v>
      </c>
    </row>
    <row r="134" spans="1:4" ht="26.25" x14ac:dyDescent="0.4">
      <c r="A134" s="1166" t="s">
        <v>3732</v>
      </c>
      <c r="B134" s="1165">
        <v>5642256.6693548393</v>
      </c>
      <c r="C134" s="1165">
        <v>6215763</v>
      </c>
      <c r="D134" s="1165">
        <v>573506.33064516122</v>
      </c>
    </row>
    <row r="135" spans="1:4" ht="26.25" x14ac:dyDescent="0.4">
      <c r="A135" s="1166" t="s">
        <v>8816</v>
      </c>
      <c r="B135" s="1165">
        <v>785021</v>
      </c>
      <c r="C135" s="1165">
        <v>690021</v>
      </c>
      <c r="D135" s="1165">
        <v>-95000</v>
      </c>
    </row>
    <row r="136" spans="1:4" ht="26.25" x14ac:dyDescent="0.4">
      <c r="A136" s="1166" t="s">
        <v>8879</v>
      </c>
      <c r="B136" s="1165">
        <v>84014</v>
      </c>
      <c r="C136" s="1165">
        <v>88818</v>
      </c>
      <c r="D136" s="1165">
        <v>4804</v>
      </c>
    </row>
    <row r="137" spans="1:4" ht="26.25" x14ac:dyDescent="0.4">
      <c r="A137" s="1166" t="s">
        <v>9503</v>
      </c>
      <c r="B137" s="1165">
        <v>369250</v>
      </c>
      <c r="C137" s="1165"/>
      <c r="D137" s="1165">
        <v>-369250</v>
      </c>
    </row>
    <row r="138" spans="1:4" ht="26.25" x14ac:dyDescent="0.4">
      <c r="A138" s="1166" t="s">
        <v>10361</v>
      </c>
      <c r="B138" s="1165">
        <v>25000</v>
      </c>
      <c r="C138" s="1165"/>
      <c r="D138" s="1165">
        <v>-25000</v>
      </c>
    </row>
    <row r="139" spans="1:4" ht="26.25" x14ac:dyDescent="0.4">
      <c r="A139" s="1164" t="s">
        <v>10351</v>
      </c>
      <c r="B139" s="1165">
        <v>10000</v>
      </c>
      <c r="C139" s="1165"/>
      <c r="D139" s="1165">
        <v>-10000</v>
      </c>
    </row>
    <row r="140" spans="1:4" ht="26.25" x14ac:dyDescent="0.4">
      <c r="A140" s="1166" t="s">
        <v>11594</v>
      </c>
      <c r="B140" s="1165">
        <v>92210</v>
      </c>
      <c r="C140" s="1165">
        <v>112665</v>
      </c>
      <c r="D140" s="1165">
        <v>20455</v>
      </c>
    </row>
    <row r="141" spans="1:4" ht="26.25" x14ac:dyDescent="0.4">
      <c r="A141" s="1164" t="s">
        <v>11685</v>
      </c>
      <c r="B141" s="1165">
        <v>62941</v>
      </c>
      <c r="C141" s="1165"/>
      <c r="D141" s="1165">
        <v>-62941</v>
      </c>
    </row>
    <row r="142" spans="1:4" ht="26.25" x14ac:dyDescent="0.4">
      <c r="A142" s="1164" t="s">
        <v>12416</v>
      </c>
      <c r="B142" s="1165">
        <v>20900</v>
      </c>
      <c r="C142" s="1165"/>
      <c r="D142" s="1165">
        <v>-20900</v>
      </c>
    </row>
    <row r="143" spans="1:4" ht="26.25" x14ac:dyDescent="0.4">
      <c r="A143" s="1164" t="s">
        <v>12668</v>
      </c>
      <c r="B143" s="1165">
        <v>1096000</v>
      </c>
      <c r="C143" s="1165"/>
      <c r="D143" s="1165">
        <v>-1096000</v>
      </c>
    </row>
    <row r="144" spans="1:4" ht="26.25" x14ac:dyDescent="0.4">
      <c r="A144" s="1164" t="s">
        <v>12969</v>
      </c>
      <c r="B144" s="1165">
        <v>36500</v>
      </c>
      <c r="C144" s="1165"/>
      <c r="D144" s="1165">
        <v>-36500</v>
      </c>
    </row>
    <row r="145" spans="1:4" ht="26.25" x14ac:dyDescent="0.4">
      <c r="A145" s="1164" t="s">
        <v>13363</v>
      </c>
      <c r="B145" s="1165">
        <v>685000</v>
      </c>
      <c r="C145" s="1165">
        <v>866522</v>
      </c>
      <c r="D145" s="1165">
        <v>181522</v>
      </c>
    </row>
    <row r="146" spans="1:4" ht="26.25" x14ac:dyDescent="0.4">
      <c r="A146" s="1164" t="s">
        <v>13453</v>
      </c>
      <c r="B146" s="1165">
        <v>260520</v>
      </c>
      <c r="C146" s="1165"/>
      <c r="D146" s="1165">
        <v>-260520</v>
      </c>
    </row>
    <row r="147" spans="1:4" ht="26.25" x14ac:dyDescent="0.4">
      <c r="A147" s="1164" t="s">
        <v>13521</v>
      </c>
      <c r="B147" s="1165">
        <v>15000</v>
      </c>
      <c r="C147" s="1165">
        <v>50000</v>
      </c>
      <c r="D147" s="1165">
        <v>35000</v>
      </c>
    </row>
    <row r="148" spans="1:4" ht="26.25" x14ac:dyDescent="0.4">
      <c r="A148" s="1164" t="s">
        <v>13935</v>
      </c>
      <c r="B148" s="1165">
        <v>73040</v>
      </c>
      <c r="C148" s="1165"/>
      <c r="D148" s="1165">
        <v>-73040</v>
      </c>
    </row>
    <row r="149" spans="1:4" ht="26.25" x14ac:dyDescent="0.4">
      <c r="A149" s="1164" t="s">
        <v>14463</v>
      </c>
      <c r="B149" s="1165">
        <v>125000</v>
      </c>
      <c r="C149" s="1165">
        <v>569249</v>
      </c>
      <c r="D149" s="1165">
        <v>444249</v>
      </c>
    </row>
    <row r="150" spans="1:4" ht="26.25" x14ac:dyDescent="0.4">
      <c r="A150" s="1164" t="s">
        <v>15004</v>
      </c>
      <c r="B150" s="1165">
        <v>505041</v>
      </c>
      <c r="C150" s="1165">
        <v>800000</v>
      </c>
      <c r="D150" s="1165">
        <v>294959</v>
      </c>
    </row>
    <row r="151" spans="1:4" ht="26.25" x14ac:dyDescent="0.4">
      <c r="A151" s="1164" t="s">
        <v>15156</v>
      </c>
      <c r="B151" s="1165">
        <v>120370</v>
      </c>
      <c r="C151" s="1165"/>
      <c r="D151" s="1165">
        <v>-120370</v>
      </c>
    </row>
    <row r="152" spans="1:4" ht="26.25" x14ac:dyDescent="0.4">
      <c r="A152" s="1164" t="s">
        <v>15865</v>
      </c>
      <c r="B152" s="1165">
        <v>39600</v>
      </c>
      <c r="C152" s="1165"/>
      <c r="D152" s="1165">
        <v>-39600</v>
      </c>
    </row>
    <row r="153" spans="1:4" ht="26.25" x14ac:dyDescent="0.4">
      <c r="A153" s="1174" t="s">
        <v>3144</v>
      </c>
      <c r="B153" s="1165">
        <v>39600</v>
      </c>
      <c r="C153" s="1165"/>
      <c r="D153" s="1165">
        <v>-39600</v>
      </c>
    </row>
    <row r="154" spans="1:4" ht="26.25" x14ac:dyDescent="0.4">
      <c r="A154" s="1164" t="s">
        <v>15919</v>
      </c>
      <c r="B154" s="1165">
        <v>19300</v>
      </c>
      <c r="C154" s="1165"/>
      <c r="D154" s="1165">
        <v>-19300</v>
      </c>
    </row>
    <row r="155" spans="1:4" ht="26.25" x14ac:dyDescent="0.4">
      <c r="A155" s="1174" t="s">
        <v>3144</v>
      </c>
      <c r="B155" s="1165">
        <v>19300</v>
      </c>
      <c r="C155" s="1165"/>
      <c r="D155" s="1165">
        <v>-19300</v>
      </c>
    </row>
    <row r="156" spans="1:4" ht="26.25" x14ac:dyDescent="0.4">
      <c r="A156" s="1164" t="s">
        <v>15922</v>
      </c>
      <c r="B156" s="1165">
        <v>110000</v>
      </c>
      <c r="C156" s="1165"/>
      <c r="D156" s="1165">
        <v>-110000</v>
      </c>
    </row>
    <row r="157" spans="1:4" ht="26.25" x14ac:dyDescent="0.4">
      <c r="A157" s="1174" t="s">
        <v>1229</v>
      </c>
      <c r="B157" s="1165">
        <v>110000</v>
      </c>
      <c r="C157" s="1165"/>
      <c r="D157" s="1165">
        <v>-110000</v>
      </c>
    </row>
    <row r="158" spans="1:4" ht="26.25" x14ac:dyDescent="0.4">
      <c r="A158" s="1166" t="s">
        <v>45</v>
      </c>
      <c r="B158" s="1165">
        <v>1207454142.7501633</v>
      </c>
      <c r="C158" s="1165">
        <v>1456291883.4391999</v>
      </c>
      <c r="D158" s="1165">
        <v>249123767.41484323</v>
      </c>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1035"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11713861</v>
      </c>
      <c r="G2" s="1018">
        <f ca="1">SUMIF(Posting!$B:$F,A2,Posting!$F:$F)</f>
        <v>4500001</v>
      </c>
      <c r="H2" s="1018">
        <f ca="1">SUMIF(Supplier!$B:$F,A2,Supplier!$E:$E)-SUMIF(Supplier!$B:$F,A2,Supplier!$F:$F)</f>
        <v>3500717</v>
      </c>
      <c r="I2" s="1018"/>
      <c r="J2" s="1018"/>
      <c r="K2" s="1018"/>
      <c r="L2" s="1018">
        <f>I2</f>
        <v>0</v>
      </c>
      <c r="M2" s="1045"/>
    </row>
    <row r="3" spans="1:15" s="4" customFormat="1" x14ac:dyDescent="0.3">
      <c r="A3" s="1051" t="s">
        <v>14232</v>
      </c>
      <c r="B3" s="1017"/>
      <c r="C3" s="1017"/>
      <c r="D3" s="1017">
        <f t="shared" ref="D3" si="1">B3-C3</f>
        <v>0</v>
      </c>
      <c r="E3" s="1022"/>
      <c r="F3" s="1018">
        <f ca="1">SUMIF(Posting!$B:$E,A3,Posting!$E:$E)</f>
        <v>8423207</v>
      </c>
      <c r="G3" s="1018">
        <f ca="1">SUMIF(Posting!$B:$F,A3,Posting!$F:$F)</f>
        <v>0</v>
      </c>
      <c r="H3" s="1018">
        <f ca="1">SUMIF(Supplier!$B:$F,A3,Supplier!$E:$E)-SUMIF(Supplier!$B:$F,A3,Supplier!$F:$F)</f>
        <v>1514813</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2899511</v>
      </c>
      <c r="G5" s="1018">
        <f ca="1">SUMIF(Posting!$B:$F,A5,Posting!$F:$F)</f>
        <v>5009855</v>
      </c>
      <c r="H5" s="1018">
        <f ca="1">SUMIF(Supplier!$B:$F,A5,Supplier!$E:$E)-SUMIF(Supplier!$B:$F,A5,Supplier!$F:$F)</f>
        <v>563890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16339318.274193548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6744388.9715821808</v>
      </c>
      <c r="G12" s="1018">
        <f ca="1">SUMIF(Posting!$B:$F,A12,Posting!$F:$F)</f>
        <v>12473768.75</v>
      </c>
      <c r="H12" s="1018">
        <f ca="1">SUMIF(Supplier!$B:$F,A12,Supplier!$E:$E)-SUMIF(Supplier!$B:$F,A12,Supplier!$F:$F)</f>
        <v>2078265</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45503637.629032262</v>
      </c>
      <c r="G13" s="1018">
        <f ca="1">SUMIF(Posting!$B:$F,A13,Posting!$F:$F)</f>
        <v>50043150</v>
      </c>
      <c r="H13" s="1018">
        <f ca="1">SUMIF(Supplier!$B:$F,A13,Supplier!$E:$E)-SUMIF(Supplier!$B:$F,A13,Supplier!$F:$F)</f>
        <v>1068006</v>
      </c>
      <c r="I13" s="1041"/>
      <c r="J13" s="1018"/>
      <c r="K13" s="1018"/>
      <c r="L13" s="1018"/>
      <c r="M13" s="1045"/>
    </row>
    <row r="14" spans="1:15" s="4" customFormat="1" x14ac:dyDescent="0.3">
      <c r="A14" s="1051" t="s">
        <v>12671</v>
      </c>
      <c r="B14" s="1017"/>
      <c r="C14" s="1017"/>
      <c r="D14" s="1017"/>
      <c r="E14" s="1022"/>
      <c r="F14" s="1018">
        <f ca="1">SUMIF(Posting!$B:$E,A14,Posting!$E:$E)</f>
        <v>10848946.35483871</v>
      </c>
      <c r="G14" s="1018">
        <f ca="1">SUMIF(Posting!$B:$F,A14,Posting!$F:$F)</f>
        <v>9227916</v>
      </c>
      <c r="H14" s="1018">
        <f ca="1">SUMIF(Supplier!$B:$F,A14,Supplier!$E:$E)-SUMIF(Supplier!$B:$F,A14,Supplier!$F:$F)</f>
        <v>704437</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-272178</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6086551.935483871</v>
      </c>
      <c r="G29" s="1018">
        <f ca="1">SUMIF(Posting!$B:$F,A29,Posting!$F:$F)</f>
        <v>9158251</v>
      </c>
      <c r="H29" s="1018">
        <f ca="1">SUMIF(Supplier!$B:$F,A29,Supplier!$E:$E)-SUMIF(Supplier!$B:$F,A29,Supplier!$F:$F)</f>
        <v>373695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5037231</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E11" sqref="E11"/>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16"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15796</v>
      </c>
      <c r="C1" s="1061" t="s">
        <v>15800</v>
      </c>
      <c r="D1" s="1061" t="s">
        <v>558</v>
      </c>
      <c r="E1" s="1066" t="s">
        <v>15801</v>
      </c>
      <c r="F1" s="1061"/>
      <c r="G1" s="1061"/>
      <c r="H1" s="1065"/>
      <c r="I1" s="1065"/>
      <c r="J1" s="1060"/>
      <c r="K1" s="1060"/>
      <c r="L1" s="1060"/>
      <c r="M1" s="1062"/>
    </row>
    <row r="2" spans="1:15" s="4" customFormat="1" x14ac:dyDescent="0.3">
      <c r="A2" s="1160" t="s">
        <v>15794</v>
      </c>
      <c r="B2" s="1160"/>
      <c r="C2" s="1017"/>
      <c r="D2" s="1017"/>
      <c r="E2" s="1017"/>
      <c r="F2" s="1017"/>
      <c r="G2" s="1018"/>
      <c r="H2" s="1018"/>
      <c r="I2" s="1018"/>
      <c r="J2" s="1017"/>
      <c r="K2" s="1017"/>
      <c r="L2" s="1018"/>
      <c r="M2" s="1018"/>
      <c r="O2" s="244"/>
    </row>
    <row r="3" spans="1:15" s="4" customFormat="1" x14ac:dyDescent="0.3">
      <c r="A3" s="1160" t="s">
        <v>15795</v>
      </c>
      <c r="B3" s="1160" t="s">
        <v>15797</v>
      </c>
      <c r="C3" s="1017">
        <v>10820076.375</v>
      </c>
      <c r="D3" s="1017">
        <v>7120000</v>
      </c>
      <c r="E3" s="1017">
        <f>C3-D3</f>
        <v>3700076.375</v>
      </c>
      <c r="F3" s="1017"/>
      <c r="G3" s="1018"/>
      <c r="H3" s="1018"/>
      <c r="I3" s="1018"/>
      <c r="J3" s="1017"/>
      <c r="K3" s="1017"/>
      <c r="L3" s="1018"/>
      <c r="M3" s="1018"/>
      <c r="O3" s="244"/>
    </row>
    <row r="4" spans="1:15" s="4" customFormat="1" x14ac:dyDescent="0.3">
      <c r="A4" s="1160" t="s">
        <v>15798</v>
      </c>
      <c r="B4" s="1160" t="s">
        <v>15799</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15802</v>
      </c>
      <c r="C5" s="1017">
        <v>455879</v>
      </c>
      <c r="D5" s="1017"/>
      <c r="E5" s="1017">
        <f>C5-D5</f>
        <v>455879</v>
      </c>
      <c r="F5" s="1017"/>
      <c r="G5" s="1018"/>
      <c r="H5" s="1018"/>
      <c r="I5" s="1018"/>
      <c r="J5" s="1017"/>
      <c r="K5" s="1017"/>
      <c r="L5" s="1018"/>
      <c r="M5" s="1018"/>
      <c r="O5" s="244"/>
    </row>
    <row r="6" spans="1:15" s="4" customFormat="1" x14ac:dyDescent="0.3">
      <c r="A6" s="1160" t="s">
        <v>15803</v>
      </c>
      <c r="B6" s="1160" t="s">
        <v>15802</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73"/>
  <sheetViews>
    <sheetView zoomScale="120" zoomScaleNormal="120" workbookViewId="0">
      <pane ySplit="1" topLeftCell="A4561" activePane="bottomLeft" state="frozen"/>
      <selection activeCell="D26" sqref="D26"/>
      <selection pane="bottomLeft" activeCell="C4586" sqref="C458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14" t="s">
        <v>518</v>
      </c>
    </row>
    <row r="52" spans="1:8" x14ac:dyDescent="0.25">
      <c r="A52" s="17">
        <v>42426</v>
      </c>
      <c r="B52" s="21" t="s">
        <v>129</v>
      </c>
      <c r="C52" s="13" t="s">
        <v>161</v>
      </c>
      <c r="D52" s="764"/>
      <c r="E52" s="22"/>
      <c r="F52" s="19">
        <v>60000</v>
      </c>
      <c r="G52" s="14">
        <f t="shared" si="4"/>
        <v>-60000</v>
      </c>
      <c r="H52" s="1214"/>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85" t="s">
        <v>517</v>
      </c>
    </row>
    <row r="64" spans="1:8" x14ac:dyDescent="0.25">
      <c r="A64" s="17">
        <v>42430</v>
      </c>
      <c r="B64" s="21" t="s">
        <v>40</v>
      </c>
      <c r="C64" s="13" t="s">
        <v>164</v>
      </c>
      <c r="D64" s="764">
        <v>8707</v>
      </c>
      <c r="E64" s="22">
        <v>9826</v>
      </c>
      <c r="F64" s="19"/>
      <c r="G64" s="14">
        <f t="shared" si="6"/>
        <v>9826</v>
      </c>
      <c r="H64" s="1209"/>
    </row>
    <row r="65" spans="1:8" x14ac:dyDescent="0.25">
      <c r="A65" s="17">
        <v>42432</v>
      </c>
      <c r="B65" s="21" t="s">
        <v>130</v>
      </c>
      <c r="C65" s="13" t="s">
        <v>164</v>
      </c>
      <c r="D65" s="764">
        <v>8822</v>
      </c>
      <c r="E65" s="22">
        <v>10294</v>
      </c>
      <c r="F65" s="19"/>
      <c r="G65" s="14">
        <f t="shared" si="6"/>
        <v>10294</v>
      </c>
      <c r="H65" s="1209"/>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32" t="s">
        <v>2192</v>
      </c>
    </row>
    <row r="441" spans="1:8" x14ac:dyDescent="0.25">
      <c r="A441" s="17">
        <v>42740</v>
      </c>
      <c r="B441" s="10" t="s">
        <v>1399</v>
      </c>
      <c r="C441" s="11" t="s">
        <v>1802</v>
      </c>
      <c r="F441" s="9">
        <v>433634</v>
      </c>
      <c r="G441" s="6">
        <f t="shared" si="11"/>
        <v>-433634</v>
      </c>
      <c r="H441" s="1233"/>
    </row>
    <row r="442" spans="1:8" x14ac:dyDescent="0.25">
      <c r="A442" s="17">
        <v>42740</v>
      </c>
      <c r="B442" s="10" t="s">
        <v>1675</v>
      </c>
      <c r="C442" s="11" t="s">
        <v>1802</v>
      </c>
      <c r="F442" s="9">
        <v>32908</v>
      </c>
      <c r="G442" s="6">
        <f t="shared" si="11"/>
        <v>-32908</v>
      </c>
      <c r="H442" s="1233"/>
    </row>
    <row r="443" spans="1:8" x14ac:dyDescent="0.25">
      <c r="A443" s="17">
        <v>42740</v>
      </c>
      <c r="B443" s="10" t="s">
        <v>32</v>
      </c>
      <c r="C443" s="11" t="s">
        <v>1802</v>
      </c>
      <c r="F443" s="9">
        <v>30468</v>
      </c>
      <c r="G443" s="6">
        <f t="shared" si="11"/>
        <v>-30468</v>
      </c>
      <c r="H443" s="1234"/>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32" t="s">
        <v>2193</v>
      </c>
    </row>
    <row r="459" spans="1:8" x14ac:dyDescent="0.25">
      <c r="A459" s="17">
        <v>42804</v>
      </c>
      <c r="B459" s="10" t="s">
        <v>1396</v>
      </c>
      <c r="C459" s="11" t="s">
        <v>1802</v>
      </c>
      <c r="F459" s="9">
        <v>100000</v>
      </c>
      <c r="G459" s="6">
        <f t="shared" si="11"/>
        <v>-100000</v>
      </c>
      <c r="H459" s="1233"/>
    </row>
    <row r="460" spans="1:8" x14ac:dyDescent="0.25">
      <c r="A460" s="17">
        <v>42804</v>
      </c>
      <c r="B460" s="10" t="s">
        <v>32</v>
      </c>
      <c r="C460" s="11" t="s">
        <v>1802</v>
      </c>
      <c r="F460" s="9">
        <v>100000</v>
      </c>
      <c r="G460" s="6">
        <f t="shared" si="11"/>
        <v>-100000</v>
      </c>
      <c r="H460" s="1234"/>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32" t="s">
        <v>2411</v>
      </c>
    </row>
    <row r="541" spans="1:8" x14ac:dyDescent="0.25">
      <c r="A541" s="17">
        <v>42875</v>
      </c>
      <c r="B541" s="10" t="s">
        <v>1396</v>
      </c>
      <c r="C541" s="11" t="s">
        <v>161</v>
      </c>
      <c r="F541" s="9">
        <v>99093</v>
      </c>
      <c r="G541" s="6">
        <f t="shared" si="16"/>
        <v>-99093</v>
      </c>
      <c r="H541" s="1234"/>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32" t="s">
        <v>2419</v>
      </c>
    </row>
    <row r="559" spans="1:8" x14ac:dyDescent="0.25">
      <c r="A559" s="17">
        <v>42880</v>
      </c>
      <c r="B559" s="148" t="s">
        <v>32</v>
      </c>
      <c r="C559" s="149" t="s">
        <v>1802</v>
      </c>
      <c r="D559" s="770"/>
      <c r="E559" s="150"/>
      <c r="F559" s="151">
        <v>100000</v>
      </c>
      <c r="G559" s="152">
        <f t="shared" si="16"/>
        <v>-100000</v>
      </c>
      <c r="H559" s="1234"/>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35" t="s">
        <v>2980</v>
      </c>
    </row>
    <row r="750" spans="1:8" x14ac:dyDescent="0.25">
      <c r="A750" s="17">
        <v>43081</v>
      </c>
      <c r="B750" s="10" t="s">
        <v>2786</v>
      </c>
      <c r="C750" s="11" t="s">
        <v>166</v>
      </c>
      <c r="F750" s="9">
        <v>183600</v>
      </c>
      <c r="G750" s="6">
        <f t="shared" si="20"/>
        <v>-183600</v>
      </c>
      <c r="H750" s="1236"/>
    </row>
    <row r="751" spans="1:8" x14ac:dyDescent="0.25">
      <c r="A751" s="17">
        <v>43081</v>
      </c>
      <c r="B751" s="10" t="s">
        <v>40</v>
      </c>
      <c r="C751" s="11" t="s">
        <v>166</v>
      </c>
      <c r="F751" s="9">
        <v>69900</v>
      </c>
      <c r="G751" s="6">
        <f t="shared" si="20"/>
        <v>-69900</v>
      </c>
      <c r="H751" s="1236"/>
    </row>
    <row r="752" spans="1:8" x14ac:dyDescent="0.25">
      <c r="A752" s="17">
        <v>43081</v>
      </c>
      <c r="B752" s="10" t="s">
        <v>1399</v>
      </c>
      <c r="C752" s="11" t="s">
        <v>166</v>
      </c>
      <c r="F752" s="9">
        <v>84000</v>
      </c>
      <c r="G752" s="6">
        <f t="shared" si="20"/>
        <v>-84000</v>
      </c>
      <c r="H752" s="1236"/>
    </row>
    <row r="753" spans="1:8" x14ac:dyDescent="0.25">
      <c r="A753" s="17">
        <v>43081</v>
      </c>
      <c r="B753" s="10" t="s">
        <v>2226</v>
      </c>
      <c r="C753" s="11" t="s">
        <v>166</v>
      </c>
      <c r="F753" s="9">
        <v>35709</v>
      </c>
      <c r="G753" s="6">
        <f t="shared" si="20"/>
        <v>-35709</v>
      </c>
      <c r="H753" s="1236"/>
    </row>
    <row r="754" spans="1:8" x14ac:dyDescent="0.25">
      <c r="A754" s="17">
        <v>43081</v>
      </c>
      <c r="B754" s="10" t="s">
        <v>1396</v>
      </c>
      <c r="C754" s="11" t="s">
        <v>166</v>
      </c>
      <c r="F754" s="9">
        <v>3823</v>
      </c>
      <c r="G754" s="6">
        <f t="shared" si="20"/>
        <v>-3823</v>
      </c>
      <c r="H754" s="1237"/>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38" t="s">
        <v>3051</v>
      </c>
    </row>
    <row r="767" spans="1:8" x14ac:dyDescent="0.25">
      <c r="A767" s="17">
        <v>43122</v>
      </c>
      <c r="B767" s="10" t="s">
        <v>2786</v>
      </c>
      <c r="C767" s="11" t="s">
        <v>166</v>
      </c>
      <c r="F767" s="9">
        <f>500000-F766</f>
        <v>443523</v>
      </c>
      <c r="G767" s="6">
        <f t="shared" si="20"/>
        <v>-443523</v>
      </c>
      <c r="H767" s="1239"/>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21" t="s">
        <v>6676</v>
      </c>
    </row>
    <row r="1800" spans="1:8" x14ac:dyDescent="0.25">
      <c r="A1800" s="112">
        <v>44261</v>
      </c>
      <c r="B1800" s="10" t="s">
        <v>1399</v>
      </c>
      <c r="C1800" s="11" t="s">
        <v>166</v>
      </c>
      <c r="F1800" s="9">
        <v>50000</v>
      </c>
      <c r="G1800" s="6">
        <f t="shared" ref="G1800" si="32">E1800-F1800</f>
        <v>-50000</v>
      </c>
      <c r="H1800" s="1221"/>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22" t="s">
        <v>6971</v>
      </c>
    </row>
    <row r="1877" spans="1:8" ht="24" customHeight="1" x14ac:dyDescent="0.25">
      <c r="A1877" s="112">
        <v>44288</v>
      </c>
      <c r="B1877" s="10" t="s">
        <v>6407</v>
      </c>
      <c r="C1877" s="11" t="s">
        <v>437</v>
      </c>
      <c r="F1877" s="9">
        <v>7970</v>
      </c>
      <c r="G1877" s="6">
        <f t="shared" si="34"/>
        <v>-7970</v>
      </c>
      <c r="H1877" s="1222"/>
    </row>
    <row r="1878" spans="1:8" ht="24" customHeight="1" x14ac:dyDescent="0.25">
      <c r="A1878" s="112">
        <v>44288</v>
      </c>
      <c r="B1878" s="10" t="s">
        <v>1399</v>
      </c>
      <c r="C1878" s="11" t="s">
        <v>437</v>
      </c>
      <c r="F1878" s="9">
        <v>21500</v>
      </c>
      <c r="G1878" s="6">
        <f t="shared" si="34"/>
        <v>-21500</v>
      </c>
      <c r="H1878" s="1222"/>
    </row>
    <row r="1879" spans="1:8" ht="24" customHeight="1" x14ac:dyDescent="0.25">
      <c r="A1879" s="112">
        <v>44288</v>
      </c>
      <c r="B1879" s="10" t="s">
        <v>6407</v>
      </c>
      <c r="C1879" s="11" t="s">
        <v>437</v>
      </c>
      <c r="F1879" s="9">
        <v>2900</v>
      </c>
      <c r="G1879" s="6">
        <f t="shared" si="34"/>
        <v>-2900</v>
      </c>
      <c r="H1879" s="1222"/>
    </row>
    <row r="1880" spans="1:8" ht="24" customHeight="1" x14ac:dyDescent="0.25">
      <c r="A1880" s="112">
        <v>44280</v>
      </c>
      <c r="B1880" s="10" t="s">
        <v>1399</v>
      </c>
      <c r="C1880" s="11" t="s">
        <v>437</v>
      </c>
      <c r="F1880" s="9">
        <v>24225</v>
      </c>
      <c r="G1880" s="6">
        <f t="shared" si="34"/>
        <v>-24225</v>
      </c>
      <c r="H1880" s="1222"/>
    </row>
    <row r="1881" spans="1:8" ht="24" customHeight="1" x14ac:dyDescent="0.25">
      <c r="A1881" s="112">
        <v>44331</v>
      </c>
      <c r="B1881" s="10" t="s">
        <v>6407</v>
      </c>
      <c r="C1881" s="11" t="s">
        <v>437</v>
      </c>
      <c r="F1881" s="9">
        <v>54720</v>
      </c>
      <c r="G1881" s="6">
        <f t="shared" si="34"/>
        <v>-54720</v>
      </c>
      <c r="H1881" s="1222"/>
    </row>
    <row r="1882" spans="1:8" ht="24" customHeight="1" x14ac:dyDescent="0.25">
      <c r="A1882" s="112">
        <v>44341</v>
      </c>
      <c r="B1882" s="10" t="s">
        <v>6509</v>
      </c>
      <c r="C1882" s="11" t="s">
        <v>437</v>
      </c>
      <c r="F1882" s="9">
        <v>22415</v>
      </c>
      <c r="G1882" s="6">
        <f t="shared" si="34"/>
        <v>-22415</v>
      </c>
      <c r="H1882" s="1222"/>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94" t="s">
        <v>6908</v>
      </c>
    </row>
    <row r="1886" spans="1:8" x14ac:dyDescent="0.25">
      <c r="A1886" s="112">
        <v>44291</v>
      </c>
      <c r="B1886" s="10" t="s">
        <v>6516</v>
      </c>
      <c r="C1886" s="11" t="s">
        <v>1802</v>
      </c>
      <c r="E1886" s="108"/>
      <c r="F1886" s="110">
        <v>82220</v>
      </c>
      <c r="G1886" s="6">
        <f t="shared" si="34"/>
        <v>-82220</v>
      </c>
      <c r="H1886" s="1189"/>
    </row>
    <row r="1887" spans="1:8" x14ac:dyDescent="0.25">
      <c r="A1887" s="112">
        <v>44291</v>
      </c>
      <c r="B1887" s="10" t="s">
        <v>6509</v>
      </c>
      <c r="C1887" s="11" t="s">
        <v>1802</v>
      </c>
      <c r="E1887" s="108"/>
      <c r="F1887" s="110">
        <f>16101+25620</f>
        <v>41721</v>
      </c>
      <c r="G1887" s="6">
        <f t="shared" si="34"/>
        <v>-41721</v>
      </c>
      <c r="H1887" s="1189"/>
    </row>
    <row r="1888" spans="1:8" x14ac:dyDescent="0.25">
      <c r="A1888" s="112">
        <v>44291</v>
      </c>
      <c r="B1888" s="10" t="s">
        <v>6718</v>
      </c>
      <c r="C1888" s="11" t="s">
        <v>1802</v>
      </c>
      <c r="E1888" s="108"/>
      <c r="F1888" s="111">
        <v>200000</v>
      </c>
      <c r="G1888" s="6">
        <f t="shared" si="34"/>
        <v>-200000</v>
      </c>
      <c r="H1888" s="1190"/>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18" t="s">
        <v>7137</v>
      </c>
    </row>
    <row r="1996" spans="1:8" x14ac:dyDescent="0.25">
      <c r="A1996" s="658">
        <v>44392</v>
      </c>
      <c r="B1996" s="659" t="s">
        <v>6953</v>
      </c>
      <c r="C1996" s="660" t="s">
        <v>166</v>
      </c>
      <c r="E1996" s="661"/>
      <c r="F1996" s="664">
        <v>34800</v>
      </c>
      <c r="G1996" s="663">
        <f t="shared" si="36"/>
        <v>-34800</v>
      </c>
      <c r="H1996" s="1219"/>
    </row>
    <row r="1997" spans="1:8" ht="16.5" thickBot="1" x14ac:dyDescent="0.3">
      <c r="A1997" s="658">
        <v>44392</v>
      </c>
      <c r="B1997" s="659" t="s">
        <v>1399</v>
      </c>
      <c r="C1997" s="660" t="s">
        <v>166</v>
      </c>
      <c r="E1997" s="661"/>
      <c r="F1997" s="665">
        <v>23022</v>
      </c>
      <c r="G1997" s="663">
        <f t="shared" si="36"/>
        <v>-23022</v>
      </c>
      <c r="H1997" s="1220"/>
    </row>
    <row r="1998" spans="1:8" x14ac:dyDescent="0.25">
      <c r="A1998" s="651">
        <v>44392</v>
      </c>
      <c r="B1998" s="652" t="s">
        <v>6509</v>
      </c>
      <c r="C1998" s="653" t="s">
        <v>437</v>
      </c>
      <c r="E1998" s="654"/>
      <c r="F1998" s="655">
        <f>480791-39410</f>
        <v>441381</v>
      </c>
      <c r="G1998" s="656">
        <f t="shared" si="36"/>
        <v>-441381</v>
      </c>
      <c r="H1998" s="1223" t="s">
        <v>7139</v>
      </c>
    </row>
    <row r="1999" spans="1:8" x14ac:dyDescent="0.25">
      <c r="A1999" s="651">
        <v>44392</v>
      </c>
      <c r="B1999" s="652" t="s">
        <v>6953</v>
      </c>
      <c r="C1999" s="653" t="s">
        <v>437</v>
      </c>
      <c r="E1999" s="654"/>
      <c r="F1999" s="672">
        <v>39410</v>
      </c>
      <c r="G1999" s="656">
        <f t="shared" si="36"/>
        <v>-39410</v>
      </c>
      <c r="H1999" s="1224"/>
    </row>
    <row r="2000" spans="1:8" ht="16.5" thickBot="1" x14ac:dyDescent="0.3">
      <c r="A2000" s="651">
        <v>44392</v>
      </c>
      <c r="B2000" s="652" t="s">
        <v>6407</v>
      </c>
      <c r="C2000" s="653" t="s">
        <v>437</v>
      </c>
      <c r="E2000" s="654"/>
      <c r="F2000" s="657">
        <v>40445</v>
      </c>
      <c r="G2000" s="656">
        <f t="shared" si="36"/>
        <v>-40445</v>
      </c>
      <c r="H2000" s="1225"/>
    </row>
    <row r="2001" spans="1:8" x14ac:dyDescent="0.25">
      <c r="A2001" s="658">
        <v>44392</v>
      </c>
      <c r="B2001" s="659" t="s">
        <v>6953</v>
      </c>
      <c r="C2001" s="660" t="s">
        <v>437</v>
      </c>
      <c r="E2001" s="661"/>
      <c r="F2001" s="662">
        <v>134360</v>
      </c>
      <c r="G2001" s="663">
        <f t="shared" si="36"/>
        <v>-134360</v>
      </c>
      <c r="H2001" s="1230" t="s">
        <v>7140</v>
      </c>
    </row>
    <row r="2002" spans="1:8" x14ac:dyDescent="0.25">
      <c r="A2002" s="658">
        <v>44392</v>
      </c>
      <c r="B2002" s="659" t="s">
        <v>1399</v>
      </c>
      <c r="C2002" s="660" t="s">
        <v>437</v>
      </c>
      <c r="E2002" s="661"/>
      <c r="F2002" s="664">
        <v>79000</v>
      </c>
      <c r="G2002" s="663">
        <f t="shared" si="36"/>
        <v>-79000</v>
      </c>
      <c r="H2002" s="1231"/>
    </row>
    <row r="2003" spans="1:8" x14ac:dyDescent="0.25">
      <c r="A2003" s="658">
        <v>44392</v>
      </c>
      <c r="B2003" s="659" t="s">
        <v>6407</v>
      </c>
      <c r="C2003" s="660" t="s">
        <v>437</v>
      </c>
      <c r="E2003" s="661"/>
      <c r="F2003" s="664">
        <v>35561</v>
      </c>
      <c r="G2003" s="663">
        <f t="shared" si="36"/>
        <v>-35561</v>
      </c>
      <c r="H2003" s="1231"/>
    </row>
    <row r="2004" spans="1:8" x14ac:dyDescent="0.25">
      <c r="A2004" s="658">
        <v>44392</v>
      </c>
      <c r="B2004" s="659" t="s">
        <v>3945</v>
      </c>
      <c r="C2004" s="660" t="s">
        <v>437</v>
      </c>
      <c r="E2004" s="661"/>
      <c r="F2004" s="664">
        <v>252800</v>
      </c>
      <c r="G2004" s="663">
        <f t="shared" si="36"/>
        <v>-252800</v>
      </c>
      <c r="H2004" s="1231"/>
    </row>
    <row r="2005" spans="1:8" ht="16.5" thickBot="1" x14ac:dyDescent="0.3">
      <c r="A2005" s="658">
        <v>44392</v>
      </c>
      <c r="B2005" s="659" t="s">
        <v>7065</v>
      </c>
      <c r="C2005" s="660" t="s">
        <v>437</v>
      </c>
      <c r="E2005" s="661"/>
      <c r="F2005" s="665">
        <v>209</v>
      </c>
      <c r="G2005" s="663">
        <f t="shared" si="36"/>
        <v>-209</v>
      </c>
      <c r="H2005" s="1231"/>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28" t="s">
        <v>7251</v>
      </c>
    </row>
    <row r="2035" spans="1:8" x14ac:dyDescent="0.25">
      <c r="A2035" s="112">
        <v>44431</v>
      </c>
      <c r="B2035" s="10" t="s">
        <v>7110</v>
      </c>
      <c r="C2035" s="11" t="s">
        <v>7240</v>
      </c>
      <c r="F2035" s="9">
        <v>50000</v>
      </c>
      <c r="G2035" s="6">
        <f t="shared" si="37"/>
        <v>-50000</v>
      </c>
      <c r="H2035" s="122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91" t="s">
        <v>7298</v>
      </c>
    </row>
    <row r="2060" spans="1:8" x14ac:dyDescent="0.25">
      <c r="A2060" s="112">
        <v>44456</v>
      </c>
      <c r="B2060" s="10" t="s">
        <v>6509</v>
      </c>
      <c r="C2060" s="11" t="s">
        <v>437</v>
      </c>
      <c r="F2060" s="9">
        <v>137800</v>
      </c>
      <c r="G2060" s="6">
        <f t="shared" si="38"/>
        <v>-137800</v>
      </c>
      <c r="H2060" s="1192"/>
    </row>
    <row r="2061" spans="1:8" x14ac:dyDescent="0.25">
      <c r="A2061" s="112">
        <v>44456</v>
      </c>
      <c r="B2061" s="10" t="s">
        <v>7065</v>
      </c>
      <c r="C2061" s="11" t="s">
        <v>437</v>
      </c>
      <c r="F2061" s="9">
        <v>29791</v>
      </c>
      <c r="G2061" s="6">
        <f t="shared" si="38"/>
        <v>-29791</v>
      </c>
      <c r="H2061" s="1192"/>
    </row>
    <row r="2062" spans="1:8" x14ac:dyDescent="0.25">
      <c r="A2062" s="112">
        <v>44456</v>
      </c>
      <c r="B2062" s="10" t="s">
        <v>6407</v>
      </c>
      <c r="C2062" s="11" t="s">
        <v>437</v>
      </c>
      <c r="F2062" s="9">
        <v>87105</v>
      </c>
      <c r="G2062" s="6">
        <f t="shared" si="38"/>
        <v>-87105</v>
      </c>
      <c r="H2062" s="1192"/>
    </row>
    <row r="2063" spans="1:8" x14ac:dyDescent="0.25">
      <c r="A2063" s="112">
        <v>44456</v>
      </c>
      <c r="B2063" s="10" t="s">
        <v>1399</v>
      </c>
      <c r="C2063" s="11" t="s">
        <v>437</v>
      </c>
      <c r="F2063" s="9">
        <v>3014</v>
      </c>
      <c r="G2063" s="6">
        <f t="shared" si="38"/>
        <v>-3014</v>
      </c>
      <c r="H2063" s="1193"/>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29" t="s">
        <v>7312</v>
      </c>
    </row>
    <row r="2077" spans="1:8" x14ac:dyDescent="0.25">
      <c r="A2077" s="112">
        <v>44460</v>
      </c>
      <c r="B2077" s="10" t="s">
        <v>6953</v>
      </c>
      <c r="C2077" s="11" t="s">
        <v>166</v>
      </c>
      <c r="F2077" s="9">
        <v>123680</v>
      </c>
      <c r="G2077" s="6">
        <f t="shared" si="38"/>
        <v>-123680</v>
      </c>
      <c r="H2077" s="1229"/>
    </row>
    <row r="2078" spans="1:8" x14ac:dyDescent="0.25">
      <c r="A2078" s="112">
        <v>44460</v>
      </c>
      <c r="B2078" s="10" t="s">
        <v>6407</v>
      </c>
      <c r="C2078" s="11" t="s">
        <v>166</v>
      </c>
      <c r="F2078" s="9">
        <v>13600</v>
      </c>
      <c r="G2078" s="6">
        <f t="shared" si="38"/>
        <v>-13600</v>
      </c>
      <c r="H2078" s="1229"/>
    </row>
    <row r="2079" spans="1:8" x14ac:dyDescent="0.25">
      <c r="A2079" s="112">
        <v>44460</v>
      </c>
      <c r="B2079" s="10" t="s">
        <v>6509</v>
      </c>
      <c r="C2079" s="11" t="s">
        <v>166</v>
      </c>
      <c r="F2079" s="9">
        <v>6755</v>
      </c>
      <c r="G2079" s="6">
        <f t="shared" si="38"/>
        <v>-6755</v>
      </c>
      <c r="H2079" s="1229"/>
    </row>
    <row r="2080" spans="1:8" x14ac:dyDescent="0.25">
      <c r="A2080" s="112">
        <v>44460</v>
      </c>
      <c r="B2080" s="10" t="s">
        <v>1399</v>
      </c>
      <c r="C2080" s="11" t="s">
        <v>166</v>
      </c>
      <c r="F2080" s="9">
        <v>9165</v>
      </c>
      <c r="G2080" s="6">
        <f t="shared" si="38"/>
        <v>-9165</v>
      </c>
      <c r="H2080" s="122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28" t="s">
        <v>7361</v>
      </c>
    </row>
    <row r="2085" spans="1:8" x14ac:dyDescent="0.25">
      <c r="A2085" s="112">
        <v>44476</v>
      </c>
      <c r="B2085" s="10" t="s">
        <v>6407</v>
      </c>
      <c r="C2085" s="660" t="s">
        <v>7240</v>
      </c>
      <c r="E2085" s="661"/>
      <c r="F2085" s="664">
        <v>2404</v>
      </c>
      <c r="G2085" s="663">
        <f t="shared" si="38"/>
        <v>-2404</v>
      </c>
      <c r="H2085" s="1228"/>
    </row>
    <row r="2086" spans="1:8" x14ac:dyDescent="0.25">
      <c r="A2086" s="112">
        <v>44476</v>
      </c>
      <c r="B2086" s="10" t="s">
        <v>6953</v>
      </c>
      <c r="C2086" s="660" t="s">
        <v>7240</v>
      </c>
      <c r="E2086" s="661"/>
      <c r="F2086" s="664">
        <v>14457</v>
      </c>
      <c r="G2086" s="663">
        <f t="shared" si="38"/>
        <v>-14457</v>
      </c>
      <c r="H2086" s="1228"/>
    </row>
    <row r="2087" spans="1:8" x14ac:dyDescent="0.25">
      <c r="A2087" s="112">
        <v>44476</v>
      </c>
      <c r="B2087" s="10" t="s">
        <v>7110</v>
      </c>
      <c r="C2087" s="660" t="s">
        <v>7240</v>
      </c>
      <c r="E2087" s="661"/>
      <c r="F2087" s="664">
        <v>3866</v>
      </c>
      <c r="G2087" s="663">
        <f t="shared" si="38"/>
        <v>-3866</v>
      </c>
      <c r="H2087" s="122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11" t="s">
        <v>7428</v>
      </c>
    </row>
    <row r="2105" spans="1:8" x14ac:dyDescent="0.25">
      <c r="A2105" s="112">
        <v>44495</v>
      </c>
      <c r="B2105" s="21" t="s">
        <v>5810</v>
      </c>
      <c r="C2105" s="745" t="s">
        <v>437</v>
      </c>
      <c r="D2105" s="764"/>
      <c r="E2105" s="746"/>
      <c r="F2105" s="747">
        <v>63000</v>
      </c>
      <c r="G2105" s="14">
        <f t="shared" si="39"/>
        <v>-63000</v>
      </c>
      <c r="H2105" s="1211"/>
    </row>
    <row r="2106" spans="1:8" x14ac:dyDescent="0.25">
      <c r="A2106" s="112">
        <v>44495</v>
      </c>
      <c r="B2106" s="21" t="s">
        <v>3945</v>
      </c>
      <c r="C2106" s="745" t="s">
        <v>437</v>
      </c>
      <c r="D2106" s="764"/>
      <c r="E2106" s="746"/>
      <c r="F2106" s="747">
        <v>161200</v>
      </c>
      <c r="G2106" s="14">
        <f t="shared" si="39"/>
        <v>-161200</v>
      </c>
      <c r="H2106" s="1211"/>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14" t="s">
        <v>7466</v>
      </c>
    </row>
    <row r="2124" spans="1:8" x14ac:dyDescent="0.25">
      <c r="A2124" s="112">
        <v>44510</v>
      </c>
      <c r="B2124" s="21" t="s">
        <v>7110</v>
      </c>
      <c r="C2124" s="13" t="s">
        <v>7465</v>
      </c>
      <c r="D2124" s="764"/>
      <c r="E2124" s="22"/>
      <c r="F2124" s="19">
        <v>30988</v>
      </c>
      <c r="G2124" s="14">
        <f t="shared" si="39"/>
        <v>-30988</v>
      </c>
      <c r="H2124" s="1214"/>
    </row>
    <row r="2125" spans="1:8" x14ac:dyDescent="0.25">
      <c r="A2125" s="112">
        <v>44510</v>
      </c>
      <c r="B2125" s="21" t="s">
        <v>6953</v>
      </c>
      <c r="C2125" s="13" t="s">
        <v>7465</v>
      </c>
      <c r="D2125" s="764"/>
      <c r="E2125" s="22"/>
      <c r="F2125" s="19">
        <v>21999</v>
      </c>
      <c r="G2125" s="14">
        <f t="shared" si="39"/>
        <v>-21999</v>
      </c>
      <c r="H2125" s="1214"/>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11" t="s">
        <v>7521</v>
      </c>
    </row>
    <row r="2140" spans="1:8" x14ac:dyDescent="0.25">
      <c r="A2140" s="112">
        <v>44529</v>
      </c>
      <c r="B2140" s="21" t="s">
        <v>6506</v>
      </c>
      <c r="C2140" s="13" t="s">
        <v>180</v>
      </c>
      <c r="D2140" s="764"/>
      <c r="E2140" s="22"/>
      <c r="F2140" s="19">
        <v>27915</v>
      </c>
      <c r="G2140" s="14">
        <f t="shared" si="39"/>
        <v>-27915</v>
      </c>
      <c r="H2140" s="1211"/>
    </row>
    <row r="2141" spans="1:8" x14ac:dyDescent="0.25">
      <c r="A2141" s="112">
        <v>44532</v>
      </c>
      <c r="B2141" s="21" t="s">
        <v>6407</v>
      </c>
      <c r="C2141" s="13" t="s">
        <v>1802</v>
      </c>
      <c r="D2141" s="764"/>
      <c r="E2141" s="22"/>
      <c r="F2141" s="19">
        <v>110233</v>
      </c>
      <c r="G2141" s="14">
        <f t="shared" si="39"/>
        <v>-110233</v>
      </c>
      <c r="H2141" s="1227" t="s">
        <v>7535</v>
      </c>
    </row>
    <row r="2142" spans="1:8" x14ac:dyDescent="0.25">
      <c r="A2142" s="112">
        <v>44532</v>
      </c>
      <c r="B2142" s="21" t="s">
        <v>6506</v>
      </c>
      <c r="C2142" s="13" t="s">
        <v>1802</v>
      </c>
      <c r="D2142" s="764"/>
      <c r="E2142" s="22"/>
      <c r="F2142" s="19">
        <v>230169</v>
      </c>
      <c r="G2142" s="14">
        <f t="shared" si="39"/>
        <v>-230169</v>
      </c>
      <c r="H2142" s="1227"/>
    </row>
    <row r="2143" spans="1:8" x14ac:dyDescent="0.25">
      <c r="A2143" s="112">
        <v>44532</v>
      </c>
      <c r="B2143" s="21" t="s">
        <v>6509</v>
      </c>
      <c r="C2143" s="13" t="s">
        <v>1802</v>
      </c>
      <c r="D2143" s="764"/>
      <c r="E2143" s="22"/>
      <c r="F2143" s="19">
        <v>136986</v>
      </c>
      <c r="G2143" s="14">
        <f t="shared" si="39"/>
        <v>-136986</v>
      </c>
      <c r="H2143" s="1227"/>
    </row>
    <row r="2144" spans="1:8" x14ac:dyDescent="0.25">
      <c r="A2144" s="112">
        <v>44532</v>
      </c>
      <c r="B2144" s="21" t="s">
        <v>6718</v>
      </c>
      <c r="C2144" s="13" t="s">
        <v>1802</v>
      </c>
      <c r="D2144" s="764"/>
      <c r="E2144" s="22"/>
      <c r="F2144" s="19">
        <v>10112</v>
      </c>
      <c r="G2144" s="14">
        <f t="shared" si="39"/>
        <v>-10112</v>
      </c>
      <c r="H2144" s="1227"/>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26" t="s">
        <v>7554</v>
      </c>
    </row>
    <row r="2148" spans="1:8" x14ac:dyDescent="0.25">
      <c r="A2148" s="112">
        <v>44538</v>
      </c>
      <c r="B2148" s="21" t="s">
        <v>2651</v>
      </c>
      <c r="C2148" s="13" t="s">
        <v>5680</v>
      </c>
      <c r="D2148" s="764"/>
      <c r="E2148" s="22"/>
      <c r="F2148" s="19">
        <v>72300</v>
      </c>
      <c r="G2148" s="14">
        <f t="shared" ref="G2148:G2190" si="40">E2148-F2148</f>
        <v>-72300</v>
      </c>
      <c r="H2148" s="1226"/>
    </row>
    <row r="2149" spans="1:8" x14ac:dyDescent="0.25">
      <c r="A2149" s="112">
        <v>44538</v>
      </c>
      <c r="B2149" s="21" t="s">
        <v>6407</v>
      </c>
      <c r="C2149" s="13" t="s">
        <v>5680</v>
      </c>
      <c r="D2149" s="764"/>
      <c r="E2149" s="22"/>
      <c r="F2149" s="19">
        <v>9500</v>
      </c>
      <c r="G2149" s="14">
        <f t="shared" si="40"/>
        <v>-9500</v>
      </c>
      <c r="H2149" s="1226"/>
    </row>
    <row r="2150" spans="1:8" x14ac:dyDescent="0.25">
      <c r="A2150" s="112">
        <v>44538</v>
      </c>
      <c r="B2150" s="21" t="s">
        <v>6509</v>
      </c>
      <c r="C2150" s="13" t="s">
        <v>5680</v>
      </c>
      <c r="D2150" s="764"/>
      <c r="E2150" s="22"/>
      <c r="F2150" s="19">
        <v>59100</v>
      </c>
      <c r="G2150" s="14">
        <f t="shared" si="40"/>
        <v>-59100</v>
      </c>
      <c r="H2150" s="1226"/>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07" t="s">
        <v>7673</v>
      </c>
    </row>
    <row r="2175" spans="1:8" x14ac:dyDescent="0.25">
      <c r="A2175" s="112">
        <v>44610</v>
      </c>
      <c r="B2175" s="21" t="s">
        <v>6953</v>
      </c>
      <c r="C2175" s="745" t="s">
        <v>7465</v>
      </c>
      <c r="D2175" s="764"/>
      <c r="E2175" s="746"/>
      <c r="F2175" s="747">
        <f>50900+252</f>
        <v>51152</v>
      </c>
      <c r="G2175" s="746">
        <f t="shared" si="40"/>
        <v>-51152</v>
      </c>
      <c r="H2175" s="1207"/>
    </row>
    <row r="2176" spans="1:8" x14ac:dyDescent="0.25">
      <c r="A2176" s="112">
        <v>44610</v>
      </c>
      <c r="B2176" s="21" t="s">
        <v>7065</v>
      </c>
      <c r="C2176" s="745" t="s">
        <v>7465</v>
      </c>
      <c r="D2176" s="764"/>
      <c r="E2176" s="746"/>
      <c r="F2176" s="747">
        <v>30105</v>
      </c>
      <c r="G2176" s="746">
        <f t="shared" si="40"/>
        <v>-30105</v>
      </c>
      <c r="H2176" s="1207"/>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14" t="s">
        <v>7889</v>
      </c>
    </row>
    <row r="2189" spans="1:8" x14ac:dyDescent="0.25">
      <c r="A2189" s="112">
        <v>44627</v>
      </c>
      <c r="B2189" s="21" t="s">
        <v>37</v>
      </c>
      <c r="C2189" s="13" t="s">
        <v>7240</v>
      </c>
      <c r="D2189" s="764"/>
      <c r="E2189" s="22"/>
      <c r="F2189" s="19">
        <v>66360</v>
      </c>
      <c r="G2189" s="14">
        <f t="shared" si="40"/>
        <v>-66360</v>
      </c>
      <c r="H2189" s="1214"/>
    </row>
    <row r="2190" spans="1:8" x14ac:dyDescent="0.25">
      <c r="A2190" s="112">
        <v>44627</v>
      </c>
      <c r="B2190" s="21" t="s">
        <v>1399</v>
      </c>
      <c r="C2190" s="745" t="s">
        <v>166</v>
      </c>
      <c r="D2190" s="764"/>
      <c r="E2190" s="746"/>
      <c r="F2190" s="746">
        <v>204468</v>
      </c>
      <c r="G2190" s="746">
        <f t="shared" si="40"/>
        <v>-204468</v>
      </c>
      <c r="H2190" s="1212" t="s">
        <v>7781</v>
      </c>
    </row>
    <row r="2191" spans="1:8" x14ac:dyDescent="0.25">
      <c r="A2191" s="112">
        <v>44627</v>
      </c>
      <c r="B2191" s="21" t="s">
        <v>7065</v>
      </c>
      <c r="C2191" s="745" t="s">
        <v>166</v>
      </c>
      <c r="D2191" s="764"/>
      <c r="E2191" s="746"/>
      <c r="F2191" s="746">
        <v>12627</v>
      </c>
      <c r="G2191" s="746">
        <f t="shared" ref="G2191:G2308" si="41">E2191-F2191</f>
        <v>-12627</v>
      </c>
      <c r="H2191" s="1212"/>
    </row>
    <row r="2192" spans="1:8" x14ac:dyDescent="0.25">
      <c r="A2192" s="112">
        <v>44627</v>
      </c>
      <c r="B2192" s="21" t="s">
        <v>7655</v>
      </c>
      <c r="C2192" s="745" t="s">
        <v>166</v>
      </c>
      <c r="D2192" s="764"/>
      <c r="E2192" s="746"/>
      <c r="F2192" s="746">
        <v>80000</v>
      </c>
      <c r="G2192" s="746">
        <f t="shared" si="41"/>
        <v>-80000</v>
      </c>
      <c r="H2192" s="1212"/>
    </row>
    <row r="2193" spans="1:8" x14ac:dyDescent="0.25">
      <c r="A2193" s="112">
        <v>44627</v>
      </c>
      <c r="B2193" s="21" t="s">
        <v>6953</v>
      </c>
      <c r="C2193" s="745" t="s">
        <v>166</v>
      </c>
      <c r="D2193" s="764"/>
      <c r="E2193" s="746"/>
      <c r="F2193" s="746">
        <v>2905</v>
      </c>
      <c r="G2193" s="746">
        <f t="shared" si="41"/>
        <v>-2905</v>
      </c>
      <c r="H2193" s="1212"/>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181" t="s">
        <v>7701</v>
      </c>
    </row>
    <row r="2201" spans="1:8" x14ac:dyDescent="0.25">
      <c r="A2201" s="112">
        <v>44627</v>
      </c>
      <c r="B2201" s="21" t="s">
        <v>7655</v>
      </c>
      <c r="C2201" s="13" t="s">
        <v>7240</v>
      </c>
      <c r="D2201" s="776" t="s">
        <v>7700</v>
      </c>
      <c r="E2201" s="22">
        <v>19800</v>
      </c>
      <c r="F2201" s="19"/>
      <c r="G2201" s="20">
        <f t="shared" si="41"/>
        <v>19800</v>
      </c>
      <c r="H2201" s="1181"/>
    </row>
    <row r="2202" spans="1:8" x14ac:dyDescent="0.25">
      <c r="A2202" s="112">
        <v>44637</v>
      </c>
      <c r="B2202" s="21" t="s">
        <v>7655</v>
      </c>
      <c r="C2202" s="13" t="s">
        <v>5680</v>
      </c>
      <c r="D2202" s="764">
        <v>35</v>
      </c>
      <c r="E2202" s="22">
        <f>11300+8400+7000+11700+2500</f>
        <v>40900</v>
      </c>
      <c r="F2202" s="19"/>
      <c r="G2202" s="20">
        <f t="shared" si="41"/>
        <v>40900</v>
      </c>
      <c r="H2202" s="1181" t="s">
        <v>7701</v>
      </c>
    </row>
    <row r="2203" spans="1:8" x14ac:dyDescent="0.25">
      <c r="A2203" s="112">
        <v>44637</v>
      </c>
      <c r="B2203" s="21" t="s">
        <v>7553</v>
      </c>
      <c r="C2203" s="13" t="s">
        <v>5680</v>
      </c>
      <c r="D2203" s="764">
        <v>35</v>
      </c>
      <c r="E2203" s="22">
        <f>7600+3500</f>
        <v>11100</v>
      </c>
      <c r="F2203" s="19"/>
      <c r="G2203" s="20">
        <f t="shared" si="41"/>
        <v>11100</v>
      </c>
      <c r="H2203" s="1181"/>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08" t="s">
        <v>7743</v>
      </c>
    </row>
    <row r="2219" spans="1:8" x14ac:dyDescent="0.25">
      <c r="A2219" s="112">
        <v>44645</v>
      </c>
      <c r="B2219" s="21" t="s">
        <v>6503</v>
      </c>
      <c r="C2219" s="13" t="s">
        <v>166</v>
      </c>
      <c r="D2219" s="764"/>
      <c r="E2219" s="22"/>
      <c r="F2219" s="19">
        <v>51585</v>
      </c>
      <c r="G2219" s="14">
        <f t="shared" si="41"/>
        <v>-51585</v>
      </c>
      <c r="H2219" s="1208"/>
    </row>
    <row r="2220" spans="1:8" x14ac:dyDescent="0.25">
      <c r="A2220" s="112">
        <v>44645</v>
      </c>
      <c r="B2220" s="21" t="s">
        <v>7655</v>
      </c>
      <c r="C2220" s="13" t="s">
        <v>166</v>
      </c>
      <c r="D2220" s="764"/>
      <c r="E2220" s="22"/>
      <c r="F2220" s="19">
        <v>122000</v>
      </c>
      <c r="G2220" s="14">
        <f t="shared" si="41"/>
        <v>-122000</v>
      </c>
      <c r="H2220" s="1208"/>
    </row>
    <row r="2221" spans="1:8" x14ac:dyDescent="0.25">
      <c r="A2221" s="112">
        <v>44645</v>
      </c>
      <c r="B2221" s="21" t="s">
        <v>37</v>
      </c>
      <c r="C2221" s="13" t="s">
        <v>166</v>
      </c>
      <c r="D2221" s="764"/>
      <c r="E2221" s="22"/>
      <c r="F2221" s="19">
        <v>8000</v>
      </c>
      <c r="G2221" s="14">
        <f t="shared" si="41"/>
        <v>-8000</v>
      </c>
      <c r="H2221" s="1208"/>
    </row>
    <row r="2222" spans="1:8" x14ac:dyDescent="0.25">
      <c r="A2222" s="112">
        <v>44645</v>
      </c>
      <c r="B2222" s="21" t="s">
        <v>7553</v>
      </c>
      <c r="C2222" s="13" t="s">
        <v>166</v>
      </c>
      <c r="D2222" s="764"/>
      <c r="E2222" s="22"/>
      <c r="F2222" s="19">
        <v>7857</v>
      </c>
      <c r="G2222" s="14">
        <f t="shared" si="41"/>
        <v>-7857</v>
      </c>
      <c r="H2222" s="1208"/>
    </row>
    <row r="2223" spans="1:8" x14ac:dyDescent="0.25">
      <c r="A2223" s="112">
        <v>44651</v>
      </c>
      <c r="B2223" s="21" t="s">
        <v>7065</v>
      </c>
      <c r="C2223" s="13" t="s">
        <v>164</v>
      </c>
      <c r="D2223" s="764"/>
      <c r="E2223" s="22"/>
      <c r="F2223" s="19">
        <v>100000</v>
      </c>
      <c r="G2223" s="14">
        <f t="shared" si="41"/>
        <v>-100000</v>
      </c>
      <c r="H2223" s="1212" t="s">
        <v>7745</v>
      </c>
    </row>
    <row r="2224" spans="1:8" x14ac:dyDescent="0.25">
      <c r="A2224" s="112">
        <v>44651</v>
      </c>
      <c r="B2224" s="21" t="s">
        <v>7110</v>
      </c>
      <c r="C2224" s="13" t="s">
        <v>164</v>
      </c>
      <c r="D2224" s="764"/>
      <c r="E2224" s="22"/>
      <c r="F2224" s="19">
        <v>100000</v>
      </c>
      <c r="G2224" s="14">
        <f t="shared" si="41"/>
        <v>-100000</v>
      </c>
      <c r="H2224" s="1212"/>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16" t="s">
        <v>7749</v>
      </c>
    </row>
    <row r="2231" spans="1:8" x14ac:dyDescent="0.25">
      <c r="A2231" s="112">
        <v>44651</v>
      </c>
      <c r="B2231" s="21" t="s">
        <v>7728</v>
      </c>
      <c r="C2231" s="13" t="s">
        <v>180</v>
      </c>
      <c r="D2231" s="764" t="s">
        <v>3917</v>
      </c>
      <c r="E2231" s="22"/>
      <c r="F2231" s="19">
        <v>710</v>
      </c>
      <c r="G2231" s="14">
        <f t="shared" si="41"/>
        <v>-710</v>
      </c>
      <c r="H2231" s="1216"/>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16" t="s">
        <v>7806</v>
      </c>
    </row>
    <row r="2242" spans="1:8" x14ac:dyDescent="0.25">
      <c r="A2242" s="112">
        <v>44669</v>
      </c>
      <c r="B2242" s="21" t="s">
        <v>7655</v>
      </c>
      <c r="C2242" s="13" t="s">
        <v>7240</v>
      </c>
      <c r="D2242" s="764"/>
      <c r="E2242" s="22"/>
      <c r="F2242" s="19">
        <v>14740</v>
      </c>
      <c r="G2242" s="14">
        <f t="shared" si="41"/>
        <v>-14740</v>
      </c>
      <c r="H2242" s="1216"/>
    </row>
    <row r="2243" spans="1:8" x14ac:dyDescent="0.25">
      <c r="A2243" s="112">
        <v>44669</v>
      </c>
      <c r="B2243" s="21" t="s">
        <v>7110</v>
      </c>
      <c r="C2243" s="13" t="s">
        <v>7240</v>
      </c>
      <c r="D2243" s="764"/>
      <c r="E2243" s="22"/>
      <c r="F2243" s="19">
        <v>12000</v>
      </c>
      <c r="G2243" s="14">
        <f t="shared" si="41"/>
        <v>-12000</v>
      </c>
      <c r="H2243" s="1216"/>
    </row>
    <row r="2244" spans="1:8" x14ac:dyDescent="0.25">
      <c r="A2244" s="112">
        <v>44669</v>
      </c>
      <c r="B2244" s="21" t="s">
        <v>7553</v>
      </c>
      <c r="C2244" s="13" t="s">
        <v>7240</v>
      </c>
      <c r="D2244" s="764"/>
      <c r="E2244" s="22"/>
      <c r="F2244" s="19">
        <v>14230</v>
      </c>
      <c r="G2244" s="14">
        <f t="shared" si="41"/>
        <v>-14230</v>
      </c>
      <c r="H2244" s="1216"/>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17" t="s">
        <v>7838</v>
      </c>
    </row>
    <row r="2250" spans="1:8" x14ac:dyDescent="0.25">
      <c r="A2250" s="715">
        <v>44676</v>
      </c>
      <c r="B2250" s="716" t="s">
        <v>3945</v>
      </c>
      <c r="C2250" s="717" t="s">
        <v>437</v>
      </c>
      <c r="D2250" s="764"/>
      <c r="E2250" s="718"/>
      <c r="F2250" s="719">
        <v>2600</v>
      </c>
      <c r="G2250" s="718">
        <f t="shared" si="41"/>
        <v>-2600</v>
      </c>
      <c r="H2250" s="1217"/>
    </row>
    <row r="2251" spans="1:8" x14ac:dyDescent="0.25">
      <c r="A2251" s="715">
        <v>44676</v>
      </c>
      <c r="B2251" s="716" t="s">
        <v>7110</v>
      </c>
      <c r="C2251" s="717" t="s">
        <v>437</v>
      </c>
      <c r="D2251" s="764"/>
      <c r="E2251" s="718"/>
      <c r="F2251" s="719">
        <v>24420</v>
      </c>
      <c r="G2251" s="718">
        <f t="shared" si="41"/>
        <v>-24420</v>
      </c>
      <c r="H2251" s="1217"/>
    </row>
    <row r="2252" spans="1:8" x14ac:dyDescent="0.25">
      <c r="A2252" s="715">
        <v>44676</v>
      </c>
      <c r="B2252" s="716" t="s">
        <v>1399</v>
      </c>
      <c r="C2252" s="717" t="s">
        <v>437</v>
      </c>
      <c r="D2252" s="764"/>
      <c r="E2252" s="718"/>
      <c r="F2252" s="719">
        <v>57690</v>
      </c>
      <c r="G2252" s="718">
        <f t="shared" si="41"/>
        <v>-57690</v>
      </c>
      <c r="H2252" s="1217"/>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40" t="s">
        <v>7985</v>
      </c>
    </row>
    <row r="2267" spans="1:8" x14ac:dyDescent="0.25">
      <c r="A2267" s="112">
        <v>44695</v>
      </c>
      <c r="B2267" s="21" t="s">
        <v>7110</v>
      </c>
      <c r="C2267" s="13" t="s">
        <v>166</v>
      </c>
      <c r="D2267" s="764"/>
      <c r="E2267" s="22"/>
      <c r="F2267" s="19">
        <v>3880</v>
      </c>
      <c r="G2267" s="14">
        <f t="shared" si="41"/>
        <v>-3880</v>
      </c>
      <c r="H2267" s="1240"/>
    </row>
    <row r="2268" spans="1:8" x14ac:dyDescent="0.25">
      <c r="A2268" s="112">
        <v>44695</v>
      </c>
      <c r="B2268" s="21" t="s">
        <v>7553</v>
      </c>
      <c r="C2268" s="13" t="s">
        <v>166</v>
      </c>
      <c r="D2268" s="764"/>
      <c r="E2268" s="22"/>
      <c r="F2268" s="19">
        <v>25143</v>
      </c>
      <c r="G2268" s="14">
        <f t="shared" si="41"/>
        <v>-25143</v>
      </c>
      <c r="H2268" s="1240"/>
    </row>
    <row r="2269" spans="1:8" x14ac:dyDescent="0.25">
      <c r="A2269" s="112">
        <v>44695</v>
      </c>
      <c r="B2269" s="21" t="s">
        <v>1399</v>
      </c>
      <c r="C2269" s="13" t="s">
        <v>166</v>
      </c>
      <c r="D2269" s="764"/>
      <c r="E2269" s="22"/>
      <c r="F2269" s="19">
        <v>116480</v>
      </c>
      <c r="G2269" s="14">
        <f t="shared" si="41"/>
        <v>-116480</v>
      </c>
      <c r="H2269" s="1240"/>
    </row>
    <row r="2270" spans="1:8" x14ac:dyDescent="0.25">
      <c r="A2270" s="112">
        <v>44695</v>
      </c>
      <c r="B2270" s="21" t="s">
        <v>7741</v>
      </c>
      <c r="C2270" s="13" t="s">
        <v>166</v>
      </c>
      <c r="D2270" s="764"/>
      <c r="E2270" s="22"/>
      <c r="F2270" s="19">
        <v>24000</v>
      </c>
      <c r="G2270" s="14">
        <f t="shared" si="41"/>
        <v>-24000</v>
      </c>
      <c r="H2270" s="1240"/>
    </row>
    <row r="2271" spans="1:8" x14ac:dyDescent="0.25">
      <c r="A2271" s="112">
        <v>44695</v>
      </c>
      <c r="B2271" s="21" t="s">
        <v>7810</v>
      </c>
      <c r="C2271" s="13" t="s">
        <v>166</v>
      </c>
      <c r="D2271" s="764"/>
      <c r="E2271" s="22"/>
      <c r="F2271" s="19">
        <v>15820</v>
      </c>
      <c r="G2271" s="14">
        <f t="shared" si="41"/>
        <v>-15820</v>
      </c>
      <c r="H2271" s="1240"/>
    </row>
    <row r="2272" spans="1:8" x14ac:dyDescent="0.25">
      <c r="A2272" s="112">
        <v>44695</v>
      </c>
      <c r="B2272" s="21" t="s">
        <v>3944</v>
      </c>
      <c r="C2272" s="13" t="s">
        <v>166</v>
      </c>
      <c r="D2272" s="764"/>
      <c r="E2272" s="22"/>
      <c r="F2272" s="19">
        <v>5200</v>
      </c>
      <c r="G2272" s="14">
        <f t="shared" si="41"/>
        <v>-5200</v>
      </c>
      <c r="H2272" s="1240"/>
    </row>
    <row r="2273" spans="1:8" x14ac:dyDescent="0.25">
      <c r="A2273" s="112">
        <v>44695</v>
      </c>
      <c r="B2273" s="21" t="s">
        <v>1399</v>
      </c>
      <c r="C2273" s="13" t="s">
        <v>166</v>
      </c>
      <c r="D2273" s="764"/>
      <c r="E2273" s="22"/>
      <c r="F2273" s="19">
        <v>84852</v>
      </c>
      <c r="G2273" s="14">
        <f t="shared" si="41"/>
        <v>-84852</v>
      </c>
      <c r="H2273" s="1240"/>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10" t="s">
        <v>7893</v>
      </c>
    </row>
    <row r="2278" spans="1:8" x14ac:dyDescent="0.25">
      <c r="A2278" s="112">
        <v>44709</v>
      </c>
      <c r="B2278" s="21" t="s">
        <v>7065</v>
      </c>
      <c r="C2278" s="13" t="s">
        <v>164</v>
      </c>
      <c r="D2278" s="764"/>
      <c r="E2278" s="22"/>
      <c r="F2278" s="19">
        <v>49174</v>
      </c>
      <c r="G2278" s="14">
        <f t="shared" si="41"/>
        <v>-49174</v>
      </c>
      <c r="H2278" s="1210"/>
    </row>
    <row r="2279" spans="1:8" x14ac:dyDescent="0.25">
      <c r="A2279" s="112">
        <v>44709</v>
      </c>
      <c r="B2279" s="21" t="s">
        <v>7110</v>
      </c>
      <c r="C2279" s="13" t="s">
        <v>164</v>
      </c>
      <c r="D2279" s="764"/>
      <c r="E2279" s="22"/>
      <c r="F2279" s="19">
        <v>36997</v>
      </c>
      <c r="G2279" s="14">
        <f t="shared" si="41"/>
        <v>-36997</v>
      </c>
      <c r="H2279" s="1210"/>
    </row>
    <row r="2280" spans="1:8" x14ac:dyDescent="0.25">
      <c r="A2280" s="112">
        <v>44709</v>
      </c>
      <c r="B2280" s="21" t="s">
        <v>7553</v>
      </c>
      <c r="C2280" s="13" t="s">
        <v>164</v>
      </c>
      <c r="D2280" s="764"/>
      <c r="E2280" s="22"/>
      <c r="F2280" s="19">
        <v>4174</v>
      </c>
      <c r="G2280" s="14">
        <f t="shared" si="41"/>
        <v>-4174</v>
      </c>
      <c r="H2280" s="1210"/>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10" t="s">
        <v>7894</v>
      </c>
    </row>
    <row r="2284" spans="1:8" x14ac:dyDescent="0.25">
      <c r="A2284" s="112">
        <v>44711</v>
      </c>
      <c r="B2284" s="21" t="s">
        <v>7553</v>
      </c>
      <c r="C2284" s="13" t="s">
        <v>5680</v>
      </c>
      <c r="D2284" s="764"/>
      <c r="E2284" s="22"/>
      <c r="F2284" s="19">
        <v>5700</v>
      </c>
      <c r="G2284" s="14">
        <f t="shared" si="41"/>
        <v>-5700</v>
      </c>
      <c r="H2284" s="1210"/>
    </row>
    <row r="2285" spans="1:8" x14ac:dyDescent="0.25">
      <c r="A2285" s="112">
        <v>44711</v>
      </c>
      <c r="B2285" s="21" t="s">
        <v>7741</v>
      </c>
      <c r="C2285" s="13" t="s">
        <v>5680</v>
      </c>
      <c r="D2285" s="764"/>
      <c r="E2285" s="22"/>
      <c r="F2285" s="19">
        <v>74800</v>
      </c>
      <c r="G2285" s="14">
        <f t="shared" si="41"/>
        <v>-74800</v>
      </c>
      <c r="H2285" s="1210"/>
    </row>
    <row r="2286" spans="1:8" x14ac:dyDescent="0.25">
      <c r="A2286" s="112">
        <v>44711</v>
      </c>
      <c r="B2286" s="21" t="s">
        <v>7553</v>
      </c>
      <c r="C2286" s="13" t="s">
        <v>7240</v>
      </c>
      <c r="D2286" s="764"/>
      <c r="E2286" s="22"/>
      <c r="F2286" s="19">
        <v>50320</v>
      </c>
      <c r="G2286" s="14">
        <f t="shared" si="41"/>
        <v>-50320</v>
      </c>
      <c r="H2286" s="1210" t="s">
        <v>7895</v>
      </c>
    </row>
    <row r="2287" spans="1:8" x14ac:dyDescent="0.25">
      <c r="A2287" s="112">
        <v>44711</v>
      </c>
      <c r="B2287" s="21" t="s">
        <v>7655</v>
      </c>
      <c r="C2287" s="13" t="s">
        <v>7240</v>
      </c>
      <c r="D2287" s="764"/>
      <c r="E2287" s="22"/>
      <c r="F2287" s="19">
        <v>8180</v>
      </c>
      <c r="G2287" s="14">
        <f t="shared" si="41"/>
        <v>-8180</v>
      </c>
      <c r="H2287" s="1210"/>
    </row>
    <row r="2288" spans="1:8" x14ac:dyDescent="0.25">
      <c r="A2288" s="112">
        <v>44711</v>
      </c>
      <c r="B2288" s="21" t="s">
        <v>7810</v>
      </c>
      <c r="C2288" s="13" t="s">
        <v>7240</v>
      </c>
      <c r="D2288" s="764"/>
      <c r="E2288" s="22"/>
      <c r="F2288" s="19">
        <v>17000</v>
      </c>
      <c r="G2288" s="14">
        <f t="shared" si="41"/>
        <v>-17000</v>
      </c>
      <c r="H2288" s="1210"/>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10" t="s">
        <v>1156</v>
      </c>
    </row>
    <row r="2292" spans="1:8" x14ac:dyDescent="0.25">
      <c r="A2292" s="112">
        <v>44712</v>
      </c>
      <c r="B2292" s="21" t="s">
        <v>6407</v>
      </c>
      <c r="C2292" s="13" t="s">
        <v>3010</v>
      </c>
      <c r="D2292" s="764"/>
      <c r="E2292" s="22"/>
      <c r="F2292" s="19">
        <v>28567</v>
      </c>
      <c r="G2292" s="14">
        <f t="shared" si="41"/>
        <v>-28567</v>
      </c>
      <c r="H2292" s="1210"/>
    </row>
    <row r="2293" spans="1:8" x14ac:dyDescent="0.25">
      <c r="A2293" s="112">
        <v>44712</v>
      </c>
      <c r="B2293" s="21" t="s">
        <v>6509</v>
      </c>
      <c r="C2293" s="13" t="s">
        <v>3010</v>
      </c>
      <c r="D2293" s="764"/>
      <c r="E2293" s="22"/>
      <c r="F2293" s="19">
        <v>3053</v>
      </c>
      <c r="G2293" s="14">
        <f t="shared" si="41"/>
        <v>-3053</v>
      </c>
      <c r="H2293" s="1210"/>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15" t="s">
        <v>7988</v>
      </c>
    </row>
    <row r="2301" spans="1:8" x14ac:dyDescent="0.25">
      <c r="A2301" s="112">
        <v>44726</v>
      </c>
      <c r="B2301" s="21" t="s">
        <v>7914</v>
      </c>
      <c r="C2301" s="13" t="s">
        <v>166</v>
      </c>
      <c r="D2301" s="764"/>
      <c r="E2301" s="22"/>
      <c r="F2301" s="19">
        <v>132000</v>
      </c>
      <c r="G2301" s="14">
        <f t="shared" si="41"/>
        <v>-132000</v>
      </c>
      <c r="H2301" s="1215"/>
    </row>
    <row r="2302" spans="1:8" x14ac:dyDescent="0.25">
      <c r="A2302" s="112">
        <v>44726</v>
      </c>
      <c r="B2302" s="21" t="s">
        <v>7914</v>
      </c>
      <c r="C2302" s="13" t="s">
        <v>166</v>
      </c>
      <c r="D2302" s="764"/>
      <c r="E2302" s="22"/>
      <c r="F2302" s="19">
        <v>151650</v>
      </c>
      <c r="G2302" s="14">
        <f t="shared" si="41"/>
        <v>-151650</v>
      </c>
      <c r="H2302" s="1215"/>
    </row>
    <row r="2303" spans="1:8" x14ac:dyDescent="0.25">
      <c r="A2303" s="112">
        <v>44726</v>
      </c>
      <c r="B2303" s="21" t="s">
        <v>7914</v>
      </c>
      <c r="C2303" s="13" t="s">
        <v>166</v>
      </c>
      <c r="D2303" s="764"/>
      <c r="E2303" s="22"/>
      <c r="F2303" s="19">
        <f>500000-F2302-F2301-F2300</f>
        <v>60560</v>
      </c>
      <c r="G2303" s="14">
        <f t="shared" si="41"/>
        <v>-60560</v>
      </c>
      <c r="H2303" s="1215"/>
    </row>
    <row r="2304" spans="1:8" ht="15.75" customHeight="1" x14ac:dyDescent="0.25">
      <c r="A2304" s="112">
        <v>44726</v>
      </c>
      <c r="B2304" s="21" t="s">
        <v>2932</v>
      </c>
      <c r="C2304" s="13" t="s">
        <v>161</v>
      </c>
      <c r="D2304" s="764"/>
      <c r="E2304" s="22"/>
      <c r="F2304" s="19">
        <v>21337</v>
      </c>
      <c r="G2304" s="14">
        <f t="shared" si="41"/>
        <v>-21337</v>
      </c>
      <c r="H2304" s="1182" t="s">
        <v>7957</v>
      </c>
    </row>
    <row r="2305" spans="1:8" ht="15.75" customHeight="1" x14ac:dyDescent="0.25">
      <c r="A2305" s="112">
        <v>44726</v>
      </c>
      <c r="B2305" s="21" t="s">
        <v>7728</v>
      </c>
      <c r="C2305" s="13" t="s">
        <v>161</v>
      </c>
      <c r="D2305" s="764"/>
      <c r="E2305" s="22"/>
      <c r="F2305" s="19">
        <v>44651</v>
      </c>
      <c r="G2305" s="14">
        <f t="shared" si="41"/>
        <v>-44651</v>
      </c>
      <c r="H2305" s="1182"/>
    </row>
    <row r="2306" spans="1:8" ht="15.75" customHeight="1" x14ac:dyDescent="0.25">
      <c r="A2306" s="112">
        <v>44726</v>
      </c>
      <c r="B2306" s="21" t="s">
        <v>7741</v>
      </c>
      <c r="C2306" s="13" t="s">
        <v>161</v>
      </c>
      <c r="D2306" s="764"/>
      <c r="E2306" s="22"/>
      <c r="F2306" s="19">
        <v>33179</v>
      </c>
      <c r="G2306" s="14">
        <f t="shared" si="41"/>
        <v>-33179</v>
      </c>
      <c r="H2306" s="1182"/>
    </row>
    <row r="2307" spans="1:8" ht="16.5" customHeight="1" x14ac:dyDescent="0.25">
      <c r="A2307" s="112">
        <v>44726</v>
      </c>
      <c r="B2307" s="21" t="s">
        <v>7810</v>
      </c>
      <c r="C2307" s="13" t="s">
        <v>161</v>
      </c>
      <c r="D2307" s="764"/>
      <c r="E2307" s="22"/>
      <c r="F2307" s="19">
        <v>58530</v>
      </c>
      <c r="G2307" s="14">
        <f t="shared" si="41"/>
        <v>-58530</v>
      </c>
      <c r="H2307" s="1182"/>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09" t="s">
        <v>8530</v>
      </c>
    </row>
    <row r="2433" spans="1:8" x14ac:dyDescent="0.25">
      <c r="A2433" s="112">
        <v>44859</v>
      </c>
      <c r="B2433" s="21" t="s">
        <v>8068</v>
      </c>
      <c r="C2433" s="13" t="s">
        <v>166</v>
      </c>
      <c r="D2433" s="764"/>
      <c r="E2433" s="22"/>
      <c r="F2433" s="19">
        <v>31200</v>
      </c>
      <c r="G2433" s="14">
        <f t="shared" si="47"/>
        <v>-31200</v>
      </c>
      <c r="H2433" s="1209"/>
    </row>
    <row r="2434" spans="1:8" x14ac:dyDescent="0.25">
      <c r="A2434" s="112">
        <v>44859</v>
      </c>
      <c r="B2434" s="21" t="s">
        <v>8547</v>
      </c>
      <c r="C2434" s="13" t="s">
        <v>166</v>
      </c>
      <c r="D2434" s="764"/>
      <c r="E2434" s="22"/>
      <c r="F2434" s="19">
        <v>109718</v>
      </c>
      <c r="G2434" s="14">
        <f t="shared" si="47"/>
        <v>-109718</v>
      </c>
      <c r="H2434" s="1209"/>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11" t="s">
        <v>8542</v>
      </c>
    </row>
    <row r="2439" spans="1:8" x14ac:dyDescent="0.25">
      <c r="A2439" s="112">
        <v>44860</v>
      </c>
      <c r="B2439" s="21" t="s">
        <v>6503</v>
      </c>
      <c r="C2439" s="13" t="s">
        <v>2195</v>
      </c>
      <c r="D2439" s="764"/>
      <c r="E2439" s="22"/>
      <c r="F2439" s="19">
        <v>23920</v>
      </c>
      <c r="G2439" s="14">
        <f t="shared" si="47"/>
        <v>-23920</v>
      </c>
      <c r="H2439" s="1211"/>
    </row>
    <row r="2440" spans="1:8" x14ac:dyDescent="0.25">
      <c r="A2440" s="112">
        <v>44860</v>
      </c>
      <c r="B2440" s="21" t="s">
        <v>8547</v>
      </c>
      <c r="C2440" s="13" t="s">
        <v>2195</v>
      </c>
      <c r="D2440" s="764"/>
      <c r="E2440" s="22"/>
      <c r="F2440" s="19">
        <v>11080</v>
      </c>
      <c r="G2440" s="14">
        <f t="shared" si="47"/>
        <v>-11080</v>
      </c>
      <c r="H2440" s="1211"/>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14" t="s">
        <v>8615</v>
      </c>
    </row>
    <row r="2462" spans="1:8" x14ac:dyDescent="0.25">
      <c r="A2462" s="112">
        <v>44872</v>
      </c>
      <c r="B2462" s="21" t="s">
        <v>7810</v>
      </c>
      <c r="C2462" s="13" t="s">
        <v>162</v>
      </c>
      <c r="D2462" s="764"/>
      <c r="E2462" s="22"/>
      <c r="F2462" s="19">
        <v>35000</v>
      </c>
      <c r="G2462" s="14">
        <f t="shared" si="47"/>
        <v>-35000</v>
      </c>
      <c r="H2462" s="1214"/>
    </row>
    <row r="2463" spans="1:8" x14ac:dyDescent="0.25">
      <c r="A2463" s="112">
        <v>44872</v>
      </c>
      <c r="B2463" s="21" t="s">
        <v>7914</v>
      </c>
      <c r="C2463" s="13" t="s">
        <v>162</v>
      </c>
      <c r="D2463" s="764"/>
      <c r="E2463" s="22"/>
      <c r="F2463" s="19">
        <v>26000</v>
      </c>
      <c r="G2463" s="14">
        <f t="shared" si="47"/>
        <v>-26000</v>
      </c>
      <c r="H2463" s="1214"/>
    </row>
    <row r="2464" spans="1:8" x14ac:dyDescent="0.25">
      <c r="A2464" s="112">
        <v>44872</v>
      </c>
      <c r="B2464" s="21" t="s">
        <v>8068</v>
      </c>
      <c r="C2464" s="13" t="s">
        <v>162</v>
      </c>
      <c r="D2464" s="764"/>
      <c r="E2464" s="22"/>
      <c r="F2464" s="19">
        <v>32000</v>
      </c>
      <c r="G2464" s="14">
        <f t="shared" si="47"/>
        <v>-32000</v>
      </c>
      <c r="H2464" s="1214"/>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14" t="s">
        <v>8664</v>
      </c>
    </row>
    <row r="2479" spans="1:8" x14ac:dyDescent="0.25">
      <c r="A2479" s="112">
        <v>44882</v>
      </c>
      <c r="B2479" s="21" t="s">
        <v>8034</v>
      </c>
      <c r="C2479" s="13" t="s">
        <v>161</v>
      </c>
      <c r="D2479" s="764"/>
      <c r="E2479" s="22"/>
      <c r="F2479" s="19">
        <v>60000</v>
      </c>
      <c r="G2479" s="14">
        <f t="shared" si="48"/>
        <v>-60000</v>
      </c>
      <c r="H2479" s="1214"/>
    </row>
    <row r="2480" spans="1:8" x14ac:dyDescent="0.25">
      <c r="A2480" s="112">
        <v>44882</v>
      </c>
      <c r="B2480" s="21" t="s">
        <v>7810</v>
      </c>
      <c r="C2480" s="13" t="s">
        <v>161</v>
      </c>
      <c r="D2480" s="764"/>
      <c r="E2480" s="22"/>
      <c r="F2480" s="19">
        <v>95</v>
      </c>
      <c r="G2480" s="14">
        <f t="shared" si="48"/>
        <v>-95</v>
      </c>
      <c r="H2480" s="1214" t="s">
        <v>4976</v>
      </c>
    </row>
    <row r="2481" spans="1:8" x14ac:dyDescent="0.25">
      <c r="A2481" s="112">
        <v>44882</v>
      </c>
      <c r="B2481" s="21" t="s">
        <v>8034</v>
      </c>
      <c r="C2481" s="13" t="s">
        <v>161</v>
      </c>
      <c r="D2481" s="764"/>
      <c r="E2481" s="22"/>
      <c r="F2481" s="19">
        <v>383</v>
      </c>
      <c r="G2481" s="14">
        <f t="shared" si="48"/>
        <v>-383</v>
      </c>
      <c r="H2481" s="1214"/>
    </row>
    <row r="2482" spans="1:8" x14ac:dyDescent="0.25">
      <c r="A2482" s="112">
        <v>44882</v>
      </c>
      <c r="B2482" s="21" t="s">
        <v>7914</v>
      </c>
      <c r="C2482" s="13" t="s">
        <v>8384</v>
      </c>
      <c r="D2482" s="764"/>
      <c r="E2482" s="22"/>
      <c r="F2482" s="19">
        <v>100000</v>
      </c>
      <c r="G2482" s="14">
        <f t="shared" si="48"/>
        <v>-100000</v>
      </c>
      <c r="H2482" s="1213" t="s">
        <v>8623</v>
      </c>
    </row>
    <row r="2483" spans="1:8" x14ac:dyDescent="0.25">
      <c r="A2483" s="112">
        <v>44882</v>
      </c>
      <c r="B2483" s="21" t="s">
        <v>8034</v>
      </c>
      <c r="C2483" s="13" t="s">
        <v>8384</v>
      </c>
      <c r="D2483" s="764"/>
      <c r="E2483" s="22"/>
      <c r="F2483" s="19">
        <v>100000</v>
      </c>
      <c r="G2483" s="14">
        <f t="shared" si="48"/>
        <v>-100000</v>
      </c>
      <c r="H2483" s="1213"/>
    </row>
    <row r="2484" spans="1:8" x14ac:dyDescent="0.25">
      <c r="A2484" s="112">
        <v>44882</v>
      </c>
      <c r="B2484" s="21" t="s">
        <v>8547</v>
      </c>
      <c r="C2484" s="13" t="s">
        <v>8384</v>
      </c>
      <c r="D2484" s="764"/>
      <c r="E2484" s="22"/>
      <c r="F2484" s="19">
        <v>200000</v>
      </c>
      <c r="G2484" s="14">
        <f t="shared" si="48"/>
        <v>-200000</v>
      </c>
      <c r="H2484" s="1213"/>
    </row>
    <row r="2485" spans="1:8" x14ac:dyDescent="0.25">
      <c r="A2485" s="112">
        <v>44882</v>
      </c>
      <c r="B2485" s="21" t="s">
        <v>8521</v>
      </c>
      <c r="C2485" s="13" t="s">
        <v>8384</v>
      </c>
      <c r="D2485" s="764"/>
      <c r="E2485" s="22"/>
      <c r="F2485" s="19">
        <v>100000</v>
      </c>
      <c r="G2485" s="14">
        <f t="shared" si="48"/>
        <v>-100000</v>
      </c>
      <c r="H2485" s="1213"/>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10" t="s">
        <v>8709</v>
      </c>
    </row>
    <row r="2501" spans="1:8" x14ac:dyDescent="0.25">
      <c r="A2501" s="112">
        <v>44888</v>
      </c>
      <c r="B2501" s="21" t="s">
        <v>7946</v>
      </c>
      <c r="C2501" s="13" t="s">
        <v>180</v>
      </c>
      <c r="D2501" s="764"/>
      <c r="E2501" s="22"/>
      <c r="F2501" s="19">
        <v>28000</v>
      </c>
      <c r="G2501" s="14">
        <f t="shared" si="48"/>
        <v>-28000</v>
      </c>
      <c r="H2501" s="1210"/>
    </row>
    <row r="2502" spans="1:8" x14ac:dyDescent="0.25">
      <c r="A2502" s="112">
        <v>44888</v>
      </c>
      <c r="B2502" s="21" t="s">
        <v>8034</v>
      </c>
      <c r="C2502" s="13" t="s">
        <v>180</v>
      </c>
      <c r="D2502" s="764"/>
      <c r="E2502" s="22"/>
      <c r="F2502" s="19">
        <v>100000</v>
      </c>
      <c r="G2502" s="14">
        <f t="shared" si="48"/>
        <v>-100000</v>
      </c>
      <c r="H2502" s="1210"/>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08" t="s">
        <v>8623</v>
      </c>
    </row>
    <row r="2516" spans="1:8" x14ac:dyDescent="0.25">
      <c r="A2516" s="112">
        <v>44889</v>
      </c>
      <c r="B2516" s="21" t="s">
        <v>8034</v>
      </c>
      <c r="C2516" s="13" t="s">
        <v>8384</v>
      </c>
      <c r="D2516" s="764"/>
      <c r="E2516" s="22"/>
      <c r="F2516" s="19">
        <v>50117</v>
      </c>
      <c r="G2516" s="14">
        <f t="shared" si="48"/>
        <v>-50117</v>
      </c>
      <c r="H2516" s="1208"/>
    </row>
    <row r="2517" spans="1:8" x14ac:dyDescent="0.25">
      <c r="A2517" s="112">
        <v>44889</v>
      </c>
      <c r="B2517" s="21" t="s">
        <v>8068</v>
      </c>
      <c r="C2517" s="13" t="s">
        <v>8384</v>
      </c>
      <c r="D2517" s="764"/>
      <c r="E2517" s="22"/>
      <c r="F2517" s="19">
        <v>13496</v>
      </c>
      <c r="G2517" s="14">
        <f t="shared" si="48"/>
        <v>-13496</v>
      </c>
      <c r="H2517" s="1208"/>
    </row>
    <row r="2518" spans="1:8" x14ac:dyDescent="0.25">
      <c r="A2518" s="112">
        <v>44889</v>
      </c>
      <c r="B2518" s="21" t="s">
        <v>8547</v>
      </c>
      <c r="C2518" s="13" t="s">
        <v>8384</v>
      </c>
      <c r="D2518" s="764"/>
      <c r="E2518" s="22"/>
      <c r="F2518" s="19">
        <v>115599</v>
      </c>
      <c r="G2518" s="14">
        <f t="shared" si="48"/>
        <v>-115599</v>
      </c>
      <c r="H2518" s="1208"/>
    </row>
    <row r="2519" spans="1:8" x14ac:dyDescent="0.25">
      <c r="A2519" s="112">
        <v>44889</v>
      </c>
      <c r="B2519" s="21" t="s">
        <v>8521</v>
      </c>
      <c r="C2519" s="13" t="s">
        <v>8384</v>
      </c>
      <c r="D2519" s="764"/>
      <c r="E2519" s="22"/>
      <c r="F2519" s="19">
        <v>72562</v>
      </c>
      <c r="G2519" s="14">
        <f t="shared" si="48"/>
        <v>-72562</v>
      </c>
      <c r="H2519" s="1208"/>
    </row>
    <row r="2520" spans="1:8" x14ac:dyDescent="0.25">
      <c r="A2520" s="112">
        <v>44889</v>
      </c>
      <c r="B2520" s="21" t="s">
        <v>8645</v>
      </c>
      <c r="C2520" s="13" t="s">
        <v>8384</v>
      </c>
      <c r="D2520" s="764"/>
      <c r="E2520" s="22"/>
      <c r="F2520" s="19">
        <f>500000-F2519-F2518-F2517-F2516-F2515</f>
        <v>197007</v>
      </c>
      <c r="G2520" s="14">
        <f t="shared" si="48"/>
        <v>-197007</v>
      </c>
      <c r="H2520" s="1208"/>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52" t="s">
        <v>8812</v>
      </c>
    </row>
    <row r="2546" spans="1:8" x14ac:dyDescent="0.25">
      <c r="A2546" s="112">
        <v>44902</v>
      </c>
      <c r="B2546" s="10" t="s">
        <v>8329</v>
      </c>
      <c r="C2546" s="11" t="s">
        <v>2195</v>
      </c>
      <c r="F2546" s="9">
        <v>39210</v>
      </c>
      <c r="G2546" s="6">
        <f t="shared" si="48"/>
        <v>-39210</v>
      </c>
      <c r="H2546" s="1252"/>
    </row>
    <row r="2547" spans="1:8" x14ac:dyDescent="0.25">
      <c r="A2547" s="112">
        <v>44902</v>
      </c>
      <c r="B2547" s="10" t="s">
        <v>8547</v>
      </c>
      <c r="C2547" s="11" t="s">
        <v>2195</v>
      </c>
      <c r="F2547" s="9">
        <v>18450</v>
      </c>
      <c r="G2547" s="6">
        <f t="shared" si="48"/>
        <v>-18450</v>
      </c>
      <c r="H2547" s="1252"/>
    </row>
    <row r="2548" spans="1:8" x14ac:dyDescent="0.25">
      <c r="A2548" s="112">
        <v>44902</v>
      </c>
      <c r="B2548" s="10" t="s">
        <v>8645</v>
      </c>
      <c r="C2548" s="11" t="s">
        <v>2195</v>
      </c>
      <c r="F2548" s="9">
        <v>80000</v>
      </c>
      <c r="G2548" s="6">
        <f t="shared" si="48"/>
        <v>-80000</v>
      </c>
      <c r="H2548" s="1252"/>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40" t="s">
        <v>8839</v>
      </c>
    </row>
    <row r="2556" spans="1:8" x14ac:dyDescent="0.25">
      <c r="A2556" s="112">
        <v>44907</v>
      </c>
      <c r="B2556" s="742" t="s">
        <v>3945</v>
      </c>
      <c r="C2556" s="749" t="s">
        <v>437</v>
      </c>
      <c r="D2556" s="777"/>
      <c r="E2556" s="750"/>
      <c r="F2556" s="751">
        <v>68000</v>
      </c>
      <c r="G2556" s="752">
        <f t="shared" si="48"/>
        <v>-68000</v>
      </c>
      <c r="H2556" s="1240"/>
    </row>
    <row r="2557" spans="1:8" x14ac:dyDescent="0.25">
      <c r="A2557" s="112">
        <v>44907</v>
      </c>
      <c r="B2557" s="742" t="s">
        <v>1399</v>
      </c>
      <c r="C2557" s="749" t="s">
        <v>437</v>
      </c>
      <c r="D2557" s="777"/>
      <c r="E2557" s="750"/>
      <c r="F2557" s="751">
        <v>7600</v>
      </c>
      <c r="G2557" s="752">
        <f t="shared" si="48"/>
        <v>-7600</v>
      </c>
      <c r="H2557" s="1240"/>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54" t="s">
        <v>8857</v>
      </c>
    </row>
    <row r="2566" spans="1:8" x14ac:dyDescent="0.25">
      <c r="A2566" s="112">
        <v>44910</v>
      </c>
      <c r="B2566" s="742" t="s">
        <v>6503</v>
      </c>
      <c r="C2566" s="749" t="s">
        <v>164</v>
      </c>
      <c r="D2566" s="777"/>
      <c r="E2566" s="750"/>
      <c r="F2566" s="751">
        <v>9328</v>
      </c>
      <c r="G2566" s="752">
        <f t="shared" si="48"/>
        <v>-9328</v>
      </c>
      <c r="H2566" s="1254"/>
    </row>
    <row r="2567" spans="1:8" x14ac:dyDescent="0.25">
      <c r="A2567" s="112">
        <v>44910</v>
      </c>
      <c r="B2567" s="742" t="s">
        <v>7065</v>
      </c>
      <c r="C2567" s="749" t="s">
        <v>164</v>
      </c>
      <c r="D2567" s="777"/>
      <c r="E2567" s="750"/>
      <c r="F2567" s="751">
        <v>247</v>
      </c>
      <c r="G2567" s="752">
        <f t="shared" si="48"/>
        <v>-247</v>
      </c>
      <c r="H2567" s="1254"/>
    </row>
    <row r="2568" spans="1:8" x14ac:dyDescent="0.25">
      <c r="A2568" s="112">
        <v>44910</v>
      </c>
      <c r="B2568" s="742" t="s">
        <v>1399</v>
      </c>
      <c r="C2568" s="749" t="s">
        <v>164</v>
      </c>
      <c r="D2568" s="777"/>
      <c r="E2568" s="750"/>
      <c r="F2568" s="751">
        <v>23076</v>
      </c>
      <c r="G2568" s="752">
        <f t="shared" si="48"/>
        <v>-23076</v>
      </c>
      <c r="H2568" s="1254"/>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53" t="s">
        <v>8884</v>
      </c>
    </row>
    <row r="2574" spans="1:8" x14ac:dyDescent="0.25">
      <c r="A2574" s="112">
        <v>44914</v>
      </c>
      <c r="B2574" s="742" t="s">
        <v>6509</v>
      </c>
      <c r="C2574" s="749" t="s">
        <v>3010</v>
      </c>
      <c r="D2574" s="777"/>
      <c r="E2574" s="750"/>
      <c r="F2574" s="751">
        <v>11000</v>
      </c>
      <c r="G2574" s="752">
        <f t="shared" si="48"/>
        <v>-11000</v>
      </c>
      <c r="H2574" s="1253"/>
    </row>
    <row r="2575" spans="1:8" x14ac:dyDescent="0.25">
      <c r="A2575" s="112">
        <v>44914</v>
      </c>
      <c r="B2575" s="742" t="s">
        <v>8034</v>
      </c>
      <c r="C2575" s="749" t="s">
        <v>3010</v>
      </c>
      <c r="D2575" s="777"/>
      <c r="E2575" s="750"/>
      <c r="F2575" s="751">
        <v>25000</v>
      </c>
      <c r="G2575" s="752">
        <f t="shared" si="48"/>
        <v>-25000</v>
      </c>
      <c r="H2575" s="1253"/>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83" t="s">
        <v>8977</v>
      </c>
    </row>
    <row r="2607" spans="1:8" x14ac:dyDescent="0.25">
      <c r="A2607" s="112">
        <v>44933</v>
      </c>
      <c r="B2607" s="21" t="s">
        <v>7914</v>
      </c>
      <c r="C2607" s="13" t="s">
        <v>8445</v>
      </c>
      <c r="D2607" s="764"/>
      <c r="E2607" s="22"/>
      <c r="F2607" s="19">
        <v>42000</v>
      </c>
      <c r="G2607" s="14">
        <f t="shared" si="48"/>
        <v>-42000</v>
      </c>
      <c r="H2607" s="1185"/>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94" t="s">
        <v>9022</v>
      </c>
    </row>
    <row r="2616" spans="1:8" x14ac:dyDescent="0.25">
      <c r="A2616" s="112">
        <v>44942</v>
      </c>
      <c r="B2616" s="21" t="s">
        <v>7914</v>
      </c>
      <c r="C2616" s="13" t="s">
        <v>166</v>
      </c>
      <c r="D2616" s="764"/>
      <c r="E2616" s="781"/>
      <c r="F2616" s="141">
        <v>25000</v>
      </c>
      <c r="G2616" s="782">
        <f t="shared" si="48"/>
        <v>-25000</v>
      </c>
      <c r="H2616" s="1189"/>
    </row>
    <row r="2617" spans="1:8" x14ac:dyDescent="0.25">
      <c r="A2617" s="112">
        <v>44942</v>
      </c>
      <c r="B2617" s="21" t="s">
        <v>8329</v>
      </c>
      <c r="C2617" s="13" t="s">
        <v>166</v>
      </c>
      <c r="D2617" s="764"/>
      <c r="E2617" s="781"/>
      <c r="F2617" s="141">
        <v>69000</v>
      </c>
      <c r="G2617" s="782">
        <f t="shared" si="48"/>
        <v>-69000</v>
      </c>
      <c r="H2617" s="1189"/>
    </row>
    <row r="2618" spans="1:8" x14ac:dyDescent="0.25">
      <c r="A2618" s="112">
        <v>44942</v>
      </c>
      <c r="B2618" s="21" t="s">
        <v>8547</v>
      </c>
      <c r="C2618" s="13" t="s">
        <v>166</v>
      </c>
      <c r="D2618" s="764"/>
      <c r="E2618" s="781"/>
      <c r="F2618" s="141">
        <v>15282</v>
      </c>
      <c r="G2618" s="782">
        <f t="shared" si="48"/>
        <v>-15282</v>
      </c>
      <c r="H2618" s="1189"/>
    </row>
    <row r="2619" spans="1:8" ht="16.5" thickBot="1" x14ac:dyDescent="0.3">
      <c r="A2619" s="112">
        <v>44942</v>
      </c>
      <c r="B2619" s="21" t="s">
        <v>8521</v>
      </c>
      <c r="C2619" s="13" t="s">
        <v>166</v>
      </c>
      <c r="D2619" s="764"/>
      <c r="E2619" s="781"/>
      <c r="F2619" s="784">
        <v>47891</v>
      </c>
      <c r="G2619" s="782">
        <f t="shared" si="48"/>
        <v>-47891</v>
      </c>
      <c r="H2619" s="1190"/>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83" t="s">
        <v>9063</v>
      </c>
    </row>
    <row r="2626" spans="1:8" x14ac:dyDescent="0.25">
      <c r="A2626" s="112">
        <v>44949</v>
      </c>
      <c r="B2626" s="21" t="s">
        <v>8329</v>
      </c>
      <c r="C2626" s="13" t="s">
        <v>169</v>
      </c>
      <c r="D2626" s="764"/>
      <c r="E2626" s="22"/>
      <c r="F2626" s="19">
        <v>65227</v>
      </c>
      <c r="G2626" s="782">
        <f t="shared" si="48"/>
        <v>-65227</v>
      </c>
      <c r="H2626" s="1185"/>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94" t="s">
        <v>10304</v>
      </c>
    </row>
    <row r="2641" spans="1:8" x14ac:dyDescent="0.25">
      <c r="A2641" s="112">
        <v>44957</v>
      </c>
      <c r="B2641" s="21" t="s">
        <v>8645</v>
      </c>
      <c r="C2641" s="13" t="s">
        <v>7240</v>
      </c>
      <c r="D2641" s="764"/>
      <c r="E2641" s="22"/>
      <c r="F2641" s="19">
        <v>443603</v>
      </c>
      <c r="G2641" s="14">
        <f t="shared" ref="G2641" si="49">E2641-F2641</f>
        <v>-443603</v>
      </c>
      <c r="H2641" s="1190"/>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41" t="s">
        <v>9295</v>
      </c>
      <c r="E2647" s="22">
        <v>56000</v>
      </c>
      <c r="F2647" s="19"/>
      <c r="G2647" s="14">
        <f t="shared" si="48"/>
        <v>56000</v>
      </c>
      <c r="H2647" s="920" t="s">
        <v>9296</v>
      </c>
    </row>
    <row r="2648" spans="1:8" x14ac:dyDescent="0.25">
      <c r="A2648" s="112">
        <v>44965</v>
      </c>
      <c r="B2648" s="21" t="s">
        <v>8034</v>
      </c>
      <c r="C2648" s="13" t="s">
        <v>169</v>
      </c>
      <c r="D2648" s="1242"/>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79" t="s">
        <v>9297</v>
      </c>
    </row>
    <row r="2650" spans="1:8" x14ac:dyDescent="0.25">
      <c r="A2650" s="112">
        <v>44965</v>
      </c>
      <c r="B2650" s="21" t="s">
        <v>8329</v>
      </c>
      <c r="C2650" s="13" t="s">
        <v>169</v>
      </c>
      <c r="D2650" s="764"/>
      <c r="E2650" s="22"/>
      <c r="F2650" s="19">
        <v>10173</v>
      </c>
      <c r="G2650" s="14">
        <f t="shared" si="48"/>
        <v>-10173</v>
      </c>
      <c r="H2650" s="1188"/>
    </row>
    <row r="2651" spans="1:8" x14ac:dyDescent="0.25">
      <c r="A2651" s="112">
        <v>44965</v>
      </c>
      <c r="B2651" s="21" t="s">
        <v>8864</v>
      </c>
      <c r="C2651" s="13" t="s">
        <v>169</v>
      </c>
      <c r="D2651" s="764"/>
      <c r="E2651" s="22"/>
      <c r="F2651" s="19">
        <v>23827</v>
      </c>
      <c r="G2651" s="14">
        <f t="shared" si="48"/>
        <v>-23827</v>
      </c>
      <c r="H2651" s="1180"/>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41" t="s">
        <v>9313</v>
      </c>
      <c r="E2653" s="22">
        <f>6336+15840+24960+43680</f>
        <v>90816</v>
      </c>
      <c r="F2653" s="19"/>
      <c r="G2653" s="14">
        <f t="shared" si="48"/>
        <v>90816</v>
      </c>
      <c r="H2653" s="1245" t="s">
        <v>9314</v>
      </c>
    </row>
    <row r="2654" spans="1:8" x14ac:dyDescent="0.25">
      <c r="A2654" s="112">
        <v>44967</v>
      </c>
      <c r="B2654" s="21" t="s">
        <v>8034</v>
      </c>
      <c r="C2654" s="13" t="s">
        <v>5186</v>
      </c>
      <c r="D2654" s="1242"/>
      <c r="E2654" s="22">
        <f>5032+5596</f>
        <v>10628</v>
      </c>
      <c r="F2654" s="19"/>
      <c r="G2654" s="14">
        <f t="shared" si="48"/>
        <v>10628</v>
      </c>
      <c r="H2654" s="1246"/>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41" t="s">
        <v>9338</v>
      </c>
      <c r="E2656" s="22">
        <f>15552+18000</f>
        <v>33552</v>
      </c>
      <c r="F2656" s="19"/>
      <c r="G2656" s="14">
        <f t="shared" si="48"/>
        <v>33552</v>
      </c>
      <c r="H2656" s="1245" t="s">
        <v>9314</v>
      </c>
    </row>
    <row r="2657" spans="1:8" x14ac:dyDescent="0.25">
      <c r="A2657" s="112">
        <v>44967</v>
      </c>
      <c r="B2657" s="21" t="s">
        <v>8329</v>
      </c>
      <c r="C2657" s="13" t="s">
        <v>5186</v>
      </c>
      <c r="D2657" s="1242"/>
      <c r="E2657" s="22">
        <v>28080</v>
      </c>
      <c r="F2657" s="19"/>
      <c r="G2657" s="14">
        <f t="shared" si="48"/>
        <v>28080</v>
      </c>
      <c r="H2657" s="1246"/>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91" t="s">
        <v>9339</v>
      </c>
    </row>
    <row r="2675" spans="1:8" x14ac:dyDescent="0.25">
      <c r="A2675" s="112">
        <v>44973</v>
      </c>
      <c r="B2675" s="21" t="s">
        <v>8068</v>
      </c>
      <c r="C2675" s="13" t="s">
        <v>5186</v>
      </c>
      <c r="D2675" s="764"/>
      <c r="E2675" s="22"/>
      <c r="F2675" s="19">
        <v>63132</v>
      </c>
      <c r="G2675" s="14">
        <f t="shared" si="48"/>
        <v>-63132</v>
      </c>
      <c r="H2675" s="1192"/>
    </row>
    <row r="2676" spans="1:8" x14ac:dyDescent="0.25">
      <c r="A2676" s="112">
        <v>44973</v>
      </c>
      <c r="B2676" s="21" t="s">
        <v>8329</v>
      </c>
      <c r="C2676" s="13" t="s">
        <v>5186</v>
      </c>
      <c r="D2676" s="764"/>
      <c r="E2676" s="22"/>
      <c r="F2676" s="19">
        <v>98924</v>
      </c>
      <c r="G2676" s="14">
        <f t="shared" si="48"/>
        <v>-98924</v>
      </c>
      <c r="H2676" s="1193"/>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49" t="s">
        <v>9446</v>
      </c>
    </row>
    <row r="2692" spans="1:8" x14ac:dyDescent="0.25">
      <c r="A2692" s="112">
        <v>45001</v>
      </c>
      <c r="B2692" s="21" t="s">
        <v>8521</v>
      </c>
      <c r="C2692" s="13" t="s">
        <v>166</v>
      </c>
      <c r="D2692" s="764"/>
      <c r="E2692" s="22"/>
      <c r="F2692" s="19">
        <v>15069</v>
      </c>
      <c r="G2692" s="14">
        <f t="shared" si="48"/>
        <v>-15069</v>
      </c>
      <c r="H2692" s="1250"/>
    </row>
    <row r="2693" spans="1:8" x14ac:dyDescent="0.25">
      <c r="A2693" s="112">
        <v>45001</v>
      </c>
      <c r="B2693" s="21" t="s">
        <v>8645</v>
      </c>
      <c r="C2693" s="13" t="s">
        <v>166</v>
      </c>
      <c r="D2693" s="764"/>
      <c r="E2693" s="22"/>
      <c r="F2693" s="19">
        <v>848690</v>
      </c>
      <c r="G2693" s="14">
        <f t="shared" si="48"/>
        <v>-848690</v>
      </c>
      <c r="H2693" s="1250"/>
    </row>
    <row r="2694" spans="1:8" x14ac:dyDescent="0.25">
      <c r="A2694" s="112">
        <v>45001</v>
      </c>
      <c r="B2694" s="21" t="s">
        <v>8856</v>
      </c>
      <c r="C2694" s="13" t="s">
        <v>166</v>
      </c>
      <c r="D2694" s="764"/>
      <c r="E2694" s="22"/>
      <c r="F2694" s="19">
        <v>78000</v>
      </c>
      <c r="G2694" s="14">
        <f t="shared" si="48"/>
        <v>-78000</v>
      </c>
      <c r="H2694" s="1250"/>
    </row>
    <row r="2695" spans="1:8" x14ac:dyDescent="0.25">
      <c r="A2695" s="112">
        <v>45001</v>
      </c>
      <c r="B2695" s="21" t="s">
        <v>8864</v>
      </c>
      <c r="C2695" s="13" t="s">
        <v>166</v>
      </c>
      <c r="D2695" s="764"/>
      <c r="E2695" s="22"/>
      <c r="F2695" s="19">
        <v>115000</v>
      </c>
      <c r="G2695" s="14">
        <f t="shared" si="48"/>
        <v>-115000</v>
      </c>
      <c r="H2695" s="1251"/>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47" t="s">
        <v>9467</v>
      </c>
    </row>
    <row r="2699" spans="1:8" x14ac:dyDescent="0.25">
      <c r="A2699" s="112">
        <v>45002</v>
      </c>
      <c r="B2699" s="21" t="s">
        <v>8856</v>
      </c>
      <c r="C2699" s="13" t="s">
        <v>180</v>
      </c>
      <c r="D2699" s="764"/>
      <c r="E2699" s="22"/>
      <c r="F2699" s="19">
        <v>164160</v>
      </c>
      <c r="G2699" s="14">
        <f t="shared" si="48"/>
        <v>-164160</v>
      </c>
      <c r="H2699" s="1248"/>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47" t="s">
        <v>8995</v>
      </c>
    </row>
    <row r="2704" spans="1:8" x14ac:dyDescent="0.25">
      <c r="A2704" s="112">
        <v>45005</v>
      </c>
      <c r="B2704" s="21" t="s">
        <v>8645</v>
      </c>
      <c r="C2704" s="13" t="s">
        <v>8384</v>
      </c>
      <c r="D2704" s="764"/>
      <c r="E2704" s="22"/>
      <c r="F2704" s="19">
        <v>371446</v>
      </c>
      <c r="G2704" s="14">
        <f t="shared" si="53"/>
        <v>-371446</v>
      </c>
      <c r="H2704" s="1248"/>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43" t="s">
        <v>9271</v>
      </c>
      <c r="E2716" s="22">
        <v>28496</v>
      </c>
      <c r="F2716" s="19"/>
      <c r="G2716" s="14">
        <f t="shared" si="53"/>
        <v>28496</v>
      </c>
      <c r="H2716" s="1245" t="s">
        <v>9314</v>
      </c>
    </row>
    <row r="2717" spans="1:8" x14ac:dyDescent="0.25">
      <c r="A2717" s="112">
        <v>45019</v>
      </c>
      <c r="B2717" s="21" t="s">
        <v>3945</v>
      </c>
      <c r="C2717" s="13" t="s">
        <v>8384</v>
      </c>
      <c r="D2717" s="1244"/>
      <c r="E2717" s="22">
        <v>8745</v>
      </c>
      <c r="F2717" s="19"/>
      <c r="G2717" s="14">
        <f t="shared" si="53"/>
        <v>8745</v>
      </c>
      <c r="H2717" s="1246"/>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41" t="s">
        <v>9590</v>
      </c>
      <c r="E2721" s="22">
        <v>20000</v>
      </c>
      <c r="F2721" s="19"/>
      <c r="G2721" s="14">
        <f t="shared" si="53"/>
        <v>20000</v>
      </c>
      <c r="H2721" s="1245" t="s">
        <v>9314</v>
      </c>
    </row>
    <row r="2722" spans="1:8" x14ac:dyDescent="0.25">
      <c r="A2722" s="112">
        <v>45024</v>
      </c>
      <c r="B2722" s="21" t="s">
        <v>8034</v>
      </c>
      <c r="C2722" s="13" t="s">
        <v>5186</v>
      </c>
      <c r="D2722" s="1242"/>
      <c r="E2722" s="22">
        <v>15000</v>
      </c>
      <c r="F2722" s="19"/>
      <c r="G2722" s="14">
        <f t="shared" si="53"/>
        <v>15000</v>
      </c>
      <c r="H2722" s="1246"/>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66" t="s">
        <v>12241</v>
      </c>
    </row>
    <row r="2726" spans="1:8" x14ac:dyDescent="0.25">
      <c r="A2726" s="112">
        <v>45026</v>
      </c>
      <c r="B2726" s="21" t="s">
        <v>8329</v>
      </c>
      <c r="C2726" s="13" t="s">
        <v>5186</v>
      </c>
      <c r="D2726" s="764"/>
      <c r="E2726" s="22"/>
      <c r="F2726" s="19">
        <v>20624</v>
      </c>
      <c r="G2726" s="14">
        <f t="shared" si="53"/>
        <v>-20624</v>
      </c>
      <c r="H2726" s="1267"/>
    </row>
    <row r="2727" spans="1:8" x14ac:dyDescent="0.25">
      <c r="A2727" s="112">
        <v>45026</v>
      </c>
      <c r="B2727" s="21" t="s">
        <v>8864</v>
      </c>
      <c r="C2727" s="13" t="s">
        <v>5186</v>
      </c>
      <c r="D2727" s="764"/>
      <c r="E2727" s="22"/>
      <c r="F2727" s="19">
        <v>34826</v>
      </c>
      <c r="G2727" s="14">
        <f t="shared" si="53"/>
        <v>-34826</v>
      </c>
      <c r="H2727" s="1268"/>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69" t="s">
        <v>9644</v>
      </c>
    </row>
    <row r="2732" spans="1:8" ht="15.75" customHeight="1" x14ac:dyDescent="0.25">
      <c r="A2732" s="112">
        <v>45029</v>
      </c>
      <c r="B2732" s="21" t="s">
        <v>7655</v>
      </c>
      <c r="C2732" s="13" t="s">
        <v>5680</v>
      </c>
      <c r="D2732" s="764"/>
      <c r="E2732" s="781"/>
      <c r="F2732" s="141">
        <v>40900</v>
      </c>
      <c r="G2732" s="782">
        <f t="shared" si="53"/>
        <v>-40900</v>
      </c>
      <c r="H2732" s="1270"/>
    </row>
    <row r="2733" spans="1:8" ht="15.75" customHeight="1" x14ac:dyDescent="0.25">
      <c r="A2733" s="112">
        <v>45029</v>
      </c>
      <c r="B2733" s="21" t="s">
        <v>7553</v>
      </c>
      <c r="C2733" s="13" t="s">
        <v>5680</v>
      </c>
      <c r="D2733" s="764"/>
      <c r="E2733" s="781"/>
      <c r="F2733" s="141">
        <v>5400</v>
      </c>
      <c r="G2733" s="782">
        <f t="shared" si="53"/>
        <v>-5400</v>
      </c>
      <c r="H2733" s="1270"/>
    </row>
    <row r="2734" spans="1:8" ht="16.5" thickBot="1" x14ac:dyDescent="0.3">
      <c r="A2734" s="112">
        <v>45029</v>
      </c>
      <c r="B2734" s="21" t="s">
        <v>8645</v>
      </c>
      <c r="C2734" s="13" t="s">
        <v>5680</v>
      </c>
      <c r="D2734" s="764"/>
      <c r="E2734" s="781"/>
      <c r="F2734" s="784">
        <v>40520</v>
      </c>
      <c r="G2734" s="782">
        <f t="shared" si="53"/>
        <v>-40520</v>
      </c>
      <c r="H2734" s="1271"/>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69" t="s">
        <v>9644</v>
      </c>
    </row>
    <row r="2737" spans="1:8" x14ac:dyDescent="0.25">
      <c r="A2737" s="112">
        <v>45031</v>
      </c>
      <c r="B2737" s="21" t="s">
        <v>8864</v>
      </c>
      <c r="C2737" s="13" t="s">
        <v>169</v>
      </c>
      <c r="D2737" s="764"/>
      <c r="E2737" s="781"/>
      <c r="F2737" s="141">
        <v>18365</v>
      </c>
      <c r="G2737" s="782">
        <f t="shared" si="53"/>
        <v>-18365</v>
      </c>
      <c r="H2737" s="1270"/>
    </row>
    <row r="2738" spans="1:8" x14ac:dyDescent="0.25">
      <c r="A2738" s="112">
        <v>45031</v>
      </c>
      <c r="B2738" s="21" t="s">
        <v>9397</v>
      </c>
      <c r="C2738" s="13" t="s">
        <v>169</v>
      </c>
      <c r="D2738" s="764"/>
      <c r="E2738" s="781"/>
      <c r="F2738" s="141">
        <v>20500</v>
      </c>
      <c r="G2738" s="782">
        <f t="shared" si="53"/>
        <v>-20500</v>
      </c>
      <c r="H2738" s="1270"/>
    </row>
    <row r="2739" spans="1:8" ht="16.5" thickBot="1" x14ac:dyDescent="0.3">
      <c r="A2739" s="112">
        <v>45031</v>
      </c>
      <c r="B2739" s="21" t="s">
        <v>9397</v>
      </c>
      <c r="C2739" s="13" t="s">
        <v>169</v>
      </c>
      <c r="D2739" s="764"/>
      <c r="E2739" s="781"/>
      <c r="F2739" s="784">
        <v>4135</v>
      </c>
      <c r="G2739" s="782">
        <f t="shared" si="53"/>
        <v>-4135</v>
      </c>
      <c r="H2739" s="1271"/>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72" t="s">
        <v>9714</v>
      </c>
    </row>
    <row r="2744" spans="1:8" x14ac:dyDescent="0.25">
      <c r="A2744" s="112">
        <v>45035</v>
      </c>
      <c r="B2744" s="21" t="s">
        <v>8645</v>
      </c>
      <c r="C2744" s="13" t="s">
        <v>8384</v>
      </c>
      <c r="D2744" s="764"/>
      <c r="E2744" s="781"/>
      <c r="F2744" s="141">
        <v>51861</v>
      </c>
      <c r="G2744" s="14">
        <f t="shared" si="54"/>
        <v>-51861</v>
      </c>
      <c r="H2744" s="1273"/>
    </row>
    <row r="2745" spans="1:8" x14ac:dyDescent="0.25">
      <c r="A2745" s="112">
        <v>45035</v>
      </c>
      <c r="B2745" s="21" t="s">
        <v>8864</v>
      </c>
      <c r="C2745" s="13" t="s">
        <v>8384</v>
      </c>
      <c r="D2745" s="764"/>
      <c r="E2745" s="781"/>
      <c r="F2745" s="141">
        <v>17015</v>
      </c>
      <c r="G2745" s="14">
        <f t="shared" si="54"/>
        <v>-17015</v>
      </c>
      <c r="H2745" s="1273"/>
    </row>
    <row r="2746" spans="1:8" x14ac:dyDescent="0.25">
      <c r="A2746" s="112">
        <v>45035</v>
      </c>
      <c r="B2746" s="21" t="s">
        <v>9495</v>
      </c>
      <c r="C2746" s="13" t="s">
        <v>8384</v>
      </c>
      <c r="D2746" s="764"/>
      <c r="E2746" s="781"/>
      <c r="F2746" s="141">
        <v>28496</v>
      </c>
      <c r="G2746" s="14">
        <f t="shared" si="54"/>
        <v>-28496</v>
      </c>
      <c r="H2746" s="1273"/>
    </row>
    <row r="2747" spans="1:8" x14ac:dyDescent="0.25">
      <c r="A2747" s="112">
        <v>45035</v>
      </c>
      <c r="B2747" s="21" t="s">
        <v>9344</v>
      </c>
      <c r="C2747" s="13" t="s">
        <v>8384</v>
      </c>
      <c r="D2747" s="764"/>
      <c r="E2747" s="953"/>
      <c r="F2747" s="146">
        <v>93883</v>
      </c>
      <c r="G2747" s="14">
        <f t="shared" si="54"/>
        <v>-93883</v>
      </c>
      <c r="H2747" s="1274"/>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58" t="s">
        <v>9726</v>
      </c>
    </row>
    <row r="2752" spans="1:8" x14ac:dyDescent="0.25">
      <c r="A2752" s="112">
        <v>45043</v>
      </c>
      <c r="B2752" s="21" t="s">
        <v>8645</v>
      </c>
      <c r="C2752" s="13" t="s">
        <v>8384</v>
      </c>
      <c r="D2752" s="764"/>
      <c r="E2752" s="22"/>
      <c r="F2752" s="19">
        <v>447612</v>
      </c>
      <c r="G2752" s="14">
        <f t="shared" si="54"/>
        <v>-447612</v>
      </c>
      <c r="H2752" s="1259"/>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83" t="s">
        <v>9788</v>
      </c>
    </row>
    <row r="2759" spans="1:8" x14ac:dyDescent="0.25">
      <c r="A2759" s="112">
        <v>45049</v>
      </c>
      <c r="B2759" s="21" t="s">
        <v>9649</v>
      </c>
      <c r="C2759" s="13" t="s">
        <v>8384</v>
      </c>
      <c r="D2759" s="764"/>
      <c r="E2759" s="22"/>
      <c r="F2759" s="19">
        <f>730000-F2758</f>
        <v>235093</v>
      </c>
      <c r="G2759" s="14">
        <f t="shared" si="54"/>
        <v>-235093</v>
      </c>
      <c r="H2759" s="1184"/>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83" t="s">
        <v>9836</v>
      </c>
    </row>
    <row r="2769" spans="1:8" ht="16.5" thickBot="1" x14ac:dyDescent="0.3">
      <c r="A2769" s="112">
        <v>45056</v>
      </c>
      <c r="B2769" s="21" t="s">
        <v>9344</v>
      </c>
      <c r="C2769" s="13" t="s">
        <v>169</v>
      </c>
      <c r="D2769" s="764"/>
      <c r="E2769" s="781"/>
      <c r="F2769" s="784">
        <v>124699</v>
      </c>
      <c r="G2769" s="782">
        <f t="shared" si="54"/>
        <v>-124699</v>
      </c>
      <c r="H2769" s="1185"/>
    </row>
    <row r="2770" spans="1:8" x14ac:dyDescent="0.25">
      <c r="A2770" s="112">
        <v>45056</v>
      </c>
      <c r="B2770" s="21" t="s">
        <v>8864</v>
      </c>
      <c r="C2770" s="13" t="s">
        <v>180</v>
      </c>
      <c r="D2770" s="764"/>
      <c r="E2770" s="781"/>
      <c r="F2770" s="783">
        <v>380920</v>
      </c>
      <c r="G2770" s="782">
        <f t="shared" si="54"/>
        <v>-380920</v>
      </c>
      <c r="H2770" s="1183" t="s">
        <v>9837</v>
      </c>
    </row>
    <row r="2771" spans="1:8" ht="16.5" thickBot="1" x14ac:dyDescent="0.3">
      <c r="A2771" s="112">
        <v>45056</v>
      </c>
      <c r="B2771" s="21" t="s">
        <v>9397</v>
      </c>
      <c r="C2771" s="13" t="s">
        <v>180</v>
      </c>
      <c r="D2771" s="764"/>
      <c r="E2771" s="781"/>
      <c r="F2771" s="784">
        <v>192080</v>
      </c>
      <c r="G2771" s="782">
        <f t="shared" si="54"/>
        <v>-192080</v>
      </c>
      <c r="H2771" s="1185"/>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83" t="s">
        <v>12240</v>
      </c>
    </row>
    <row r="2774" spans="1:8" x14ac:dyDescent="0.25">
      <c r="A2774" s="112">
        <v>45056</v>
      </c>
      <c r="B2774" s="21" t="s">
        <v>8864</v>
      </c>
      <c r="C2774" s="13" t="s">
        <v>5186</v>
      </c>
      <c r="D2774" s="764"/>
      <c r="E2774" s="22"/>
      <c r="F2774" s="111">
        <v>150000</v>
      </c>
      <c r="G2774" s="14">
        <f t="shared" si="54"/>
        <v>-150000</v>
      </c>
      <c r="H2774" s="1184"/>
    </row>
    <row r="2775" spans="1:8" x14ac:dyDescent="0.25">
      <c r="A2775" s="112">
        <v>45056</v>
      </c>
      <c r="B2775" s="21" t="s">
        <v>8864</v>
      </c>
      <c r="C2775" s="13" t="s">
        <v>5186</v>
      </c>
      <c r="D2775" s="764"/>
      <c r="E2775" s="22"/>
      <c r="F2775" s="111">
        <v>35000</v>
      </c>
      <c r="G2775" s="14">
        <f t="shared" si="54"/>
        <v>-35000</v>
      </c>
      <c r="H2775" s="1184"/>
    </row>
    <row r="2776" spans="1:8" x14ac:dyDescent="0.25">
      <c r="A2776" s="112">
        <v>45056</v>
      </c>
      <c r="B2776" s="21" t="s">
        <v>8864</v>
      </c>
      <c r="C2776" s="13" t="s">
        <v>5186</v>
      </c>
      <c r="D2776" s="764"/>
      <c r="E2776" s="22"/>
      <c r="F2776" s="111">
        <v>5000</v>
      </c>
      <c r="G2776" s="14">
        <f t="shared" si="54"/>
        <v>-5000</v>
      </c>
      <c r="H2776" s="1185"/>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49" t="s">
        <v>10305</v>
      </c>
    </row>
    <row r="2816" spans="1:8" x14ac:dyDescent="0.25">
      <c r="A2816" s="112">
        <v>45076</v>
      </c>
      <c r="B2816" s="21" t="s">
        <v>8034</v>
      </c>
      <c r="C2816" s="13" t="s">
        <v>7240</v>
      </c>
      <c r="D2816" s="764"/>
      <c r="E2816" s="22"/>
      <c r="F2816" s="19">
        <v>141655</v>
      </c>
      <c r="G2816" s="14">
        <f t="shared" si="54"/>
        <v>-141655</v>
      </c>
      <c r="H2816" s="1250"/>
    </row>
    <row r="2817" spans="1:8" x14ac:dyDescent="0.25">
      <c r="A2817" s="112">
        <v>45076</v>
      </c>
      <c r="B2817" s="21" t="s">
        <v>8329</v>
      </c>
      <c r="C2817" s="13" t="s">
        <v>7240</v>
      </c>
      <c r="D2817" s="764"/>
      <c r="E2817" s="22"/>
      <c r="F2817" s="19">
        <v>27798</v>
      </c>
      <c r="G2817" s="14">
        <f t="shared" si="54"/>
        <v>-27798</v>
      </c>
      <c r="H2817" s="1250"/>
    </row>
    <row r="2818" spans="1:8" x14ac:dyDescent="0.25">
      <c r="A2818" s="112">
        <v>45076</v>
      </c>
      <c r="B2818" s="21" t="s">
        <v>8547</v>
      </c>
      <c r="C2818" s="13" t="s">
        <v>7240</v>
      </c>
      <c r="D2818" s="764"/>
      <c r="E2818" s="22"/>
      <c r="F2818" s="19">
        <v>65342</v>
      </c>
      <c r="G2818" s="14">
        <f t="shared" si="54"/>
        <v>-65342</v>
      </c>
      <c r="H2818" s="1250"/>
    </row>
    <row r="2819" spans="1:8" x14ac:dyDescent="0.25">
      <c r="A2819" s="112">
        <v>45076</v>
      </c>
      <c r="B2819" s="21" t="s">
        <v>8645</v>
      </c>
      <c r="C2819" s="13" t="s">
        <v>7240</v>
      </c>
      <c r="D2819" s="764"/>
      <c r="E2819" s="22"/>
      <c r="F2819" s="19">
        <v>188071</v>
      </c>
      <c r="G2819" s="14">
        <f t="shared" si="54"/>
        <v>-188071</v>
      </c>
      <c r="H2819" s="1250"/>
    </row>
    <row r="2820" spans="1:8" x14ac:dyDescent="0.25">
      <c r="A2820" s="112">
        <v>45076</v>
      </c>
      <c r="B2820" s="21" t="s">
        <v>8856</v>
      </c>
      <c r="C2820" s="13" t="s">
        <v>7240</v>
      </c>
      <c r="D2820" s="764"/>
      <c r="E2820" s="22"/>
      <c r="F2820" s="19">
        <v>3983</v>
      </c>
      <c r="G2820" s="14">
        <f t="shared" si="54"/>
        <v>-3983</v>
      </c>
      <c r="H2820" s="1250"/>
    </row>
    <row r="2821" spans="1:8" x14ac:dyDescent="0.25">
      <c r="A2821" s="112">
        <v>45076</v>
      </c>
      <c r="B2821" s="21" t="s">
        <v>8864</v>
      </c>
      <c r="C2821" s="13" t="s">
        <v>7240</v>
      </c>
      <c r="D2821" s="764"/>
      <c r="E2821" s="22"/>
      <c r="F2821" s="19">
        <v>48076</v>
      </c>
      <c r="G2821" s="14">
        <f t="shared" si="54"/>
        <v>-48076</v>
      </c>
      <c r="H2821" s="1250"/>
    </row>
    <row r="2822" spans="1:8" x14ac:dyDescent="0.25">
      <c r="A2822" s="112">
        <v>45076</v>
      </c>
      <c r="B2822" s="21" t="s">
        <v>9397</v>
      </c>
      <c r="C2822" s="13" t="s">
        <v>7240</v>
      </c>
      <c r="D2822" s="764"/>
      <c r="E2822" s="22"/>
      <c r="F2822" s="19">
        <v>48076</v>
      </c>
      <c r="G2822" s="14">
        <f t="shared" si="54"/>
        <v>-48076</v>
      </c>
      <c r="H2822" s="1251"/>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05" t="s">
        <v>10115</v>
      </c>
    </row>
    <row r="2866" spans="1:8" x14ac:dyDescent="0.25">
      <c r="A2866" s="112">
        <v>45086</v>
      </c>
      <c r="B2866" s="21" t="s">
        <v>8034</v>
      </c>
      <c r="C2866" s="13" t="s">
        <v>7465</v>
      </c>
      <c r="D2866" s="764"/>
      <c r="E2866" s="781"/>
      <c r="F2866" s="141">
        <v>176124</v>
      </c>
      <c r="G2866" s="782">
        <f t="shared" ref="G2866:G2933" si="57">E2866-F2866</f>
        <v>-176124</v>
      </c>
      <c r="H2866" s="1255"/>
    </row>
    <row r="2867" spans="1:8" x14ac:dyDescent="0.25">
      <c r="A2867" s="112">
        <v>45086</v>
      </c>
      <c r="B2867" s="21" t="s">
        <v>8329</v>
      </c>
      <c r="C2867" s="13" t="s">
        <v>7465</v>
      </c>
      <c r="D2867" s="764"/>
      <c r="E2867" s="781"/>
      <c r="F2867" s="141">
        <v>265939</v>
      </c>
      <c r="G2867" s="782">
        <f t="shared" si="57"/>
        <v>-265939</v>
      </c>
      <c r="H2867" s="1255"/>
    </row>
    <row r="2868" spans="1:8" x14ac:dyDescent="0.25">
      <c r="A2868" s="112">
        <v>45086</v>
      </c>
      <c r="B2868" s="21" t="s">
        <v>8547</v>
      </c>
      <c r="C2868" s="13" t="s">
        <v>7465</v>
      </c>
      <c r="D2868" s="764"/>
      <c r="E2868" s="781"/>
      <c r="F2868" s="141">
        <v>245863</v>
      </c>
      <c r="G2868" s="782">
        <f t="shared" si="57"/>
        <v>-245863</v>
      </c>
      <c r="H2868" s="1255"/>
    </row>
    <row r="2869" spans="1:8" ht="16.5" thickBot="1" x14ac:dyDescent="0.3">
      <c r="A2869" s="112">
        <v>45086</v>
      </c>
      <c r="B2869" s="21" t="s">
        <v>8864</v>
      </c>
      <c r="C2869" s="13" t="s">
        <v>7465</v>
      </c>
      <c r="D2869" s="764"/>
      <c r="E2869" s="781"/>
      <c r="F2869" s="784">
        <v>201031</v>
      </c>
      <c r="G2869" s="782">
        <f t="shared" si="57"/>
        <v>-201031</v>
      </c>
      <c r="H2869" s="1206"/>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77" t="s">
        <v>10115</v>
      </c>
    </row>
    <row r="2873" spans="1:8" x14ac:dyDescent="0.25">
      <c r="A2873" s="112">
        <v>45089</v>
      </c>
      <c r="B2873" s="21" t="s">
        <v>9649</v>
      </c>
      <c r="C2873" s="13" t="s">
        <v>8384</v>
      </c>
      <c r="D2873" s="764"/>
      <c r="E2873" s="22"/>
      <c r="F2873" s="19">
        <v>100000</v>
      </c>
      <c r="G2873" s="14">
        <f t="shared" si="57"/>
        <v>-100000</v>
      </c>
      <c r="H2873" s="1256"/>
    </row>
    <row r="2874" spans="1:8" x14ac:dyDescent="0.25">
      <c r="A2874" s="112">
        <v>45089</v>
      </c>
      <c r="B2874" s="21" t="s">
        <v>8645</v>
      </c>
      <c r="C2874" s="13" t="s">
        <v>8384</v>
      </c>
      <c r="D2874" s="764"/>
      <c r="E2874" s="22"/>
      <c r="F2874" s="19">
        <v>350000</v>
      </c>
      <c r="G2874" s="14">
        <f t="shared" si="57"/>
        <v>-350000</v>
      </c>
      <c r="H2874" s="1257"/>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79" t="s">
        <v>10221</v>
      </c>
    </row>
    <row r="2885" spans="1:8" x14ac:dyDescent="0.25">
      <c r="A2885" s="112">
        <v>45094</v>
      </c>
      <c r="B2885" s="21" t="s">
        <v>9757</v>
      </c>
      <c r="C2885" s="13" t="s">
        <v>180</v>
      </c>
      <c r="D2885" s="764"/>
      <c r="E2885" s="781"/>
      <c r="F2885" s="141">
        <v>49080</v>
      </c>
      <c r="G2885" s="782">
        <f t="shared" si="57"/>
        <v>-49080</v>
      </c>
      <c r="H2885" s="1188"/>
    </row>
    <row r="2886" spans="1:8" x14ac:dyDescent="0.25">
      <c r="A2886" s="112">
        <v>45094</v>
      </c>
      <c r="B2886" s="21" t="s">
        <v>10284</v>
      </c>
      <c r="C2886" s="13" t="s">
        <v>180</v>
      </c>
      <c r="D2886" s="764"/>
      <c r="E2886" s="781"/>
      <c r="F2886" s="146">
        <v>151960</v>
      </c>
      <c r="G2886" s="782">
        <f t="shared" si="57"/>
        <v>-151960</v>
      </c>
      <c r="H2886" s="1188"/>
    </row>
    <row r="2887" spans="1:8" ht="16.5" thickBot="1" x14ac:dyDescent="0.3">
      <c r="A2887" s="112">
        <v>45094</v>
      </c>
      <c r="B2887" s="21" t="s">
        <v>10220</v>
      </c>
      <c r="C2887" s="13" t="s">
        <v>180</v>
      </c>
      <c r="D2887" s="764"/>
      <c r="E2887" s="781"/>
      <c r="F2887" s="784">
        <f>875000-F2886-F2885-F2884</f>
        <v>3960</v>
      </c>
      <c r="G2887" s="782">
        <f t="shared" si="57"/>
        <v>-3960</v>
      </c>
      <c r="H2887" s="1180"/>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79" t="s">
        <v>10244</v>
      </c>
    </row>
    <row r="2900" spans="1:8" x14ac:dyDescent="0.25">
      <c r="A2900" s="112">
        <v>45096</v>
      </c>
      <c r="B2900" s="21" t="s">
        <v>9955</v>
      </c>
      <c r="C2900" s="13" t="s">
        <v>169</v>
      </c>
      <c r="D2900" s="764"/>
      <c r="E2900" s="781"/>
      <c r="F2900" s="151">
        <v>23382</v>
      </c>
      <c r="G2900" s="782">
        <f t="shared" si="57"/>
        <v>-23382</v>
      </c>
      <c r="H2900" s="1188"/>
    </row>
    <row r="2901" spans="1:8" ht="16.5" thickBot="1" x14ac:dyDescent="0.3">
      <c r="A2901" s="112">
        <v>45096</v>
      </c>
      <c r="B2901" s="21" t="s">
        <v>9974</v>
      </c>
      <c r="C2901" s="13" t="s">
        <v>169</v>
      </c>
      <c r="D2901" s="764"/>
      <c r="E2901" s="781"/>
      <c r="F2901" s="295">
        <v>102854</v>
      </c>
      <c r="G2901" s="782">
        <f t="shared" si="57"/>
        <v>-102854</v>
      </c>
      <c r="H2901" s="1180"/>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83" t="s">
        <v>10223</v>
      </c>
    </row>
    <row r="2905" spans="1:8" x14ac:dyDescent="0.25">
      <c r="A2905" s="112">
        <v>45096</v>
      </c>
      <c r="B2905" s="21" t="s">
        <v>6503</v>
      </c>
      <c r="C2905" s="13" t="s">
        <v>164</v>
      </c>
      <c r="D2905" s="764"/>
      <c r="E2905" s="22"/>
      <c r="F2905" s="19">
        <v>1320</v>
      </c>
      <c r="G2905" s="14">
        <f t="shared" si="57"/>
        <v>-1320</v>
      </c>
      <c r="H2905" s="1184"/>
    </row>
    <row r="2906" spans="1:8" x14ac:dyDescent="0.25">
      <c r="A2906" s="112">
        <v>45096</v>
      </c>
      <c r="B2906" s="21" t="s">
        <v>8856</v>
      </c>
      <c r="C2906" s="13" t="s">
        <v>164</v>
      </c>
      <c r="D2906" s="764"/>
      <c r="E2906" s="22"/>
      <c r="F2906" s="19">
        <v>2773</v>
      </c>
      <c r="G2906" s="14">
        <f t="shared" si="57"/>
        <v>-2773</v>
      </c>
      <c r="H2906" s="1184"/>
    </row>
    <row r="2907" spans="1:8" x14ac:dyDescent="0.25">
      <c r="A2907" s="112">
        <v>45096</v>
      </c>
      <c r="B2907" s="21" t="s">
        <v>9344</v>
      </c>
      <c r="C2907" s="13" t="s">
        <v>164</v>
      </c>
      <c r="D2907" s="764"/>
      <c r="E2907" s="22"/>
      <c r="F2907" s="19">
        <v>12911</v>
      </c>
      <c r="G2907" s="14">
        <f t="shared" si="57"/>
        <v>-12911</v>
      </c>
      <c r="H2907" s="1184"/>
    </row>
    <row r="2908" spans="1:8" x14ac:dyDescent="0.25">
      <c r="A2908" s="112">
        <v>45096</v>
      </c>
      <c r="B2908" s="21" t="s">
        <v>9495</v>
      </c>
      <c r="C2908" s="13" t="s">
        <v>164</v>
      </c>
      <c r="D2908" s="764"/>
      <c r="E2908" s="22"/>
      <c r="F2908" s="19">
        <v>3303</v>
      </c>
      <c r="G2908" s="14">
        <f t="shared" si="57"/>
        <v>-3303</v>
      </c>
      <c r="H2908" s="1184"/>
    </row>
    <row r="2909" spans="1:8" x14ac:dyDescent="0.25">
      <c r="A2909" s="112">
        <v>45096</v>
      </c>
      <c r="B2909" s="21" t="s">
        <v>10892</v>
      </c>
      <c r="C2909" s="13" t="s">
        <v>164</v>
      </c>
      <c r="D2909" s="764"/>
      <c r="E2909" s="22"/>
      <c r="F2909" s="19">
        <v>64935</v>
      </c>
      <c r="G2909" s="14">
        <f t="shared" si="57"/>
        <v>-64935</v>
      </c>
      <c r="H2909" s="1184"/>
    </row>
    <row r="2910" spans="1:8" x14ac:dyDescent="0.25">
      <c r="A2910" s="112">
        <v>45096</v>
      </c>
      <c r="B2910" s="21" t="s">
        <v>9955</v>
      </c>
      <c r="C2910" s="13" t="s">
        <v>164</v>
      </c>
      <c r="D2910" s="764"/>
      <c r="E2910" s="22"/>
      <c r="F2910" s="19">
        <v>5073</v>
      </c>
      <c r="G2910" s="14">
        <f t="shared" si="57"/>
        <v>-5073</v>
      </c>
      <c r="H2910" s="1184"/>
    </row>
    <row r="2911" spans="1:8" x14ac:dyDescent="0.25">
      <c r="A2911" s="112">
        <v>45096</v>
      </c>
      <c r="B2911" s="21" t="s">
        <v>9974</v>
      </c>
      <c r="C2911" s="13" t="s">
        <v>164</v>
      </c>
      <c r="D2911" s="764"/>
      <c r="E2911" s="22"/>
      <c r="F2911" s="109">
        <f>100000-F2910-F2909-3485-F2907-F2906-F2905-F2904</f>
        <v>2239</v>
      </c>
      <c r="G2911" s="14">
        <f t="shared" si="57"/>
        <v>-2239</v>
      </c>
      <c r="H2911" s="1185"/>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86" t="s">
        <v>10115</v>
      </c>
    </row>
    <row r="2916" spans="1:8" x14ac:dyDescent="0.25">
      <c r="A2916" s="112">
        <v>45099</v>
      </c>
      <c r="B2916" s="21" t="s">
        <v>9757</v>
      </c>
      <c r="C2916" s="13" t="s">
        <v>8384</v>
      </c>
      <c r="D2916" s="764"/>
      <c r="E2916" s="781"/>
      <c r="F2916" s="213">
        <v>500000</v>
      </c>
      <c r="G2916" s="782">
        <f t="shared" si="57"/>
        <v>-500000</v>
      </c>
      <c r="H2916" s="1187"/>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49" t="s">
        <v>10386</v>
      </c>
    </row>
    <row r="2922" spans="1:8" ht="15.75" customHeight="1" x14ac:dyDescent="0.25">
      <c r="A2922" s="112">
        <v>45104</v>
      </c>
      <c r="B2922" s="21" t="s">
        <v>9397</v>
      </c>
      <c r="C2922" s="13" t="s">
        <v>7240</v>
      </c>
      <c r="D2922" s="764"/>
      <c r="E2922" s="22"/>
      <c r="F2922" s="19">
        <v>116894</v>
      </c>
      <c r="G2922" s="14">
        <f t="shared" si="57"/>
        <v>-116894</v>
      </c>
      <c r="H2922" s="1250"/>
    </row>
    <row r="2923" spans="1:8" x14ac:dyDescent="0.25">
      <c r="A2923" s="112">
        <v>45104</v>
      </c>
      <c r="B2923" s="21"/>
      <c r="C2923" s="13" t="s">
        <v>7240</v>
      </c>
      <c r="D2923" s="764"/>
      <c r="E2923" s="22"/>
      <c r="F2923" s="19">
        <v>13918</v>
      </c>
      <c r="G2923" s="14">
        <f t="shared" si="57"/>
        <v>-13918</v>
      </c>
      <c r="H2923" s="1251"/>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63" t="s">
        <v>10313</v>
      </c>
    </row>
    <row r="2930" spans="1:8" x14ac:dyDescent="0.25">
      <c r="A2930" s="112">
        <v>45112</v>
      </c>
      <c r="B2930" s="21" t="s">
        <v>8856</v>
      </c>
      <c r="C2930" s="13" t="s">
        <v>8384</v>
      </c>
      <c r="D2930" s="764"/>
      <c r="E2930" s="22"/>
      <c r="F2930" s="19">
        <v>200000</v>
      </c>
      <c r="G2930" s="14">
        <f t="shared" si="57"/>
        <v>-200000</v>
      </c>
      <c r="H2930" s="1264"/>
    </row>
    <row r="2931" spans="1:8" x14ac:dyDescent="0.25">
      <c r="A2931" s="112">
        <v>45112</v>
      </c>
      <c r="B2931" s="21" t="s">
        <v>9344</v>
      </c>
      <c r="C2931" s="13" t="s">
        <v>8384</v>
      </c>
      <c r="D2931" s="764"/>
      <c r="E2931" s="22"/>
      <c r="F2931" s="19">
        <v>270000</v>
      </c>
      <c r="G2931" s="14">
        <f t="shared" si="57"/>
        <v>-270000</v>
      </c>
      <c r="H2931" s="1264"/>
    </row>
    <row r="2932" spans="1:8" x14ac:dyDescent="0.25">
      <c r="A2932" s="112">
        <v>45112</v>
      </c>
      <c r="B2932" s="21" t="s">
        <v>9649</v>
      </c>
      <c r="C2932" s="13" t="s">
        <v>8384</v>
      </c>
      <c r="D2932" s="764"/>
      <c r="E2932" s="22"/>
      <c r="F2932" s="19">
        <v>430000</v>
      </c>
      <c r="G2932" s="14">
        <f t="shared" si="57"/>
        <v>-430000</v>
      </c>
      <c r="H2932" s="1264"/>
    </row>
    <row r="2933" spans="1:8" x14ac:dyDescent="0.25">
      <c r="A2933" s="112">
        <v>45112</v>
      </c>
      <c r="B2933" s="21" t="s">
        <v>10139</v>
      </c>
      <c r="C2933" s="13" t="s">
        <v>8384</v>
      </c>
      <c r="D2933" s="764"/>
      <c r="E2933" s="22"/>
      <c r="F2933" s="19">
        <v>50000</v>
      </c>
      <c r="G2933" s="14">
        <f t="shared" si="57"/>
        <v>-50000</v>
      </c>
      <c r="H2933" s="1265"/>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75" t="s">
        <v>10461</v>
      </c>
      <c r="E2940" s="781">
        <v>130000</v>
      </c>
      <c r="F2940" s="19"/>
      <c r="G2940" s="14">
        <f t="shared" si="60"/>
        <v>130000</v>
      </c>
      <c r="H2940" s="342" t="s">
        <v>9267</v>
      </c>
    </row>
    <row r="2941" spans="1:8" x14ac:dyDescent="0.25">
      <c r="A2941" s="112">
        <v>45118</v>
      </c>
      <c r="B2941" s="21" t="s">
        <v>8856</v>
      </c>
      <c r="C2941" s="13" t="s">
        <v>166</v>
      </c>
      <c r="D2941" s="1276"/>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56" t="s">
        <v>10468</v>
      </c>
      <c r="J2951" s="127"/>
    </row>
    <row r="2952" spans="1:10" x14ac:dyDescent="0.25">
      <c r="A2952" s="112">
        <v>45124</v>
      </c>
      <c r="B2952" s="21" t="s">
        <v>9757</v>
      </c>
      <c r="C2952" s="13" t="s">
        <v>166</v>
      </c>
      <c r="D2952" s="764"/>
      <c r="E2952" s="22"/>
      <c r="F2952" s="19">
        <v>66000</v>
      </c>
      <c r="G2952" s="14">
        <f t="shared" si="60"/>
        <v>-66000</v>
      </c>
      <c r="H2952" s="1256"/>
    </row>
    <row r="2953" spans="1:10" x14ac:dyDescent="0.25">
      <c r="A2953" s="112">
        <v>45124</v>
      </c>
      <c r="B2953" s="21" t="s">
        <v>9955</v>
      </c>
      <c r="C2953" s="13" t="s">
        <v>166</v>
      </c>
      <c r="D2953" s="764"/>
      <c r="E2953" s="22"/>
      <c r="F2953" s="19">
        <v>15800</v>
      </c>
      <c r="G2953" s="14">
        <f t="shared" si="60"/>
        <v>-15800</v>
      </c>
      <c r="H2953" s="1256"/>
    </row>
    <row r="2954" spans="1:10" x14ac:dyDescent="0.25">
      <c r="A2954" s="112">
        <v>45124</v>
      </c>
      <c r="B2954" s="21" t="s">
        <v>10459</v>
      </c>
      <c r="C2954" s="13" t="s">
        <v>166</v>
      </c>
      <c r="D2954" s="764"/>
      <c r="E2954" s="22"/>
      <c r="F2954" s="19">
        <v>13260</v>
      </c>
      <c r="G2954" s="14">
        <f t="shared" si="60"/>
        <v>-13260</v>
      </c>
      <c r="H2954" s="1256"/>
    </row>
    <row r="2955" spans="1:10" x14ac:dyDescent="0.25">
      <c r="A2955" s="112">
        <v>45124</v>
      </c>
      <c r="B2955" s="21" t="s">
        <v>8645</v>
      </c>
      <c r="C2955" s="13" t="s">
        <v>166</v>
      </c>
      <c r="D2955" s="764"/>
      <c r="E2955" s="22"/>
      <c r="F2955" s="19">
        <v>290840</v>
      </c>
      <c r="G2955" s="14">
        <f t="shared" si="60"/>
        <v>-290840</v>
      </c>
      <c r="H2955" s="1257"/>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83" t="s">
        <v>10498</v>
      </c>
    </row>
    <row r="2965" spans="1:8" ht="16.5" thickBot="1" x14ac:dyDescent="0.3">
      <c r="A2965" s="112">
        <v>45125</v>
      </c>
      <c r="B2965" s="21" t="s">
        <v>10459</v>
      </c>
      <c r="C2965" s="13" t="s">
        <v>166</v>
      </c>
      <c r="D2965" s="764"/>
      <c r="E2965" s="781"/>
      <c r="F2965" s="784">
        <v>130000</v>
      </c>
      <c r="G2965" s="782">
        <f t="shared" si="60"/>
        <v>-130000</v>
      </c>
      <c r="H2965" s="1185"/>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60" t="s">
        <v>10539</v>
      </c>
    </row>
    <row r="2972" spans="1:8" x14ac:dyDescent="0.25">
      <c r="A2972" s="112">
        <v>45127</v>
      </c>
      <c r="B2972" s="21" t="s">
        <v>8856</v>
      </c>
      <c r="C2972" s="13" t="s">
        <v>8384</v>
      </c>
      <c r="D2972" s="764"/>
      <c r="E2972" s="781"/>
      <c r="F2972" s="141">
        <v>182717</v>
      </c>
      <c r="G2972" s="782">
        <f t="shared" si="60"/>
        <v>-182717</v>
      </c>
      <c r="H2972" s="1261"/>
    </row>
    <row r="2973" spans="1:8" x14ac:dyDescent="0.25">
      <c r="A2973" s="112">
        <v>45127</v>
      </c>
      <c r="B2973" s="21" t="s">
        <v>9344</v>
      </c>
      <c r="C2973" s="13" t="s">
        <v>8384</v>
      </c>
      <c r="D2973" s="764"/>
      <c r="E2973" s="781"/>
      <c r="F2973" s="141">
        <v>190000</v>
      </c>
      <c r="G2973" s="782">
        <f t="shared" si="60"/>
        <v>-190000</v>
      </c>
      <c r="H2973" s="1261"/>
    </row>
    <row r="2974" spans="1:8" x14ac:dyDescent="0.25">
      <c r="A2974" s="112">
        <v>45127</v>
      </c>
      <c r="B2974" s="21" t="s">
        <v>9649</v>
      </c>
      <c r="C2974" s="13" t="s">
        <v>8384</v>
      </c>
      <c r="D2974" s="764"/>
      <c r="E2974" s="781"/>
      <c r="F2974" s="141">
        <v>45196</v>
      </c>
      <c r="G2974" s="782">
        <f t="shared" si="60"/>
        <v>-45196</v>
      </c>
      <c r="H2974" s="1261"/>
    </row>
    <row r="2975" spans="1:8" x14ac:dyDescent="0.25">
      <c r="A2975" s="112">
        <v>45127</v>
      </c>
      <c r="B2975" s="21" t="s">
        <v>9757</v>
      </c>
      <c r="C2975" s="13" t="s">
        <v>8384</v>
      </c>
      <c r="D2975" s="764"/>
      <c r="E2975" s="781"/>
      <c r="F2975" s="141">
        <v>190000</v>
      </c>
      <c r="G2975" s="782">
        <f t="shared" si="60"/>
        <v>-190000</v>
      </c>
      <c r="H2975" s="1261"/>
    </row>
    <row r="2976" spans="1:8" x14ac:dyDescent="0.25">
      <c r="A2976" s="112">
        <v>45127</v>
      </c>
      <c r="B2976" s="21" t="s">
        <v>10139</v>
      </c>
      <c r="C2976" s="13" t="s">
        <v>8384</v>
      </c>
      <c r="D2976" s="764"/>
      <c r="E2976" s="781"/>
      <c r="F2976" s="141">
        <v>190000</v>
      </c>
      <c r="G2976" s="782">
        <f t="shared" si="60"/>
        <v>-190000</v>
      </c>
      <c r="H2976" s="1261"/>
    </row>
    <row r="2977" spans="1:8" ht="16.5" thickBot="1" x14ac:dyDescent="0.3">
      <c r="A2977" s="112">
        <v>45127</v>
      </c>
      <c r="B2977" s="21" t="s">
        <v>10284</v>
      </c>
      <c r="C2977" s="13" t="s">
        <v>8384</v>
      </c>
      <c r="D2977" s="764"/>
      <c r="E2977" s="781"/>
      <c r="F2977" s="784">
        <v>190000</v>
      </c>
      <c r="G2977" s="782">
        <f t="shared" si="60"/>
        <v>-190000</v>
      </c>
      <c r="H2977" s="1262"/>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05" t="s">
        <v>10740</v>
      </c>
    </row>
    <row r="3020" spans="1:8" x14ac:dyDescent="0.25">
      <c r="A3020" s="112">
        <v>45153</v>
      </c>
      <c r="B3020" s="21" t="s">
        <v>8864</v>
      </c>
      <c r="C3020" s="13" t="s">
        <v>7465</v>
      </c>
      <c r="D3020" s="764"/>
      <c r="E3020" s="22"/>
      <c r="F3020" s="19">
        <v>201658</v>
      </c>
      <c r="G3020" s="14">
        <f t="shared" si="60"/>
        <v>-201658</v>
      </c>
      <c r="H3020" s="1255"/>
    </row>
    <row r="3021" spans="1:8" x14ac:dyDescent="0.25">
      <c r="A3021" s="112">
        <v>45153</v>
      </c>
      <c r="B3021" s="21" t="s">
        <v>9649</v>
      </c>
      <c r="C3021" s="13" t="s">
        <v>7465</v>
      </c>
      <c r="D3021" s="764"/>
      <c r="E3021" s="22"/>
      <c r="F3021" s="19">
        <v>482460</v>
      </c>
      <c r="G3021" s="14">
        <f t="shared" si="60"/>
        <v>-482460</v>
      </c>
      <c r="H3021" s="1206"/>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97" t="s">
        <v>10836</v>
      </c>
    </row>
    <row r="3024" spans="1:8" x14ac:dyDescent="0.25">
      <c r="A3024" s="112">
        <v>45154</v>
      </c>
      <c r="B3024" s="21" t="s">
        <v>9344</v>
      </c>
      <c r="C3024" s="13" t="s">
        <v>8384</v>
      </c>
      <c r="D3024" s="764"/>
      <c r="E3024" s="781"/>
      <c r="F3024" s="141">
        <v>150000</v>
      </c>
      <c r="G3024" s="782">
        <f t="shared" ref="G3024:G3163" si="62">E3024-F3024</f>
        <v>-150000</v>
      </c>
      <c r="H3024" s="1198"/>
    </row>
    <row r="3025" spans="1:8" x14ac:dyDescent="0.25">
      <c r="A3025" s="112">
        <v>45154</v>
      </c>
      <c r="B3025" s="21" t="s">
        <v>9757</v>
      </c>
      <c r="C3025" s="13" t="s">
        <v>8384</v>
      </c>
      <c r="D3025" s="764"/>
      <c r="E3025" s="781"/>
      <c r="F3025" s="141">
        <v>372320</v>
      </c>
      <c r="G3025" s="782">
        <f t="shared" si="62"/>
        <v>-372320</v>
      </c>
      <c r="H3025" s="1198"/>
    </row>
    <row r="3026" spans="1:8" x14ac:dyDescent="0.25">
      <c r="A3026" s="112">
        <v>45154</v>
      </c>
      <c r="B3026" s="21" t="s">
        <v>10139</v>
      </c>
      <c r="C3026" s="13" t="s">
        <v>8384</v>
      </c>
      <c r="D3026" s="764"/>
      <c r="E3026" s="781"/>
      <c r="F3026" s="141">
        <v>300000</v>
      </c>
      <c r="G3026" s="782">
        <f t="shared" si="62"/>
        <v>-300000</v>
      </c>
      <c r="H3026" s="1198"/>
    </row>
    <row r="3027" spans="1:8" x14ac:dyDescent="0.25">
      <c r="A3027" s="112">
        <v>45154</v>
      </c>
      <c r="B3027" s="981" t="s">
        <v>10367</v>
      </c>
      <c r="C3027" s="13" t="s">
        <v>8384</v>
      </c>
      <c r="D3027" s="764"/>
      <c r="E3027" s="781"/>
      <c r="F3027" s="141">
        <v>100000</v>
      </c>
      <c r="G3027" s="782">
        <f t="shared" si="62"/>
        <v>-100000</v>
      </c>
      <c r="H3027" s="1198"/>
    </row>
    <row r="3028" spans="1:8" x14ac:dyDescent="0.25">
      <c r="A3028" s="265">
        <v>45154</v>
      </c>
      <c r="B3028" s="976" t="s">
        <v>10220</v>
      </c>
      <c r="C3028" s="53" t="s">
        <v>8384</v>
      </c>
      <c r="D3028" s="775"/>
      <c r="E3028" s="953"/>
      <c r="F3028" s="146">
        <v>5602</v>
      </c>
      <c r="G3028" s="977">
        <f t="shared" si="62"/>
        <v>-5602</v>
      </c>
      <c r="H3028" s="1199"/>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78" t="s">
        <v>10794</v>
      </c>
      <c r="E3034" s="22">
        <v>20300</v>
      </c>
      <c r="F3034" s="19"/>
      <c r="G3034" s="14">
        <f t="shared" si="62"/>
        <v>20300</v>
      </c>
      <c r="H3034" s="1186" t="s">
        <v>9314</v>
      </c>
    </row>
    <row r="3035" spans="1:8" ht="15.75" customHeight="1" x14ac:dyDescent="0.25">
      <c r="A3035" s="112">
        <v>45156</v>
      </c>
      <c r="B3035" s="981" t="s">
        <v>10367</v>
      </c>
      <c r="C3035" s="13" t="s">
        <v>166</v>
      </c>
      <c r="D3035" s="1278"/>
      <c r="E3035" s="22">
        <v>45000</v>
      </c>
      <c r="F3035" s="19"/>
      <c r="G3035" s="14">
        <f t="shared" si="62"/>
        <v>45000</v>
      </c>
      <c r="H3035" s="1187"/>
    </row>
    <row r="3036" spans="1:8" x14ac:dyDescent="0.25">
      <c r="A3036" s="112">
        <v>45156</v>
      </c>
      <c r="B3036" s="21" t="s">
        <v>8645</v>
      </c>
      <c r="C3036" s="13" t="s">
        <v>166</v>
      </c>
      <c r="D3036" s="764"/>
      <c r="E3036" s="22"/>
      <c r="F3036" s="19">
        <v>64845</v>
      </c>
      <c r="G3036" s="14">
        <f t="shared" si="62"/>
        <v>-64845</v>
      </c>
      <c r="H3036" s="1277" t="s">
        <v>10831</v>
      </c>
    </row>
    <row r="3037" spans="1:8" x14ac:dyDescent="0.25">
      <c r="A3037" s="112">
        <v>45156</v>
      </c>
      <c r="B3037" s="21" t="s">
        <v>8856</v>
      </c>
      <c r="C3037" s="13" t="s">
        <v>166</v>
      </c>
      <c r="D3037" s="764"/>
      <c r="E3037" s="22"/>
      <c r="F3037" s="19">
        <v>22500</v>
      </c>
      <c r="G3037" s="14">
        <f t="shared" si="62"/>
        <v>-22500</v>
      </c>
      <c r="H3037" s="1256"/>
    </row>
    <row r="3038" spans="1:8" x14ac:dyDescent="0.25">
      <c r="A3038" s="112">
        <v>45156</v>
      </c>
      <c r="B3038" s="21" t="s">
        <v>10139</v>
      </c>
      <c r="C3038" s="13" t="s">
        <v>166</v>
      </c>
      <c r="D3038" s="764"/>
      <c r="E3038" s="22"/>
      <c r="F3038" s="19">
        <v>19260</v>
      </c>
      <c r="G3038" s="14">
        <f t="shared" si="62"/>
        <v>-19260</v>
      </c>
      <c r="H3038" s="1256"/>
    </row>
    <row r="3039" spans="1:8" x14ac:dyDescent="0.25">
      <c r="A3039" s="112">
        <v>45156</v>
      </c>
      <c r="B3039" s="21" t="s">
        <v>10459</v>
      </c>
      <c r="C3039" s="13" t="s">
        <v>166</v>
      </c>
      <c r="D3039" s="764"/>
      <c r="E3039" s="22"/>
      <c r="F3039" s="19">
        <v>34640</v>
      </c>
      <c r="G3039" s="14">
        <f t="shared" si="62"/>
        <v>-34640</v>
      </c>
      <c r="H3039" s="1256"/>
    </row>
    <row r="3040" spans="1:8" x14ac:dyDescent="0.25">
      <c r="A3040" s="112">
        <v>45156</v>
      </c>
      <c r="B3040" s="981" t="s">
        <v>10367</v>
      </c>
      <c r="C3040" s="13" t="s">
        <v>166</v>
      </c>
      <c r="D3040" s="764"/>
      <c r="E3040" s="22"/>
      <c r="F3040" s="19">
        <v>58755</v>
      </c>
      <c r="G3040" s="14">
        <f t="shared" si="62"/>
        <v>-58755</v>
      </c>
      <c r="H3040" s="1257"/>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97" t="s">
        <v>10836</v>
      </c>
    </row>
    <row r="3056" spans="1:8" x14ac:dyDescent="0.25">
      <c r="A3056" s="112">
        <v>45161</v>
      </c>
      <c r="B3056" s="981" t="s">
        <v>10284</v>
      </c>
      <c r="C3056" s="139" t="s">
        <v>8384</v>
      </c>
      <c r="D3056" s="982"/>
      <c r="E3056" s="781"/>
      <c r="F3056" s="141">
        <v>112135</v>
      </c>
      <c r="G3056" s="782">
        <f t="shared" si="62"/>
        <v>-112135</v>
      </c>
      <c r="H3056" s="1198"/>
    </row>
    <row r="3057" spans="1:8" x14ac:dyDescent="0.25">
      <c r="A3057" s="112">
        <v>45161</v>
      </c>
      <c r="B3057" s="21" t="s">
        <v>9344</v>
      </c>
      <c r="C3057" s="139" t="s">
        <v>8384</v>
      </c>
      <c r="D3057" s="982"/>
      <c r="E3057" s="781"/>
      <c r="F3057" s="141">
        <v>22065</v>
      </c>
      <c r="G3057" s="782">
        <f t="shared" si="62"/>
        <v>-22065</v>
      </c>
      <c r="H3057" s="1198"/>
    </row>
    <row r="3058" spans="1:8" x14ac:dyDescent="0.25">
      <c r="A3058" s="112">
        <v>45161</v>
      </c>
      <c r="B3058" s="981" t="s">
        <v>10139</v>
      </c>
      <c r="C3058" s="139" t="s">
        <v>8384</v>
      </c>
      <c r="D3058" s="982"/>
      <c r="E3058" s="781"/>
      <c r="F3058" s="141">
        <v>300000</v>
      </c>
      <c r="G3058" s="782">
        <f t="shared" si="62"/>
        <v>-300000</v>
      </c>
      <c r="H3058" s="1198"/>
    </row>
    <row r="3059" spans="1:8" x14ac:dyDescent="0.25">
      <c r="A3059" s="112">
        <v>45161</v>
      </c>
      <c r="B3059" s="981" t="s">
        <v>10367</v>
      </c>
      <c r="C3059" s="139" t="s">
        <v>8384</v>
      </c>
      <c r="D3059" s="982"/>
      <c r="E3059" s="781"/>
      <c r="F3059" s="141">
        <v>200000</v>
      </c>
      <c r="G3059" s="782">
        <f t="shared" si="62"/>
        <v>-200000</v>
      </c>
      <c r="H3059" s="1198"/>
    </row>
    <row r="3060" spans="1:8" ht="16.5" thickBot="1" x14ac:dyDescent="0.3">
      <c r="A3060" s="112">
        <v>45161</v>
      </c>
      <c r="B3060" s="981" t="s">
        <v>10220</v>
      </c>
      <c r="C3060" s="984" t="s">
        <v>8384</v>
      </c>
      <c r="D3060" s="982"/>
      <c r="E3060" s="781"/>
      <c r="F3060" s="784">
        <v>337781</v>
      </c>
      <c r="G3060" s="782">
        <f t="shared" si="62"/>
        <v>-337781</v>
      </c>
      <c r="H3060" s="1199"/>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79" t="s">
        <v>10844</v>
      </c>
    </row>
    <row r="3070" spans="1:8" x14ac:dyDescent="0.25">
      <c r="A3070" s="112">
        <v>45164</v>
      </c>
      <c r="B3070" s="21" t="s">
        <v>9955</v>
      </c>
      <c r="C3070" s="13" t="s">
        <v>169</v>
      </c>
      <c r="D3070" s="764"/>
      <c r="E3070" s="781"/>
      <c r="F3070" s="141">
        <v>23382</v>
      </c>
      <c r="G3070" s="782">
        <f t="shared" si="62"/>
        <v>-23382</v>
      </c>
      <c r="H3070" s="1280"/>
    </row>
    <row r="3071" spans="1:8" x14ac:dyDescent="0.25">
      <c r="A3071" s="112">
        <v>45164</v>
      </c>
      <c r="B3071" s="21" t="s">
        <v>9974</v>
      </c>
      <c r="C3071" s="13" t="s">
        <v>169</v>
      </c>
      <c r="D3071" s="764"/>
      <c r="E3071" s="781"/>
      <c r="F3071" s="141">
        <v>37222</v>
      </c>
      <c r="G3071" s="782">
        <f t="shared" si="62"/>
        <v>-37222</v>
      </c>
      <c r="H3071" s="1280"/>
    </row>
    <row r="3072" spans="1:8" x14ac:dyDescent="0.25">
      <c r="A3072" s="112">
        <v>45164</v>
      </c>
      <c r="B3072" s="21" t="s">
        <v>10284</v>
      </c>
      <c r="C3072" s="13" t="s">
        <v>169</v>
      </c>
      <c r="D3072" s="764"/>
      <c r="E3072" s="781"/>
      <c r="F3072" s="141">
        <v>129892</v>
      </c>
      <c r="G3072" s="782">
        <f t="shared" si="62"/>
        <v>-129892</v>
      </c>
      <c r="H3072" s="1280"/>
    </row>
    <row r="3073" spans="1:8" ht="16.5" thickBot="1" x14ac:dyDescent="0.3">
      <c r="A3073" s="112">
        <v>45164</v>
      </c>
      <c r="B3073" s="21" t="s">
        <v>10559</v>
      </c>
      <c r="C3073" s="13" t="s">
        <v>169</v>
      </c>
      <c r="D3073" s="764"/>
      <c r="E3073" s="781"/>
      <c r="F3073" s="784">
        <v>7300</v>
      </c>
      <c r="G3073" s="782">
        <f t="shared" si="62"/>
        <v>-7300</v>
      </c>
      <c r="H3073" s="1281"/>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69" t="s">
        <v>10864</v>
      </c>
    </row>
    <row r="3076" spans="1:8" x14ac:dyDescent="0.25">
      <c r="A3076" s="112">
        <v>45164</v>
      </c>
      <c r="B3076" s="21" t="s">
        <v>10284</v>
      </c>
      <c r="C3076" s="13" t="s">
        <v>1802</v>
      </c>
      <c r="D3076" s="764"/>
      <c r="E3076" s="781"/>
      <c r="F3076" s="141">
        <v>4870</v>
      </c>
      <c r="G3076" s="782">
        <f t="shared" si="62"/>
        <v>-4870</v>
      </c>
      <c r="H3076" s="1270"/>
    </row>
    <row r="3077" spans="1:8" ht="16.5" thickBot="1" x14ac:dyDescent="0.3">
      <c r="A3077" s="112">
        <v>45164</v>
      </c>
      <c r="B3077" s="21" t="s">
        <v>10890</v>
      </c>
      <c r="C3077" s="13" t="s">
        <v>1802</v>
      </c>
      <c r="D3077" s="764"/>
      <c r="E3077" s="953"/>
      <c r="F3077" s="784">
        <v>75050</v>
      </c>
      <c r="G3077" s="977">
        <f t="shared" si="62"/>
        <v>-75050</v>
      </c>
      <c r="H3077" s="1271"/>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83" t="s">
        <v>10985</v>
      </c>
    </row>
    <row r="3102" spans="1:8" x14ac:dyDescent="0.25">
      <c r="A3102" s="112">
        <v>45174</v>
      </c>
      <c r="B3102" s="21" t="s">
        <v>10559</v>
      </c>
      <c r="C3102" s="13" t="s">
        <v>180</v>
      </c>
      <c r="D3102" s="764"/>
      <c r="E3102" s="22"/>
      <c r="F3102" s="19">
        <v>120960</v>
      </c>
      <c r="G3102" s="14">
        <f t="shared" si="62"/>
        <v>-120960</v>
      </c>
      <c r="H3102" s="1184"/>
    </row>
    <row r="3103" spans="1:8" x14ac:dyDescent="0.25">
      <c r="A3103" s="112">
        <v>45174</v>
      </c>
      <c r="B3103" s="21" t="s">
        <v>10367</v>
      </c>
      <c r="C3103" s="13" t="s">
        <v>180</v>
      </c>
      <c r="D3103" s="764"/>
      <c r="E3103" s="22"/>
      <c r="F3103" s="19">
        <v>4960</v>
      </c>
      <c r="G3103" s="14">
        <f t="shared" si="62"/>
        <v>-4960</v>
      </c>
      <c r="H3103" s="1185"/>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41" t="s">
        <v>11141</v>
      </c>
      <c r="E3146" s="22">
        <v>35941</v>
      </c>
      <c r="F3146" s="19"/>
      <c r="G3146" s="14">
        <f t="shared" si="62"/>
        <v>35941</v>
      </c>
      <c r="H3146" s="13"/>
    </row>
    <row r="3147" spans="1:8" x14ac:dyDescent="0.25">
      <c r="A3147" s="112">
        <v>45190</v>
      </c>
      <c r="B3147" s="21" t="s">
        <v>11054</v>
      </c>
      <c r="C3147" s="13" t="s">
        <v>8384</v>
      </c>
      <c r="D3147" s="1242"/>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41" t="s">
        <v>11143</v>
      </c>
      <c r="E3149" s="22">
        <v>3870</v>
      </c>
      <c r="F3149" s="19"/>
      <c r="G3149" s="14">
        <f t="shared" si="62"/>
        <v>3870</v>
      </c>
      <c r="H3149" s="13"/>
    </row>
    <row r="3150" spans="1:8" x14ac:dyDescent="0.25">
      <c r="A3150" s="112">
        <v>45190</v>
      </c>
      <c r="B3150" s="21" t="s">
        <v>11054</v>
      </c>
      <c r="C3150" s="13" t="s">
        <v>8384</v>
      </c>
      <c r="D3150" s="1242"/>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82" t="s">
        <v>11151</v>
      </c>
    </row>
    <row r="3164" spans="1:8" x14ac:dyDescent="0.25">
      <c r="A3164" s="112">
        <v>45188</v>
      </c>
      <c r="B3164" s="21" t="s">
        <v>9955</v>
      </c>
      <c r="C3164" s="13" t="s">
        <v>164</v>
      </c>
      <c r="D3164" s="764"/>
      <c r="E3164" s="781"/>
      <c r="F3164" s="141">
        <v>1260</v>
      </c>
      <c r="G3164" s="782">
        <f t="shared" ref="G3164:G3266" si="64">E3164-F3164</f>
        <v>-1260</v>
      </c>
      <c r="H3164" s="1283"/>
    </row>
    <row r="3165" spans="1:8" x14ac:dyDescent="0.25">
      <c r="A3165" s="112">
        <v>45188</v>
      </c>
      <c r="B3165" s="21" t="s">
        <v>9974</v>
      </c>
      <c r="C3165" s="13" t="s">
        <v>164</v>
      </c>
      <c r="D3165" s="764"/>
      <c r="E3165" s="781"/>
      <c r="F3165" s="141">
        <v>9626</v>
      </c>
      <c r="G3165" s="782">
        <f t="shared" si="64"/>
        <v>-9626</v>
      </c>
      <c r="H3165" s="1283"/>
    </row>
    <row r="3166" spans="1:8" x14ac:dyDescent="0.25">
      <c r="A3166" s="112">
        <v>45188</v>
      </c>
      <c r="B3166" s="21" t="s">
        <v>10139</v>
      </c>
      <c r="C3166" s="13" t="s">
        <v>164</v>
      </c>
      <c r="D3166" s="764"/>
      <c r="E3166" s="781"/>
      <c r="F3166" s="141">
        <v>6023</v>
      </c>
      <c r="G3166" s="782">
        <f t="shared" si="64"/>
        <v>-6023</v>
      </c>
      <c r="H3166" s="1283"/>
    </row>
    <row r="3167" spans="1:8" x14ac:dyDescent="0.25">
      <c r="A3167" s="112">
        <v>45188</v>
      </c>
      <c r="B3167" s="21" t="s">
        <v>10284</v>
      </c>
      <c r="C3167" s="13" t="s">
        <v>164</v>
      </c>
      <c r="D3167" s="764"/>
      <c r="E3167" s="781"/>
      <c r="F3167" s="141">
        <v>6055</v>
      </c>
      <c r="G3167" s="782">
        <f t="shared" si="64"/>
        <v>-6055</v>
      </c>
      <c r="H3167" s="1283"/>
    </row>
    <row r="3168" spans="1:8" x14ac:dyDescent="0.25">
      <c r="A3168" s="112">
        <v>45188</v>
      </c>
      <c r="B3168" s="21" t="s">
        <v>10459</v>
      </c>
      <c r="C3168" s="13" t="s">
        <v>164</v>
      </c>
      <c r="D3168" s="764"/>
      <c r="E3168" s="781"/>
      <c r="F3168" s="141">
        <v>60002</v>
      </c>
      <c r="G3168" s="782">
        <f t="shared" si="64"/>
        <v>-60002</v>
      </c>
      <c r="H3168" s="1283"/>
    </row>
    <row r="3169" spans="1:8" x14ac:dyDescent="0.25">
      <c r="A3169" s="112">
        <v>45188</v>
      </c>
      <c r="B3169" s="21" t="s">
        <v>10220</v>
      </c>
      <c r="C3169" s="13" t="s">
        <v>164</v>
      </c>
      <c r="D3169" s="764"/>
      <c r="E3169" s="781"/>
      <c r="F3169" s="141">
        <v>9551</v>
      </c>
      <c r="G3169" s="782">
        <f t="shared" si="64"/>
        <v>-9551</v>
      </c>
      <c r="H3169" s="1283"/>
    </row>
    <row r="3170" spans="1:8" x14ac:dyDescent="0.25">
      <c r="A3170" s="112">
        <v>45188</v>
      </c>
      <c r="B3170" s="21" t="s">
        <v>9344</v>
      </c>
      <c r="C3170" s="13" t="s">
        <v>164</v>
      </c>
      <c r="D3170" s="764"/>
      <c r="E3170" s="781"/>
      <c r="F3170" s="141">
        <v>20807</v>
      </c>
      <c r="G3170" s="782">
        <f t="shared" si="64"/>
        <v>-20807</v>
      </c>
      <c r="H3170" s="1283"/>
    </row>
    <row r="3171" spans="1:8" ht="16.5" thickBot="1" x14ac:dyDescent="0.3">
      <c r="A3171" s="112">
        <v>45188</v>
      </c>
      <c r="B3171" s="21" t="s">
        <v>10367</v>
      </c>
      <c r="C3171" s="13" t="s">
        <v>164</v>
      </c>
      <c r="D3171" s="764"/>
      <c r="E3171" s="781"/>
      <c r="F3171" s="784">
        <v>14924</v>
      </c>
      <c r="G3171" s="782">
        <f t="shared" si="64"/>
        <v>-14924</v>
      </c>
      <c r="H3171" s="1284"/>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83" t="s">
        <v>11150</v>
      </c>
    </row>
    <row r="3175" spans="1:8" x14ac:dyDescent="0.25">
      <c r="A3175" s="112">
        <v>45190</v>
      </c>
      <c r="B3175" s="21" t="s">
        <v>10559</v>
      </c>
      <c r="C3175" s="13" t="s">
        <v>169</v>
      </c>
      <c r="D3175" s="764"/>
      <c r="E3175" s="781"/>
      <c r="F3175" s="141">
        <v>100000</v>
      </c>
      <c r="G3175" s="782">
        <f t="shared" si="64"/>
        <v>-100000</v>
      </c>
      <c r="H3175" s="1184"/>
    </row>
    <row r="3176" spans="1:8" ht="16.5" thickBot="1" x14ac:dyDescent="0.3">
      <c r="A3176" s="112">
        <v>45190</v>
      </c>
      <c r="B3176" s="21" t="s">
        <v>9344</v>
      </c>
      <c r="C3176" s="13" t="s">
        <v>169</v>
      </c>
      <c r="D3176" s="764"/>
      <c r="E3176" s="781"/>
      <c r="F3176" s="784">
        <v>300000</v>
      </c>
      <c r="G3176" s="782">
        <f t="shared" si="64"/>
        <v>-300000</v>
      </c>
      <c r="H3176" s="1185"/>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83" t="s">
        <v>11202</v>
      </c>
    </row>
    <row r="3184" spans="1:8" x14ac:dyDescent="0.25">
      <c r="A3184" s="112">
        <v>45195</v>
      </c>
      <c r="B3184" s="21" t="s">
        <v>10559</v>
      </c>
      <c r="C3184" s="13" t="s">
        <v>8384</v>
      </c>
      <c r="D3184" s="764"/>
      <c r="E3184" s="781"/>
      <c r="F3184" s="151">
        <v>11574</v>
      </c>
      <c r="G3184" s="782">
        <f t="shared" si="64"/>
        <v>-11574</v>
      </c>
      <c r="H3184" s="1184"/>
    </row>
    <row r="3185" spans="1:8" x14ac:dyDescent="0.25">
      <c r="A3185" s="112">
        <v>45195</v>
      </c>
      <c r="B3185" s="21" t="s">
        <v>9344</v>
      </c>
      <c r="C3185" s="13" t="s">
        <v>8384</v>
      </c>
      <c r="D3185" s="764"/>
      <c r="E3185" s="781"/>
      <c r="F3185" s="151">
        <v>120076</v>
      </c>
      <c r="G3185" s="782">
        <f t="shared" si="64"/>
        <v>-120076</v>
      </c>
      <c r="H3185" s="1184"/>
    </row>
    <row r="3186" spans="1:8" x14ac:dyDescent="0.25">
      <c r="A3186" s="112">
        <v>45195</v>
      </c>
      <c r="B3186" s="21" t="s">
        <v>10367</v>
      </c>
      <c r="C3186" s="13" t="s">
        <v>8384</v>
      </c>
      <c r="D3186" s="764"/>
      <c r="E3186" s="781"/>
      <c r="F3186" s="151">
        <v>209438</v>
      </c>
      <c r="G3186" s="782">
        <f t="shared" si="64"/>
        <v>-209438</v>
      </c>
      <c r="H3186" s="1184"/>
    </row>
    <row r="3187" spans="1:8" x14ac:dyDescent="0.25">
      <c r="A3187" s="112">
        <v>45195</v>
      </c>
      <c r="B3187" s="21" t="s">
        <v>11054</v>
      </c>
      <c r="C3187" s="13" t="s">
        <v>8384</v>
      </c>
      <c r="D3187" s="764"/>
      <c r="E3187" s="781"/>
      <c r="F3187" s="151">
        <v>203556</v>
      </c>
      <c r="G3187" s="782">
        <f t="shared" si="64"/>
        <v>-203556</v>
      </c>
      <c r="H3187" s="1184"/>
    </row>
    <row r="3188" spans="1:8" ht="16.5" customHeight="1" thickBot="1" x14ac:dyDescent="0.3">
      <c r="A3188" s="112">
        <v>45195</v>
      </c>
      <c r="B3188" s="21" t="s">
        <v>10564</v>
      </c>
      <c r="C3188" s="13" t="s">
        <v>8384</v>
      </c>
      <c r="D3188" s="764"/>
      <c r="E3188" s="781"/>
      <c r="F3188" s="295">
        <v>296860</v>
      </c>
      <c r="G3188" s="782">
        <f t="shared" si="64"/>
        <v>-296860</v>
      </c>
      <c r="H3188" s="1185"/>
    </row>
    <row r="3189" spans="1:8" x14ac:dyDescent="0.25">
      <c r="A3189" s="112">
        <v>45195</v>
      </c>
      <c r="B3189" s="21" t="s">
        <v>10559</v>
      </c>
      <c r="C3189" s="13" t="s">
        <v>7465</v>
      </c>
      <c r="D3189" s="764"/>
      <c r="E3189" s="781"/>
      <c r="F3189" s="783">
        <v>586928</v>
      </c>
      <c r="G3189" s="782">
        <f t="shared" si="64"/>
        <v>-586928</v>
      </c>
      <c r="H3189" s="1179" t="s">
        <v>11191</v>
      </c>
    </row>
    <row r="3190" spans="1:8" x14ac:dyDescent="0.25">
      <c r="A3190" s="112">
        <v>45195</v>
      </c>
      <c r="B3190" s="21" t="s">
        <v>9649</v>
      </c>
      <c r="C3190" s="13" t="s">
        <v>7465</v>
      </c>
      <c r="D3190" s="764"/>
      <c r="E3190" s="781"/>
      <c r="F3190" s="141">
        <v>130436</v>
      </c>
      <c r="G3190" s="782">
        <f t="shared" si="64"/>
        <v>-130436</v>
      </c>
      <c r="H3190" s="1188"/>
    </row>
    <row r="3191" spans="1:8" ht="16.5" thickBot="1" x14ac:dyDescent="0.3">
      <c r="A3191" s="112">
        <v>45195</v>
      </c>
      <c r="B3191" s="21" t="s">
        <v>10284</v>
      </c>
      <c r="C3191" s="13" t="s">
        <v>7465</v>
      </c>
      <c r="D3191" s="764"/>
      <c r="E3191" s="781"/>
      <c r="F3191" s="784">
        <v>82636</v>
      </c>
      <c r="G3191" s="782">
        <f t="shared" si="64"/>
        <v>-82636</v>
      </c>
      <c r="H3191" s="1180"/>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83" t="s">
        <v>11150</v>
      </c>
    </row>
    <row r="3195" spans="1:8" x14ac:dyDescent="0.25">
      <c r="A3195" s="112">
        <v>45195</v>
      </c>
      <c r="B3195" s="21" t="s">
        <v>10139</v>
      </c>
      <c r="C3195" s="13" t="s">
        <v>7465</v>
      </c>
      <c r="D3195" s="764"/>
      <c r="E3195" s="781"/>
      <c r="F3195" s="151">
        <v>228360</v>
      </c>
      <c r="G3195" s="782">
        <f t="shared" si="64"/>
        <v>-228360</v>
      </c>
      <c r="H3195" s="1184"/>
    </row>
    <row r="3196" spans="1:8" x14ac:dyDescent="0.25">
      <c r="A3196" s="112">
        <v>45195</v>
      </c>
      <c r="B3196" s="21" t="s">
        <v>9974</v>
      </c>
      <c r="C3196" s="13" t="s">
        <v>7465</v>
      </c>
      <c r="D3196" s="764"/>
      <c r="E3196" s="781"/>
      <c r="F3196" s="151">
        <v>35755</v>
      </c>
      <c r="G3196" s="782">
        <f t="shared" si="64"/>
        <v>-35755</v>
      </c>
      <c r="H3196" s="1184"/>
    </row>
    <row r="3197" spans="1:8" ht="16.5" thickBot="1" x14ac:dyDescent="0.3">
      <c r="A3197" s="112">
        <v>45195</v>
      </c>
      <c r="B3197" s="21" t="s">
        <v>11054</v>
      </c>
      <c r="C3197" s="13" t="s">
        <v>7465</v>
      </c>
      <c r="D3197" s="764"/>
      <c r="E3197" s="781"/>
      <c r="F3197" s="295">
        <f>500000-F3196-F3195-F3194</f>
        <v>203425</v>
      </c>
      <c r="G3197" s="782">
        <f t="shared" si="64"/>
        <v>-203425</v>
      </c>
      <c r="H3197" s="1185"/>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83" t="s">
        <v>11150</v>
      </c>
    </row>
    <row r="3211" spans="1:8" x14ac:dyDescent="0.25">
      <c r="A3211" s="112">
        <v>45202</v>
      </c>
      <c r="B3211" s="21" t="s">
        <v>8856</v>
      </c>
      <c r="C3211" s="13" t="s">
        <v>168</v>
      </c>
      <c r="D3211" s="764"/>
      <c r="E3211" s="781"/>
      <c r="F3211" s="151">
        <v>227720</v>
      </c>
      <c r="G3211" s="782">
        <f t="shared" si="64"/>
        <v>-227720</v>
      </c>
      <c r="H3211" s="1184"/>
    </row>
    <row r="3212" spans="1:8" x14ac:dyDescent="0.25">
      <c r="A3212" s="112">
        <v>45202</v>
      </c>
      <c r="B3212" s="21" t="s">
        <v>9495</v>
      </c>
      <c r="C3212" s="13" t="s">
        <v>168</v>
      </c>
      <c r="D3212" s="764"/>
      <c r="E3212" s="781"/>
      <c r="F3212" s="151">
        <v>9820</v>
      </c>
      <c r="G3212" s="782">
        <f t="shared" si="64"/>
        <v>-9820</v>
      </c>
      <c r="H3212" s="1184"/>
    </row>
    <row r="3213" spans="1:8" ht="16.5" thickBot="1" x14ac:dyDescent="0.3">
      <c r="A3213" s="112">
        <v>45202</v>
      </c>
      <c r="B3213" s="21" t="s">
        <v>10284</v>
      </c>
      <c r="C3213" s="13" t="s">
        <v>168</v>
      </c>
      <c r="D3213" s="764"/>
      <c r="E3213" s="781"/>
      <c r="F3213" s="295">
        <v>179260</v>
      </c>
      <c r="G3213" s="782">
        <f t="shared" si="64"/>
        <v>-179260</v>
      </c>
      <c r="H3213" s="1185"/>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83" t="s">
        <v>11373</v>
      </c>
    </row>
    <row r="3267" spans="1:8" x14ac:dyDescent="0.25">
      <c r="A3267" s="112">
        <v>45216</v>
      </c>
      <c r="B3267" s="21" t="s">
        <v>9344</v>
      </c>
      <c r="C3267" s="13" t="s">
        <v>8384</v>
      </c>
      <c r="D3267" s="764"/>
      <c r="E3267" s="22"/>
      <c r="F3267" s="19">
        <v>3763</v>
      </c>
      <c r="G3267" s="14">
        <f t="shared" ref="G3267:G3363" si="65">E3267-F3267</f>
        <v>-3763</v>
      </c>
      <c r="H3267" s="1184"/>
    </row>
    <row r="3268" spans="1:8" x14ac:dyDescent="0.25">
      <c r="A3268" s="112">
        <v>45216</v>
      </c>
      <c r="B3268" s="21" t="s">
        <v>10367</v>
      </c>
      <c r="C3268" s="13" t="s">
        <v>8384</v>
      </c>
      <c r="D3268" s="764"/>
      <c r="E3268" s="22"/>
      <c r="F3268" s="19">
        <v>17368</v>
      </c>
      <c r="G3268" s="14">
        <f t="shared" si="65"/>
        <v>-17368</v>
      </c>
      <c r="H3268" s="1184"/>
    </row>
    <row r="3269" spans="1:8" x14ac:dyDescent="0.25">
      <c r="A3269" s="112">
        <v>45216</v>
      </c>
      <c r="B3269" s="21" t="s">
        <v>11054</v>
      </c>
      <c r="C3269" s="13" t="s">
        <v>8384</v>
      </c>
      <c r="D3269" s="764"/>
      <c r="E3269" s="22"/>
      <c r="F3269" s="19">
        <v>194858</v>
      </c>
      <c r="G3269" s="14">
        <f t="shared" si="65"/>
        <v>-194858</v>
      </c>
      <c r="H3269" s="1184"/>
    </row>
    <row r="3270" spans="1:8" x14ac:dyDescent="0.25">
      <c r="A3270" s="112">
        <v>45216</v>
      </c>
      <c r="B3270" s="21" t="s">
        <v>10220</v>
      </c>
      <c r="C3270" s="13" t="s">
        <v>8384</v>
      </c>
      <c r="D3270" s="764"/>
      <c r="E3270" s="22"/>
      <c r="F3270" s="19">
        <v>650000</v>
      </c>
      <c r="G3270" s="14">
        <f t="shared" si="65"/>
        <v>-650000</v>
      </c>
      <c r="H3270" s="1184"/>
    </row>
    <row r="3271" spans="1:8" x14ac:dyDescent="0.25">
      <c r="A3271" s="112">
        <v>45216</v>
      </c>
      <c r="B3271" s="21" t="s">
        <v>10890</v>
      </c>
      <c r="C3271" s="13" t="s">
        <v>8384</v>
      </c>
      <c r="D3271" s="764"/>
      <c r="E3271" s="22"/>
      <c r="F3271" s="19">
        <v>308871</v>
      </c>
      <c r="G3271" s="14">
        <f t="shared" si="65"/>
        <v>-308871</v>
      </c>
      <c r="H3271" s="1184"/>
    </row>
    <row r="3272" spans="1:8" x14ac:dyDescent="0.25">
      <c r="A3272" s="112">
        <v>45216</v>
      </c>
      <c r="B3272" s="21" t="s">
        <v>10564</v>
      </c>
      <c r="C3272" s="13" t="s">
        <v>8384</v>
      </c>
      <c r="D3272" s="764"/>
      <c r="E3272" s="22"/>
      <c r="F3272" s="19">
        <v>250000</v>
      </c>
      <c r="G3272" s="14">
        <f t="shared" si="65"/>
        <v>-250000</v>
      </c>
      <c r="H3272" s="1185"/>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87" t="s">
        <v>11424</v>
      </c>
      <c r="E3284" s="22">
        <v>20103</v>
      </c>
      <c r="F3284" s="19"/>
      <c r="G3284" s="14">
        <f t="shared" si="65"/>
        <v>20103</v>
      </c>
      <c r="H3284" s="13"/>
    </row>
    <row r="3285" spans="1:8" x14ac:dyDescent="0.25">
      <c r="A3285" s="112">
        <v>45220</v>
      </c>
      <c r="B3285" s="21" t="s">
        <v>11177</v>
      </c>
      <c r="C3285" s="13" t="s">
        <v>8384</v>
      </c>
      <c r="D3285" s="1287"/>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79" t="s">
        <v>11555</v>
      </c>
    </row>
    <row r="3322" spans="1:8" ht="16.5" thickBot="1" x14ac:dyDescent="0.3">
      <c r="A3322" s="112">
        <v>45233</v>
      </c>
      <c r="B3322" s="21" t="s">
        <v>11054</v>
      </c>
      <c r="C3322" s="13" t="s">
        <v>7465</v>
      </c>
      <c r="D3322" s="764"/>
      <c r="E3322" s="781"/>
      <c r="F3322" s="784">
        <v>173681</v>
      </c>
      <c r="G3322" s="782">
        <f t="shared" si="65"/>
        <v>-173681</v>
      </c>
      <c r="H3322" s="1180"/>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79" t="s">
        <v>12248</v>
      </c>
    </row>
    <row r="3387" spans="1:8" x14ac:dyDescent="0.25">
      <c r="A3387" s="112">
        <v>45248</v>
      </c>
      <c r="B3387" s="21" t="s">
        <v>11586</v>
      </c>
      <c r="C3387" s="13" t="s">
        <v>168</v>
      </c>
      <c r="D3387" s="764"/>
      <c r="E3387" s="22"/>
      <c r="F3387" s="109">
        <v>250000</v>
      </c>
      <c r="G3387" s="14">
        <f t="shared" si="67"/>
        <v>-250000</v>
      </c>
      <c r="H3387" s="1180"/>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89" t="s">
        <v>12033</v>
      </c>
    </row>
    <row r="3477" spans="1:8" x14ac:dyDescent="0.25">
      <c r="A3477" s="112">
        <v>45286</v>
      </c>
      <c r="B3477" s="21" t="s">
        <v>10139</v>
      </c>
      <c r="C3477" s="13" t="s">
        <v>166</v>
      </c>
      <c r="D3477" s="764"/>
      <c r="E3477" s="781"/>
      <c r="F3477" s="141">
        <v>21340</v>
      </c>
      <c r="G3477" s="782">
        <f t="shared" si="68"/>
        <v>-21340</v>
      </c>
      <c r="H3477" s="1189"/>
    </row>
    <row r="3478" spans="1:8" x14ac:dyDescent="0.25">
      <c r="A3478" s="112">
        <v>45286</v>
      </c>
      <c r="B3478" s="21" t="s">
        <v>10459</v>
      </c>
      <c r="C3478" s="13" t="s">
        <v>166</v>
      </c>
      <c r="D3478" s="764"/>
      <c r="E3478" s="781"/>
      <c r="F3478" s="141">
        <v>140985</v>
      </c>
      <c r="G3478" s="782">
        <f t="shared" si="68"/>
        <v>-140985</v>
      </c>
      <c r="H3478" s="1189"/>
    </row>
    <row r="3479" spans="1:8" x14ac:dyDescent="0.25">
      <c r="A3479" s="112">
        <v>45286</v>
      </c>
      <c r="B3479" s="21" t="s">
        <v>10220</v>
      </c>
      <c r="C3479" s="13" t="s">
        <v>166</v>
      </c>
      <c r="D3479" s="764"/>
      <c r="E3479" s="781"/>
      <c r="F3479" s="141">
        <v>15980</v>
      </c>
      <c r="G3479" s="782">
        <f t="shared" si="68"/>
        <v>-15980</v>
      </c>
      <c r="H3479" s="1189"/>
    </row>
    <row r="3480" spans="1:8" x14ac:dyDescent="0.25">
      <c r="A3480" s="112">
        <v>45286</v>
      </c>
      <c r="B3480" s="21" t="s">
        <v>10559</v>
      </c>
      <c r="C3480" s="13" t="s">
        <v>166</v>
      </c>
      <c r="D3480" s="764"/>
      <c r="E3480" s="781"/>
      <c r="F3480" s="141">
        <v>45000</v>
      </c>
      <c r="G3480" s="782">
        <f t="shared" si="68"/>
        <v>-45000</v>
      </c>
      <c r="H3480" s="1189"/>
    </row>
    <row r="3481" spans="1:8" x14ac:dyDescent="0.25">
      <c r="A3481" s="112">
        <v>45286</v>
      </c>
      <c r="B3481" s="21" t="s">
        <v>10367</v>
      </c>
      <c r="C3481" s="13" t="s">
        <v>166</v>
      </c>
      <c r="D3481" s="764"/>
      <c r="E3481" s="781"/>
      <c r="F3481" s="141">
        <v>114255</v>
      </c>
      <c r="G3481" s="782">
        <f t="shared" si="68"/>
        <v>-114255</v>
      </c>
      <c r="H3481" s="1189"/>
    </row>
    <row r="3482" spans="1:8" x14ac:dyDescent="0.25">
      <c r="A3482" s="112">
        <v>45286</v>
      </c>
      <c r="B3482" s="21" t="s">
        <v>10890</v>
      </c>
      <c r="C3482" s="13" t="s">
        <v>166</v>
      </c>
      <c r="D3482" s="764"/>
      <c r="E3482" s="781"/>
      <c r="F3482" s="141">
        <v>83530</v>
      </c>
      <c r="G3482" s="782">
        <f t="shared" si="68"/>
        <v>-83530</v>
      </c>
      <c r="H3482" s="1189"/>
    </row>
    <row r="3483" spans="1:8" x14ac:dyDescent="0.25">
      <c r="A3483" s="112">
        <v>45286</v>
      </c>
      <c r="B3483" s="21" t="s">
        <v>10986</v>
      </c>
      <c r="C3483" s="13" t="s">
        <v>166</v>
      </c>
      <c r="D3483" s="764"/>
      <c r="E3483" s="781"/>
      <c r="F3483" s="141">
        <v>65500</v>
      </c>
      <c r="G3483" s="782">
        <f t="shared" si="68"/>
        <v>-65500</v>
      </c>
      <c r="H3483" s="1189"/>
    </row>
    <row r="3484" spans="1:8" x14ac:dyDescent="0.25">
      <c r="A3484" s="112">
        <v>45286</v>
      </c>
      <c r="B3484" s="21" t="s">
        <v>11423</v>
      </c>
      <c r="C3484" s="13" t="s">
        <v>166</v>
      </c>
      <c r="D3484" s="764"/>
      <c r="E3484" s="781"/>
      <c r="F3484" s="141">
        <v>250855</v>
      </c>
      <c r="G3484" s="782">
        <f t="shared" si="68"/>
        <v>-250855</v>
      </c>
      <c r="H3484" s="1189"/>
    </row>
    <row r="3485" spans="1:8" x14ac:dyDescent="0.25">
      <c r="A3485" s="112">
        <v>45286</v>
      </c>
      <c r="B3485" s="21" t="s">
        <v>11586</v>
      </c>
      <c r="C3485" s="13" t="s">
        <v>166</v>
      </c>
      <c r="D3485" s="764"/>
      <c r="E3485" s="781"/>
      <c r="F3485" s="141">
        <v>41135</v>
      </c>
      <c r="G3485" s="782">
        <f t="shared" si="68"/>
        <v>-41135</v>
      </c>
      <c r="H3485" s="1189"/>
    </row>
    <row r="3486" spans="1:8" x14ac:dyDescent="0.25">
      <c r="A3486" s="112">
        <v>45286</v>
      </c>
      <c r="B3486" s="21" t="s">
        <v>10890</v>
      </c>
      <c r="C3486" s="13" t="s">
        <v>166</v>
      </c>
      <c r="D3486" s="764"/>
      <c r="E3486" s="781"/>
      <c r="F3486" s="146">
        <v>103490</v>
      </c>
      <c r="G3486" s="782">
        <f t="shared" si="68"/>
        <v>-103490</v>
      </c>
      <c r="H3486" s="1189"/>
    </row>
    <row r="3487" spans="1:8" x14ac:dyDescent="0.25">
      <c r="A3487" s="112">
        <v>45286</v>
      </c>
      <c r="B3487" s="21" t="s">
        <v>11864</v>
      </c>
      <c r="C3487" s="13" t="s">
        <v>166</v>
      </c>
      <c r="D3487" s="764"/>
      <c r="E3487" s="781"/>
      <c r="F3487" s="146">
        <v>56000</v>
      </c>
      <c r="G3487" s="782">
        <f t="shared" si="68"/>
        <v>-56000</v>
      </c>
      <c r="H3487" s="1189"/>
    </row>
    <row r="3488" spans="1:8" ht="16.5" thickBot="1" x14ac:dyDescent="0.3">
      <c r="A3488" s="112">
        <v>45286</v>
      </c>
      <c r="B3488" s="21" t="s">
        <v>12171</v>
      </c>
      <c r="C3488" s="13" t="s">
        <v>166</v>
      </c>
      <c r="D3488" s="764"/>
      <c r="E3488" s="781"/>
      <c r="F3488" s="784">
        <v>45650</v>
      </c>
      <c r="G3488" s="782">
        <f t="shared" si="68"/>
        <v>-45650</v>
      </c>
      <c r="H3488" s="1189"/>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79" t="s">
        <v>13018</v>
      </c>
    </row>
    <row r="3493" spans="1:8" x14ac:dyDescent="0.25">
      <c r="A3493" s="112">
        <v>45287</v>
      </c>
      <c r="B3493" s="21" t="s">
        <v>6407</v>
      </c>
      <c r="C3493" s="13" t="s">
        <v>1802</v>
      </c>
      <c r="D3493" s="764"/>
      <c r="E3493" s="781"/>
      <c r="F3493" s="141">
        <v>80843</v>
      </c>
      <c r="G3493" s="782">
        <f t="shared" si="68"/>
        <v>-80843</v>
      </c>
      <c r="H3493" s="1188"/>
    </row>
    <row r="3494" spans="1:8" x14ac:dyDescent="0.25">
      <c r="A3494" s="112">
        <v>45287</v>
      </c>
      <c r="B3494" s="21" t="s">
        <v>6506</v>
      </c>
      <c r="C3494" s="13" t="s">
        <v>1802</v>
      </c>
      <c r="D3494" s="764"/>
      <c r="E3494" s="781"/>
      <c r="F3494" s="141">
        <v>4245</v>
      </c>
      <c r="G3494" s="782">
        <f t="shared" si="68"/>
        <v>-4245</v>
      </c>
      <c r="H3494" s="1188"/>
    </row>
    <row r="3495" spans="1:8" ht="16.5" thickBot="1" x14ac:dyDescent="0.3">
      <c r="A3495" s="112">
        <v>45287</v>
      </c>
      <c r="B3495" s="21" t="s">
        <v>10284</v>
      </c>
      <c r="C3495" s="13" t="s">
        <v>1802</v>
      </c>
      <c r="D3495" s="764"/>
      <c r="E3495" s="781"/>
      <c r="F3495" s="784">
        <v>5367</v>
      </c>
      <c r="G3495" s="782">
        <f t="shared" si="68"/>
        <v>-5367</v>
      </c>
      <c r="H3495" s="1180"/>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05" t="s">
        <v>11970</v>
      </c>
    </row>
    <row r="3508" spans="1:8" x14ac:dyDescent="0.25">
      <c r="A3508" s="112">
        <v>45294</v>
      </c>
      <c r="B3508" s="21" t="s">
        <v>10367</v>
      </c>
      <c r="C3508" s="13" t="s">
        <v>5680</v>
      </c>
      <c r="D3508" s="764"/>
      <c r="E3508" s="22"/>
      <c r="F3508" s="19">
        <v>190000</v>
      </c>
      <c r="G3508" s="14">
        <f t="shared" si="68"/>
        <v>-190000</v>
      </c>
      <c r="H3508" s="1206"/>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79" t="s">
        <v>12102</v>
      </c>
    </row>
    <row r="3514" spans="1:8" x14ac:dyDescent="0.25">
      <c r="A3514" s="112">
        <v>45295</v>
      </c>
      <c r="B3514" s="21" t="s">
        <v>11423</v>
      </c>
      <c r="C3514" s="13" t="s">
        <v>8384</v>
      </c>
      <c r="D3514" s="764"/>
      <c r="E3514" s="22"/>
      <c r="F3514" s="19">
        <v>250000</v>
      </c>
      <c r="G3514" s="14">
        <f t="shared" si="68"/>
        <v>-250000</v>
      </c>
      <c r="H3514" s="1188"/>
    </row>
    <row r="3515" spans="1:8" x14ac:dyDescent="0.25">
      <c r="A3515" s="112">
        <v>45295</v>
      </c>
      <c r="B3515" s="21" t="s">
        <v>11586</v>
      </c>
      <c r="C3515" s="13" t="s">
        <v>8384</v>
      </c>
      <c r="D3515" s="764"/>
      <c r="E3515" s="22"/>
      <c r="F3515" s="19">
        <v>500000</v>
      </c>
      <c r="G3515" s="14">
        <f t="shared" si="68"/>
        <v>-500000</v>
      </c>
      <c r="H3515" s="1180"/>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83" t="s">
        <v>12275</v>
      </c>
    </row>
    <row r="3524" spans="1:8" x14ac:dyDescent="0.25">
      <c r="A3524" s="112">
        <v>45300</v>
      </c>
      <c r="B3524" s="21" t="s">
        <v>10220</v>
      </c>
      <c r="C3524" s="13" t="s">
        <v>8384</v>
      </c>
      <c r="D3524" s="764"/>
      <c r="E3524" s="22"/>
      <c r="F3524" s="19">
        <v>10470</v>
      </c>
      <c r="G3524" s="14">
        <f t="shared" si="69"/>
        <v>-10470</v>
      </c>
      <c r="H3524" s="1184"/>
    </row>
    <row r="3525" spans="1:8" x14ac:dyDescent="0.25">
      <c r="A3525" s="112">
        <v>45300</v>
      </c>
      <c r="B3525" s="21" t="s">
        <v>10564</v>
      </c>
      <c r="C3525" s="13" t="s">
        <v>8384</v>
      </c>
      <c r="D3525" s="764"/>
      <c r="E3525" s="22"/>
      <c r="F3525" s="19">
        <v>1347</v>
      </c>
      <c r="G3525" s="14">
        <f t="shared" si="69"/>
        <v>-1347</v>
      </c>
      <c r="H3525" s="1184"/>
    </row>
    <row r="3526" spans="1:8" x14ac:dyDescent="0.25">
      <c r="A3526" s="112">
        <v>45300</v>
      </c>
      <c r="B3526" s="21" t="s">
        <v>10890</v>
      </c>
      <c r="C3526" s="13" t="s">
        <v>8384</v>
      </c>
      <c r="D3526" s="764"/>
      <c r="E3526" s="22"/>
      <c r="F3526" s="19">
        <v>187415</v>
      </c>
      <c r="G3526" s="14">
        <f t="shared" si="69"/>
        <v>-187415</v>
      </c>
      <c r="H3526" s="1184"/>
    </row>
    <row r="3527" spans="1:8" x14ac:dyDescent="0.25">
      <c r="A3527" s="112">
        <v>45300</v>
      </c>
      <c r="B3527" s="21" t="s">
        <v>10986</v>
      </c>
      <c r="C3527" s="13" t="s">
        <v>8384</v>
      </c>
      <c r="D3527" s="764"/>
      <c r="E3527" s="22"/>
      <c r="F3527" s="19">
        <v>4390</v>
      </c>
      <c r="G3527" s="14">
        <f t="shared" si="69"/>
        <v>-4390</v>
      </c>
      <c r="H3527" s="1184"/>
    </row>
    <row r="3528" spans="1:8" x14ac:dyDescent="0.25">
      <c r="A3528" s="112">
        <v>45300</v>
      </c>
      <c r="B3528" s="21" t="s">
        <v>11054</v>
      </c>
      <c r="C3528" s="13" t="s">
        <v>8384</v>
      </c>
      <c r="D3528" s="764"/>
      <c r="E3528" s="22"/>
      <c r="F3528" s="19">
        <v>75122</v>
      </c>
      <c r="G3528" s="14">
        <f t="shared" si="69"/>
        <v>-75122</v>
      </c>
      <c r="H3528" s="1184"/>
    </row>
    <row r="3529" spans="1:8" x14ac:dyDescent="0.25">
      <c r="A3529" s="112">
        <v>45300</v>
      </c>
      <c r="B3529" s="21" t="s">
        <v>11423</v>
      </c>
      <c r="C3529" s="13" t="s">
        <v>8384</v>
      </c>
      <c r="D3529" s="764"/>
      <c r="E3529" s="22"/>
      <c r="F3529" s="19">
        <v>130168</v>
      </c>
      <c r="G3529" s="14">
        <f t="shared" si="69"/>
        <v>-130168</v>
      </c>
      <c r="H3529" s="1184"/>
    </row>
    <row r="3530" spans="1:8" x14ac:dyDescent="0.25">
      <c r="A3530" s="112">
        <v>45300</v>
      </c>
      <c r="B3530" s="21" t="s">
        <v>11249</v>
      </c>
      <c r="C3530" s="13" t="s">
        <v>8384</v>
      </c>
      <c r="D3530" s="764"/>
      <c r="E3530" s="22"/>
      <c r="F3530" s="19">
        <v>13416</v>
      </c>
      <c r="G3530" s="14">
        <f t="shared" si="69"/>
        <v>-13416</v>
      </c>
      <c r="H3530" s="1184"/>
    </row>
    <row r="3531" spans="1:8" x14ac:dyDescent="0.25">
      <c r="A3531" s="112">
        <v>45300</v>
      </c>
      <c r="B3531" s="21" t="s">
        <v>11685</v>
      </c>
      <c r="C3531" s="13" t="s">
        <v>8384</v>
      </c>
      <c r="D3531" s="764"/>
      <c r="E3531" s="22"/>
      <c r="F3531" s="19">
        <v>56173</v>
      </c>
      <c r="G3531" s="14">
        <f t="shared" si="69"/>
        <v>-56173</v>
      </c>
      <c r="H3531" s="1184"/>
    </row>
    <row r="3532" spans="1:8" x14ac:dyDescent="0.25">
      <c r="A3532" s="112">
        <v>45300</v>
      </c>
      <c r="B3532" s="21" t="s">
        <v>11488</v>
      </c>
      <c r="C3532" s="13" t="s">
        <v>8384</v>
      </c>
      <c r="D3532" s="764"/>
      <c r="E3532" s="22"/>
      <c r="F3532" s="19">
        <v>73043</v>
      </c>
      <c r="G3532" s="14">
        <f t="shared" si="69"/>
        <v>-73043</v>
      </c>
      <c r="H3532" s="1184"/>
    </row>
    <row r="3533" spans="1:8" x14ac:dyDescent="0.25">
      <c r="A3533" s="112">
        <v>45300</v>
      </c>
      <c r="B3533" s="21" t="s">
        <v>11586</v>
      </c>
      <c r="C3533" s="13" t="s">
        <v>8384</v>
      </c>
      <c r="D3533" s="764"/>
      <c r="E3533" s="22"/>
      <c r="F3533" s="19">
        <v>322676</v>
      </c>
      <c r="G3533" s="14">
        <f t="shared" si="69"/>
        <v>-322676</v>
      </c>
      <c r="H3533" s="1185"/>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79" t="s">
        <v>12247</v>
      </c>
    </row>
    <row r="3539" spans="1:8" x14ac:dyDescent="0.25">
      <c r="A3539" s="112">
        <v>45303</v>
      </c>
      <c r="B3539" s="21" t="s">
        <v>10284</v>
      </c>
      <c r="C3539" s="13" t="s">
        <v>168</v>
      </c>
      <c r="D3539" s="764"/>
      <c r="E3539" s="781"/>
      <c r="F3539" s="141">
        <v>8740</v>
      </c>
      <c r="G3539" s="782">
        <f t="shared" si="69"/>
        <v>-8740</v>
      </c>
      <c r="H3539" s="1188"/>
    </row>
    <row r="3540" spans="1:8" x14ac:dyDescent="0.25">
      <c r="A3540" s="112">
        <v>45303</v>
      </c>
      <c r="B3540" s="21" t="s">
        <v>10559</v>
      </c>
      <c r="C3540" s="13" t="s">
        <v>168</v>
      </c>
      <c r="D3540" s="764"/>
      <c r="E3540" s="781"/>
      <c r="F3540" s="141">
        <v>91300</v>
      </c>
      <c r="G3540" s="782">
        <f t="shared" si="69"/>
        <v>-91300</v>
      </c>
      <c r="H3540" s="1188"/>
    </row>
    <row r="3541" spans="1:8" x14ac:dyDescent="0.25">
      <c r="A3541" s="112">
        <v>45303</v>
      </c>
      <c r="B3541" s="21" t="s">
        <v>7801</v>
      </c>
      <c r="C3541" s="13" t="s">
        <v>168</v>
      </c>
      <c r="D3541" s="764"/>
      <c r="E3541" s="781"/>
      <c r="F3541" s="141">
        <v>10980</v>
      </c>
      <c r="G3541" s="782">
        <f t="shared" si="69"/>
        <v>-10980</v>
      </c>
      <c r="H3541" s="1188"/>
    </row>
    <row r="3542" spans="1:8" x14ac:dyDescent="0.25">
      <c r="A3542" s="112">
        <v>45303</v>
      </c>
      <c r="B3542" s="21" t="s">
        <v>10367</v>
      </c>
      <c r="C3542" s="13" t="s">
        <v>168</v>
      </c>
      <c r="D3542" s="764"/>
      <c r="E3542" s="781"/>
      <c r="F3542" s="141">
        <v>206520</v>
      </c>
      <c r="G3542" s="782">
        <f t="shared" si="69"/>
        <v>-206520</v>
      </c>
      <c r="H3542" s="1188"/>
    </row>
    <row r="3543" spans="1:8" x14ac:dyDescent="0.25">
      <c r="A3543" s="112">
        <v>45303</v>
      </c>
      <c r="B3543" s="21" t="s">
        <v>11249</v>
      </c>
      <c r="C3543" s="13" t="s">
        <v>168</v>
      </c>
      <c r="D3543" s="764"/>
      <c r="E3543" s="781"/>
      <c r="F3543" s="141">
        <v>19640</v>
      </c>
      <c r="G3543" s="782">
        <f t="shared" si="69"/>
        <v>-19640</v>
      </c>
      <c r="H3543" s="1188"/>
    </row>
    <row r="3544" spans="1:8" x14ac:dyDescent="0.25">
      <c r="A3544" s="112">
        <v>45303</v>
      </c>
      <c r="B3544" s="21" t="s">
        <v>10459</v>
      </c>
      <c r="C3544" s="13" t="s">
        <v>168</v>
      </c>
      <c r="D3544" s="764"/>
      <c r="E3544" s="781"/>
      <c r="F3544" s="141">
        <v>259118</v>
      </c>
      <c r="G3544" s="782">
        <f t="shared" si="69"/>
        <v>-259118</v>
      </c>
      <c r="H3544" s="1188"/>
    </row>
    <row r="3545" spans="1:8" ht="16.5" thickBot="1" x14ac:dyDescent="0.3">
      <c r="A3545" s="112">
        <v>45303</v>
      </c>
      <c r="B3545" s="21" t="s">
        <v>10564</v>
      </c>
      <c r="C3545" s="13" t="s">
        <v>168</v>
      </c>
      <c r="D3545" s="764"/>
      <c r="E3545" s="781"/>
      <c r="F3545" s="784">
        <v>5165</v>
      </c>
      <c r="G3545" s="782">
        <f t="shared" si="69"/>
        <v>-5165</v>
      </c>
      <c r="H3545" s="1180"/>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83" t="s">
        <v>13014</v>
      </c>
    </row>
    <row r="3560" spans="1:8" x14ac:dyDescent="0.25">
      <c r="A3560" s="112">
        <v>45310</v>
      </c>
      <c r="B3560" s="21" t="s">
        <v>8856</v>
      </c>
      <c r="C3560" s="13" t="s">
        <v>5186</v>
      </c>
      <c r="D3560" s="764"/>
      <c r="E3560" s="22"/>
      <c r="F3560" s="19">
        <v>200000</v>
      </c>
      <c r="G3560" s="14">
        <f t="shared" si="68"/>
        <v>-200000</v>
      </c>
      <c r="H3560" s="1185"/>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00" t="s">
        <v>13007</v>
      </c>
    </row>
    <row r="3607" spans="1:8" x14ac:dyDescent="0.25">
      <c r="A3607" s="112">
        <v>45322</v>
      </c>
      <c r="B3607" s="21" t="s">
        <v>10564</v>
      </c>
      <c r="C3607" s="13" t="s">
        <v>169</v>
      </c>
      <c r="D3607" s="764"/>
      <c r="E3607" s="22"/>
      <c r="F3607" s="19">
        <v>200000</v>
      </c>
      <c r="G3607" s="14">
        <f t="shared" si="70"/>
        <v>-200000</v>
      </c>
      <c r="H3607" s="1201"/>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79" t="s">
        <v>12544</v>
      </c>
    </row>
    <row r="3648" spans="1:8" x14ac:dyDescent="0.25">
      <c r="A3648" s="112">
        <v>45346</v>
      </c>
      <c r="B3648" s="21" t="s">
        <v>10890</v>
      </c>
      <c r="C3648" s="13" t="s">
        <v>180</v>
      </c>
      <c r="D3648" s="764"/>
      <c r="E3648" s="781"/>
      <c r="F3648" s="141">
        <v>164280</v>
      </c>
      <c r="G3648" s="782">
        <f t="shared" si="70"/>
        <v>-164280</v>
      </c>
      <c r="H3648" s="1188"/>
    </row>
    <row r="3649" spans="1:8" x14ac:dyDescent="0.25">
      <c r="A3649" s="112">
        <v>45346</v>
      </c>
      <c r="B3649" s="21" t="s">
        <v>11586</v>
      </c>
      <c r="C3649" s="13" t="s">
        <v>180</v>
      </c>
      <c r="D3649" s="764"/>
      <c r="E3649" s="781"/>
      <c r="F3649" s="141">
        <v>145230</v>
      </c>
      <c r="G3649" s="782">
        <f t="shared" si="70"/>
        <v>-145230</v>
      </c>
      <c r="H3649" s="1188"/>
    </row>
    <row r="3650" spans="1:8" ht="16.5" thickBot="1" x14ac:dyDescent="0.3">
      <c r="A3650" s="112">
        <v>45346</v>
      </c>
      <c r="B3650" s="21" t="s">
        <v>11864</v>
      </c>
      <c r="C3650" s="13" t="s">
        <v>180</v>
      </c>
      <c r="D3650" s="764"/>
      <c r="E3650" s="781"/>
      <c r="F3650" s="784">
        <v>176730</v>
      </c>
      <c r="G3650" s="782">
        <f t="shared" si="70"/>
        <v>-176730</v>
      </c>
      <c r="H3650" s="1180"/>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83" t="s">
        <v>13011</v>
      </c>
    </row>
    <row r="3687" spans="1:8" x14ac:dyDescent="0.25">
      <c r="A3687" s="112">
        <v>45369</v>
      </c>
      <c r="B3687" s="21" t="s">
        <v>12328</v>
      </c>
      <c r="C3687" s="13" t="s">
        <v>8384</v>
      </c>
      <c r="D3687" s="764"/>
      <c r="E3687" s="22"/>
      <c r="F3687" s="19">
        <v>900000</v>
      </c>
      <c r="G3687" s="14">
        <f t="shared" ref="G3687" si="73">E3687-F3687</f>
        <v>-900000</v>
      </c>
      <c r="H3687" s="1185"/>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15805</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179" t="s">
        <v>13013</v>
      </c>
    </row>
    <row r="3717" spans="1:8" x14ac:dyDescent="0.25">
      <c r="A3717" s="112">
        <v>45416</v>
      </c>
      <c r="B3717" s="21" t="s">
        <v>8547</v>
      </c>
      <c r="C3717" s="13" t="s">
        <v>8384</v>
      </c>
      <c r="D3717" s="764"/>
      <c r="E3717" s="781"/>
      <c r="F3717" s="141">
        <v>74242</v>
      </c>
      <c r="G3717" s="782">
        <f t="shared" ref="G3717:G3722" si="75">E3717-F3717</f>
        <v>-74242</v>
      </c>
      <c r="H3717" s="1188"/>
    </row>
    <row r="3718" spans="1:8" x14ac:dyDescent="0.25">
      <c r="A3718" s="112">
        <v>45416</v>
      </c>
      <c r="B3718" s="21" t="s">
        <v>10890</v>
      </c>
      <c r="C3718" s="13" t="s">
        <v>8384</v>
      </c>
      <c r="D3718" s="764"/>
      <c r="E3718" s="781"/>
      <c r="F3718" s="141">
        <v>20637</v>
      </c>
      <c r="G3718" s="782">
        <f t="shared" si="75"/>
        <v>-20637</v>
      </c>
      <c r="H3718" s="1188"/>
    </row>
    <row r="3719" spans="1:8" x14ac:dyDescent="0.25">
      <c r="A3719" s="112">
        <v>45416</v>
      </c>
      <c r="B3719" s="21" t="s">
        <v>11685</v>
      </c>
      <c r="C3719" s="13" t="s">
        <v>8384</v>
      </c>
      <c r="D3719" s="764"/>
      <c r="E3719" s="781"/>
      <c r="F3719" s="141">
        <v>6768</v>
      </c>
      <c r="G3719" s="782">
        <f t="shared" si="75"/>
        <v>-6768</v>
      </c>
      <c r="H3719" s="1188"/>
    </row>
    <row r="3720" spans="1:8" x14ac:dyDescent="0.25">
      <c r="A3720" s="112">
        <v>45416</v>
      </c>
      <c r="B3720" s="21" t="s">
        <v>11586</v>
      </c>
      <c r="C3720" s="13" t="s">
        <v>8384</v>
      </c>
      <c r="D3720" s="764"/>
      <c r="E3720" s="781"/>
      <c r="F3720" s="141">
        <v>25632</v>
      </c>
      <c r="G3720" s="782">
        <f t="shared" si="75"/>
        <v>-25632</v>
      </c>
      <c r="H3720" s="1188"/>
    </row>
    <row r="3721" spans="1:8" x14ac:dyDescent="0.25">
      <c r="A3721" s="112">
        <v>45416</v>
      </c>
      <c r="B3721" s="21" t="s">
        <v>12774</v>
      </c>
      <c r="C3721" s="13" t="s">
        <v>8384</v>
      </c>
      <c r="D3721" s="764"/>
      <c r="E3721" s="781"/>
      <c r="F3721" s="141">
        <v>153139</v>
      </c>
      <c r="G3721" s="782">
        <f t="shared" si="75"/>
        <v>-153139</v>
      </c>
      <c r="H3721" s="1188"/>
    </row>
    <row r="3722" spans="1:8" ht="16.5" thickBot="1" x14ac:dyDescent="0.3">
      <c r="A3722" s="112">
        <v>45416</v>
      </c>
      <c r="B3722" s="21" t="s">
        <v>11707</v>
      </c>
      <c r="C3722" s="13" t="s">
        <v>8384</v>
      </c>
      <c r="D3722" s="764"/>
      <c r="E3722" s="781"/>
      <c r="F3722" s="784">
        <v>56962</v>
      </c>
      <c r="G3722" s="782">
        <f t="shared" si="75"/>
        <v>-56962</v>
      </c>
      <c r="H3722" s="1180"/>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183" t="s">
        <v>13009</v>
      </c>
    </row>
    <row r="3726" spans="1:8" x14ac:dyDescent="0.25">
      <c r="A3726" s="112">
        <v>45418</v>
      </c>
      <c r="B3726" s="21" t="s">
        <v>10564</v>
      </c>
      <c r="C3726" s="13" t="s">
        <v>169</v>
      </c>
      <c r="D3726" s="764"/>
      <c r="E3726" s="781"/>
      <c r="F3726" s="141">
        <v>46500</v>
      </c>
      <c r="G3726" s="782">
        <f t="shared" si="74"/>
        <v>-46500</v>
      </c>
      <c r="H3726" s="1184"/>
    </row>
    <row r="3727" spans="1:8" x14ac:dyDescent="0.25">
      <c r="A3727" s="112">
        <v>45418</v>
      </c>
      <c r="B3727" s="21" t="s">
        <v>10890</v>
      </c>
      <c r="C3727" s="13" t="s">
        <v>169</v>
      </c>
      <c r="D3727" s="764"/>
      <c r="E3727" s="781"/>
      <c r="F3727" s="141">
        <v>80500</v>
      </c>
      <c r="G3727" s="782">
        <f t="shared" si="74"/>
        <v>-80500</v>
      </c>
      <c r="H3727" s="1184"/>
    </row>
    <row r="3728" spans="1:8" ht="16.5" thickBot="1" x14ac:dyDescent="0.3">
      <c r="A3728" s="112">
        <v>45418</v>
      </c>
      <c r="B3728" s="21" t="s">
        <v>11864</v>
      </c>
      <c r="C3728" s="13" t="s">
        <v>169</v>
      </c>
      <c r="D3728" s="764"/>
      <c r="E3728" s="781"/>
      <c r="F3728" s="784">
        <v>157650</v>
      </c>
      <c r="G3728" s="782">
        <f t="shared" si="74"/>
        <v>-157650</v>
      </c>
      <c r="H3728" s="1185"/>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179" t="s">
        <v>13275</v>
      </c>
    </row>
    <row r="3752" spans="1:8" x14ac:dyDescent="0.25">
      <c r="A3752" s="112">
        <v>45432</v>
      </c>
      <c r="B3752" s="21" t="s">
        <v>11864</v>
      </c>
      <c r="C3752" s="13" t="s">
        <v>180</v>
      </c>
      <c r="D3752" s="764"/>
      <c r="E3752" s="22"/>
      <c r="F3752" s="19">
        <v>48390</v>
      </c>
      <c r="G3752" s="14">
        <f t="shared" si="74"/>
        <v>-48390</v>
      </c>
      <c r="H3752" s="1188"/>
    </row>
    <row r="3753" spans="1:8" x14ac:dyDescent="0.25">
      <c r="A3753" s="112">
        <v>45432</v>
      </c>
      <c r="B3753" s="21" t="s">
        <v>12171</v>
      </c>
      <c r="C3753" s="13" t="s">
        <v>180</v>
      </c>
      <c r="D3753" s="764"/>
      <c r="E3753" s="22"/>
      <c r="F3753" s="19">
        <v>90710</v>
      </c>
      <c r="G3753" s="14">
        <f t="shared" si="74"/>
        <v>-90710</v>
      </c>
      <c r="H3753" s="1180"/>
    </row>
    <row r="3754" spans="1:8" x14ac:dyDescent="0.25">
      <c r="A3754" s="112">
        <v>45436</v>
      </c>
      <c r="B3754" s="21" t="s">
        <v>9820</v>
      </c>
      <c r="C3754" s="13" t="s">
        <v>166</v>
      </c>
      <c r="D3754" s="764"/>
      <c r="E3754" s="22"/>
      <c r="F3754" s="19">
        <v>90000</v>
      </c>
      <c r="G3754" s="14">
        <f t="shared" si="74"/>
        <v>-90000</v>
      </c>
      <c r="H3754" s="1179" t="s">
        <v>13139</v>
      </c>
    </row>
    <row r="3755" spans="1:8" x14ac:dyDescent="0.25">
      <c r="A3755" s="112">
        <v>45436</v>
      </c>
      <c r="B3755" s="21" t="s">
        <v>11488</v>
      </c>
      <c r="C3755" s="13" t="s">
        <v>166</v>
      </c>
      <c r="D3755" s="764"/>
      <c r="E3755" s="22"/>
      <c r="F3755" s="19">
        <v>10000</v>
      </c>
      <c r="G3755" s="14">
        <f t="shared" si="74"/>
        <v>-10000</v>
      </c>
      <c r="H3755" s="1188"/>
    </row>
    <row r="3756" spans="1:8" x14ac:dyDescent="0.25">
      <c r="A3756" s="112">
        <v>45436</v>
      </c>
      <c r="B3756" s="21" t="s">
        <v>13278</v>
      </c>
      <c r="C3756" s="13" t="s">
        <v>166</v>
      </c>
      <c r="D3756" s="764"/>
      <c r="E3756" s="22"/>
      <c r="F3756" s="19">
        <v>200000</v>
      </c>
      <c r="G3756" s="14">
        <f t="shared" si="74"/>
        <v>-200000</v>
      </c>
      <c r="H3756" s="1180"/>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195" t="s">
        <v>13119</v>
      </c>
    </row>
    <row r="3764" spans="1:8" x14ac:dyDescent="0.25">
      <c r="A3764" s="112">
        <v>45441</v>
      </c>
      <c r="B3764" s="21" t="s">
        <v>11864</v>
      </c>
      <c r="C3764" s="13" t="s">
        <v>13116</v>
      </c>
      <c r="D3764" s="764"/>
      <c r="E3764" s="22"/>
      <c r="F3764" s="19">
        <v>400000</v>
      </c>
      <c r="G3764" s="14">
        <f t="shared" si="74"/>
        <v>-400000</v>
      </c>
      <c r="H3764" s="1196"/>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183" t="s">
        <v>13188</v>
      </c>
    </row>
    <row r="3771" spans="1:8" x14ac:dyDescent="0.25">
      <c r="A3771" s="112">
        <v>45447</v>
      </c>
      <c r="B3771" s="21" t="s">
        <v>13098</v>
      </c>
      <c r="C3771" s="13" t="s">
        <v>5186</v>
      </c>
      <c r="D3771" s="764"/>
      <c r="E3771" s="22"/>
      <c r="F3771" s="19">
        <v>250000</v>
      </c>
      <c r="G3771" s="14">
        <f t="shared" si="74"/>
        <v>-250000</v>
      </c>
      <c r="H3771" s="1185"/>
    </row>
    <row r="3772" spans="1:8" x14ac:dyDescent="0.25">
      <c r="A3772" s="112">
        <v>45453</v>
      </c>
      <c r="B3772" s="21" t="s">
        <v>9820</v>
      </c>
      <c r="C3772" s="13" t="s">
        <v>8384</v>
      </c>
      <c r="D3772" s="764"/>
      <c r="E3772" s="22"/>
      <c r="F3772" s="19">
        <v>250000</v>
      </c>
      <c r="G3772" s="14">
        <f t="shared" si="74"/>
        <v>-250000</v>
      </c>
      <c r="H3772" s="1179" t="s">
        <v>13013</v>
      </c>
    </row>
    <row r="3773" spans="1:8" x14ac:dyDescent="0.25">
      <c r="A3773" s="112">
        <v>45453</v>
      </c>
      <c r="B3773" s="21" t="s">
        <v>11488</v>
      </c>
      <c r="C3773" s="13" t="s">
        <v>8384</v>
      </c>
      <c r="D3773" s="764"/>
      <c r="E3773" s="22"/>
      <c r="F3773" s="19">
        <v>250000</v>
      </c>
      <c r="G3773" s="14">
        <f t="shared" si="74"/>
        <v>-250000</v>
      </c>
      <c r="H3773" s="1180"/>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183" t="s">
        <v>14460</v>
      </c>
    </row>
    <row r="3776" spans="1:8" x14ac:dyDescent="0.25">
      <c r="A3776" s="112">
        <v>45454</v>
      </c>
      <c r="B3776" s="21" t="s">
        <v>12388</v>
      </c>
      <c r="C3776" s="13" t="s">
        <v>7947</v>
      </c>
      <c r="D3776" s="764"/>
      <c r="E3776" s="781"/>
      <c r="F3776" s="19">
        <v>1000000</v>
      </c>
      <c r="G3776" s="782">
        <f t="shared" si="80"/>
        <v>-1000000</v>
      </c>
      <c r="H3776" s="1185"/>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05" t="s">
        <v>13262</v>
      </c>
    </row>
    <row r="3781" spans="1:8" x14ac:dyDescent="0.25">
      <c r="A3781" s="112">
        <v>45456</v>
      </c>
      <c r="B3781" s="21" t="s">
        <v>6503</v>
      </c>
      <c r="C3781" s="13" t="s">
        <v>164</v>
      </c>
      <c r="D3781" s="764"/>
      <c r="E3781" s="22"/>
      <c r="F3781" s="19">
        <v>9034</v>
      </c>
      <c r="G3781" s="782">
        <f t="shared" si="80"/>
        <v>-9034</v>
      </c>
      <c r="H3781" s="1255"/>
    </row>
    <row r="3782" spans="1:8" x14ac:dyDescent="0.25">
      <c r="A3782" s="112">
        <v>45456</v>
      </c>
      <c r="B3782" s="21" t="s">
        <v>8547</v>
      </c>
      <c r="C3782" s="13" t="s">
        <v>164</v>
      </c>
      <c r="D3782" s="764"/>
      <c r="E3782" s="22"/>
      <c r="F3782" s="19">
        <v>5194</v>
      </c>
      <c r="G3782" s="782">
        <f t="shared" si="80"/>
        <v>-5194</v>
      </c>
      <c r="H3782" s="1255"/>
    </row>
    <row r="3783" spans="1:8" x14ac:dyDescent="0.25">
      <c r="A3783" s="112">
        <v>45456</v>
      </c>
      <c r="B3783" s="21" t="s">
        <v>11068</v>
      </c>
      <c r="C3783" s="13" t="s">
        <v>164</v>
      </c>
      <c r="D3783" s="764"/>
      <c r="E3783" s="22"/>
      <c r="F3783" s="19">
        <v>81179</v>
      </c>
      <c r="G3783" s="782">
        <f t="shared" si="80"/>
        <v>-81179</v>
      </c>
      <c r="H3783" s="1255"/>
    </row>
    <row r="3784" spans="1:8" x14ac:dyDescent="0.25">
      <c r="A3784" s="112">
        <v>45456</v>
      </c>
      <c r="B3784" s="21" t="s">
        <v>10220</v>
      </c>
      <c r="C3784" s="13" t="s">
        <v>164</v>
      </c>
      <c r="D3784" s="764"/>
      <c r="E3784" s="22"/>
      <c r="F3784" s="19">
        <v>21030</v>
      </c>
      <c r="G3784" s="782">
        <f t="shared" si="80"/>
        <v>-21030</v>
      </c>
      <c r="H3784" s="1255"/>
    </row>
    <row r="3785" spans="1:8" x14ac:dyDescent="0.25">
      <c r="A3785" s="112">
        <v>45456</v>
      </c>
      <c r="B3785" s="21" t="s">
        <v>10890</v>
      </c>
      <c r="C3785" s="13" t="s">
        <v>164</v>
      </c>
      <c r="D3785" s="764"/>
      <c r="E3785" s="22"/>
      <c r="F3785" s="19">
        <v>5434</v>
      </c>
      <c r="G3785" s="782">
        <f t="shared" si="80"/>
        <v>-5434</v>
      </c>
      <c r="H3785" s="1255"/>
    </row>
    <row r="3786" spans="1:8" x14ac:dyDescent="0.25">
      <c r="A3786" s="112">
        <v>45456</v>
      </c>
      <c r="B3786" s="21" t="s">
        <v>11586</v>
      </c>
      <c r="C3786" s="13" t="s">
        <v>164</v>
      </c>
      <c r="D3786" s="764"/>
      <c r="E3786" s="22"/>
      <c r="F3786" s="19">
        <v>10407</v>
      </c>
      <c r="G3786" s="782">
        <f t="shared" si="80"/>
        <v>-10407</v>
      </c>
      <c r="H3786" s="1255"/>
    </row>
    <row r="3787" spans="1:8" x14ac:dyDescent="0.25">
      <c r="A3787" s="112">
        <v>45456</v>
      </c>
      <c r="B3787" s="21" t="s">
        <v>11488</v>
      </c>
      <c r="C3787" s="13" t="s">
        <v>164</v>
      </c>
      <c r="D3787" s="764"/>
      <c r="E3787" s="22"/>
      <c r="F3787" s="19">
        <v>43136</v>
      </c>
      <c r="G3787" s="782">
        <f t="shared" si="80"/>
        <v>-43136</v>
      </c>
      <c r="H3787" s="1255"/>
    </row>
    <row r="3788" spans="1:8" x14ac:dyDescent="0.25">
      <c r="A3788" s="112">
        <v>45456</v>
      </c>
      <c r="B3788" s="21" t="s">
        <v>12171</v>
      </c>
      <c r="C3788" s="13" t="s">
        <v>164</v>
      </c>
      <c r="D3788" s="764"/>
      <c r="E3788" s="22"/>
      <c r="F3788" s="19">
        <v>2016</v>
      </c>
      <c r="G3788" s="782">
        <f t="shared" si="80"/>
        <v>-2016</v>
      </c>
      <c r="H3788" s="1255"/>
    </row>
    <row r="3789" spans="1:8" x14ac:dyDescent="0.25">
      <c r="A3789" s="112">
        <v>45456</v>
      </c>
      <c r="B3789" s="21" t="s">
        <v>12388</v>
      </c>
      <c r="C3789" s="13" t="s">
        <v>164</v>
      </c>
      <c r="D3789" s="764"/>
      <c r="E3789" s="22"/>
      <c r="F3789" s="19">
        <v>387</v>
      </c>
      <c r="G3789" s="782">
        <f t="shared" si="80"/>
        <v>-387</v>
      </c>
      <c r="H3789" s="1206"/>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179" t="s">
        <v>13336</v>
      </c>
    </row>
    <row r="3800" spans="1:8" x14ac:dyDescent="0.25">
      <c r="A3800" s="112">
        <v>45470</v>
      </c>
      <c r="B3800" s="21" t="s">
        <v>11864</v>
      </c>
      <c r="C3800" s="13" t="s">
        <v>8384</v>
      </c>
      <c r="D3800" s="764"/>
      <c r="E3800" s="22"/>
      <c r="F3800" s="19">
        <v>214017</v>
      </c>
      <c r="G3800" s="14">
        <f t="shared" si="80"/>
        <v>-214017</v>
      </c>
      <c r="H3800" s="1188"/>
    </row>
    <row r="3801" spans="1:8" ht="16.5" thickBot="1" x14ac:dyDescent="0.3">
      <c r="A3801" s="112">
        <v>45470</v>
      </c>
      <c r="B3801" s="21" t="s">
        <v>12171</v>
      </c>
      <c r="C3801" s="13" t="s">
        <v>8384</v>
      </c>
      <c r="D3801" s="764"/>
      <c r="E3801" s="22"/>
      <c r="F3801" s="109">
        <v>231690</v>
      </c>
      <c r="G3801" s="14">
        <f t="shared" si="80"/>
        <v>-231690</v>
      </c>
      <c r="H3801" s="1180"/>
    </row>
    <row r="3802" spans="1:8" x14ac:dyDescent="0.25">
      <c r="A3802" s="112">
        <v>45471</v>
      </c>
      <c r="B3802" s="21" t="s">
        <v>8547</v>
      </c>
      <c r="C3802" s="13" t="s">
        <v>7465</v>
      </c>
      <c r="D3802" s="764"/>
      <c r="E3802" s="781"/>
      <c r="F3802" s="783">
        <v>197307</v>
      </c>
      <c r="G3802" s="782">
        <f t="shared" si="80"/>
        <v>-197307</v>
      </c>
      <c r="H3802" s="1183" t="s">
        <v>13341</v>
      </c>
    </row>
    <row r="3803" spans="1:8" x14ac:dyDescent="0.25">
      <c r="A3803" s="112">
        <v>45471</v>
      </c>
      <c r="B3803" s="21" t="s">
        <v>11068</v>
      </c>
      <c r="C3803" s="13" t="s">
        <v>7465</v>
      </c>
      <c r="D3803" s="764"/>
      <c r="E3803" s="781"/>
      <c r="F3803" s="141">
        <v>43808</v>
      </c>
      <c r="G3803" s="782">
        <f t="shared" si="80"/>
        <v>-43808</v>
      </c>
      <c r="H3803" s="1184"/>
    </row>
    <row r="3804" spans="1:8" x14ac:dyDescent="0.25">
      <c r="A3804" s="112">
        <v>45471</v>
      </c>
      <c r="B3804" s="21" t="s">
        <v>10220</v>
      </c>
      <c r="C3804" s="13" t="s">
        <v>7465</v>
      </c>
      <c r="D3804" s="764"/>
      <c r="E3804" s="781"/>
      <c r="F3804" s="141">
        <v>203105</v>
      </c>
      <c r="G3804" s="782">
        <f t="shared" si="80"/>
        <v>-203105</v>
      </c>
      <c r="H3804" s="1184"/>
    </row>
    <row r="3805" spans="1:8" x14ac:dyDescent="0.25">
      <c r="A3805" s="112">
        <v>45471</v>
      </c>
      <c r="B3805" s="21" t="s">
        <v>12783</v>
      </c>
      <c r="C3805" s="13" t="s">
        <v>7465</v>
      </c>
      <c r="D3805" s="764"/>
      <c r="E3805" s="781"/>
      <c r="F3805" s="141">
        <v>49280</v>
      </c>
      <c r="G3805" s="782">
        <f t="shared" si="80"/>
        <v>-49280</v>
      </c>
      <c r="H3805" s="1184"/>
    </row>
    <row r="3806" spans="1:8" ht="16.5" thickBot="1" x14ac:dyDescent="0.3">
      <c r="A3806" s="112">
        <v>45471</v>
      </c>
      <c r="B3806" s="21" t="s">
        <v>13213</v>
      </c>
      <c r="C3806" s="13" t="s">
        <v>7465</v>
      </c>
      <c r="D3806" s="764"/>
      <c r="E3806" s="781"/>
      <c r="F3806" s="784">
        <v>6500</v>
      </c>
      <c r="G3806" s="782">
        <f t="shared" si="80"/>
        <v>-6500</v>
      </c>
      <c r="H3806" s="1184"/>
    </row>
    <row r="3807" spans="1:8" x14ac:dyDescent="0.25">
      <c r="A3807" s="112">
        <v>45472</v>
      </c>
      <c r="B3807" s="21" t="s">
        <v>9344</v>
      </c>
      <c r="C3807" s="13" t="s">
        <v>1062</v>
      </c>
      <c r="D3807" s="764"/>
      <c r="E3807" s="22"/>
      <c r="F3807" s="111">
        <v>100000</v>
      </c>
      <c r="G3807" s="14">
        <f t="shared" si="80"/>
        <v>-100000</v>
      </c>
      <c r="H3807" s="1179" t="s">
        <v>13007</v>
      </c>
    </row>
    <row r="3808" spans="1:8" x14ac:dyDescent="0.25">
      <c r="A3808" s="112">
        <v>45472</v>
      </c>
      <c r="B3808" s="21" t="s">
        <v>12388</v>
      </c>
      <c r="C3808" s="13" t="s">
        <v>1062</v>
      </c>
      <c r="D3808" s="764"/>
      <c r="E3808" s="22"/>
      <c r="F3808" s="19">
        <v>200000</v>
      </c>
      <c r="G3808" s="14">
        <f t="shared" si="80"/>
        <v>-200000</v>
      </c>
      <c r="H3808" s="1180"/>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183" t="s">
        <v>13421</v>
      </c>
    </row>
    <row r="3824" spans="1:8" x14ac:dyDescent="0.25">
      <c r="A3824" s="112">
        <v>45478</v>
      </c>
      <c r="B3824" s="21" t="s">
        <v>11068</v>
      </c>
      <c r="C3824" s="13" t="s">
        <v>8384</v>
      </c>
      <c r="D3824" s="764"/>
      <c r="E3824" s="781"/>
      <c r="F3824" s="141">
        <v>24451</v>
      </c>
      <c r="G3824" s="782">
        <f t="shared" si="83"/>
        <v>-24451</v>
      </c>
      <c r="H3824" s="1184"/>
    </row>
    <row r="3825" spans="1:8" x14ac:dyDescent="0.25">
      <c r="A3825" s="112">
        <v>45478</v>
      </c>
      <c r="B3825" s="21" t="s">
        <v>11488</v>
      </c>
      <c r="C3825" s="13" t="s">
        <v>8384</v>
      </c>
      <c r="D3825" s="764"/>
      <c r="E3825" s="781"/>
      <c r="F3825" s="141">
        <v>37853</v>
      </c>
      <c r="G3825" s="782">
        <f t="shared" si="83"/>
        <v>-37853</v>
      </c>
      <c r="H3825" s="1184"/>
    </row>
    <row r="3826" spans="1:8" x14ac:dyDescent="0.25">
      <c r="A3826" s="112">
        <v>45478</v>
      </c>
      <c r="B3826" s="21" t="s">
        <v>12171</v>
      </c>
      <c r="C3826" s="13" t="s">
        <v>8384</v>
      </c>
      <c r="D3826" s="764"/>
      <c r="E3826" s="781"/>
      <c r="F3826" s="141">
        <v>261620</v>
      </c>
      <c r="G3826" s="782">
        <f t="shared" si="83"/>
        <v>-261620</v>
      </c>
      <c r="H3826" s="1184"/>
    </row>
    <row r="3827" spans="1:8" x14ac:dyDescent="0.25">
      <c r="A3827" s="112">
        <v>45478</v>
      </c>
      <c r="B3827" s="21" t="s">
        <v>13098</v>
      </c>
      <c r="C3827" s="13" t="s">
        <v>8384</v>
      </c>
      <c r="D3827" s="764"/>
      <c r="E3827" s="781"/>
      <c r="F3827" s="141">
        <v>69112</v>
      </c>
      <c r="G3827" s="782">
        <f t="shared" si="83"/>
        <v>-69112</v>
      </c>
      <c r="H3827" s="1184"/>
    </row>
    <row r="3828" spans="1:8" x14ac:dyDescent="0.25">
      <c r="A3828" s="112">
        <v>45478</v>
      </c>
      <c r="B3828" s="21" t="s">
        <v>13240</v>
      </c>
      <c r="C3828" s="13" t="s">
        <v>8384</v>
      </c>
      <c r="D3828" s="764"/>
      <c r="E3828" s="781"/>
      <c r="F3828" s="141">
        <v>195823</v>
      </c>
      <c r="G3828" s="782">
        <f t="shared" si="83"/>
        <v>-195823</v>
      </c>
      <c r="H3828" s="1184"/>
    </row>
    <row r="3829" spans="1:8" ht="16.5" thickBot="1" x14ac:dyDescent="0.3">
      <c r="A3829" s="112">
        <v>45478</v>
      </c>
      <c r="B3829" s="40" t="s">
        <v>13098</v>
      </c>
      <c r="C3829" s="13" t="s">
        <v>8384</v>
      </c>
      <c r="D3829" s="764"/>
      <c r="E3829" s="781"/>
      <c r="F3829" s="784">
        <v>331043</v>
      </c>
      <c r="G3829" s="782">
        <f t="shared" si="83"/>
        <v>-331043</v>
      </c>
      <c r="H3829" s="1185"/>
    </row>
    <row r="3830" spans="1:8" x14ac:dyDescent="0.25">
      <c r="A3830" s="112">
        <v>45479</v>
      </c>
      <c r="B3830" s="21" t="s">
        <v>12171</v>
      </c>
      <c r="C3830" s="13" t="s">
        <v>8384</v>
      </c>
      <c r="D3830" s="764"/>
      <c r="E3830" s="781"/>
      <c r="F3830" s="783">
        <v>235968</v>
      </c>
      <c r="G3830" s="782">
        <f t="shared" si="83"/>
        <v>-235968</v>
      </c>
      <c r="H3830" s="1183" t="s">
        <v>13422</v>
      </c>
    </row>
    <row r="3831" spans="1:8" x14ac:dyDescent="0.25">
      <c r="A3831" s="112">
        <v>45479</v>
      </c>
      <c r="B3831" s="21" t="s">
        <v>13098</v>
      </c>
      <c r="C3831" s="13" t="s">
        <v>8384</v>
      </c>
      <c r="D3831" s="764"/>
      <c r="E3831" s="781"/>
      <c r="F3831" s="141">
        <v>319738</v>
      </c>
      <c r="G3831" s="782">
        <f t="shared" si="83"/>
        <v>-319738</v>
      </c>
      <c r="H3831" s="1184"/>
    </row>
    <row r="3832" spans="1:8" x14ac:dyDescent="0.25">
      <c r="A3832" s="112">
        <v>45479</v>
      </c>
      <c r="B3832" s="21" t="s">
        <v>13165</v>
      </c>
      <c r="C3832" s="13" t="s">
        <v>8384</v>
      </c>
      <c r="D3832" s="764"/>
      <c r="E3832" s="781"/>
      <c r="F3832" s="141">
        <v>120070</v>
      </c>
      <c r="G3832" s="782">
        <f t="shared" si="83"/>
        <v>-120070</v>
      </c>
      <c r="H3832" s="1184"/>
    </row>
    <row r="3833" spans="1:8" x14ac:dyDescent="0.25">
      <c r="A3833" s="112">
        <v>45479</v>
      </c>
      <c r="B3833" s="21" t="s">
        <v>13453</v>
      </c>
      <c r="C3833" s="13" t="s">
        <v>8384</v>
      </c>
      <c r="D3833" s="764"/>
      <c r="E3833" s="781"/>
      <c r="F3833" s="141">
        <v>260520</v>
      </c>
      <c r="G3833" s="782">
        <f t="shared" si="83"/>
        <v>-260520</v>
      </c>
      <c r="H3833" s="1184"/>
    </row>
    <row r="3834" spans="1:8" ht="16.5" thickBot="1" x14ac:dyDescent="0.3">
      <c r="A3834" s="112">
        <v>45479</v>
      </c>
      <c r="B3834" s="21" t="s">
        <v>12171</v>
      </c>
      <c r="C3834" s="13" t="s">
        <v>8384</v>
      </c>
      <c r="D3834" s="764"/>
      <c r="E3834" s="781"/>
      <c r="F3834" s="784">
        <v>13344</v>
      </c>
      <c r="G3834" s="782">
        <f t="shared" si="83"/>
        <v>-13344</v>
      </c>
      <c r="H3834" s="1185"/>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10890</v>
      </c>
      <c r="C3848" s="13" t="s">
        <v>7947</v>
      </c>
      <c r="D3848" s="764"/>
      <c r="E3848" s="22"/>
      <c r="F3848" s="111">
        <v>272997</v>
      </c>
      <c r="G3848" s="14">
        <f t="shared" si="84"/>
        <v>-272997</v>
      </c>
      <c r="H3848" s="1179" t="s">
        <v>14458</v>
      </c>
    </row>
    <row r="3849" spans="1:8" ht="17.25" customHeight="1" x14ac:dyDescent="0.25">
      <c r="A3849" s="112">
        <v>45485</v>
      </c>
      <c r="B3849" s="21" t="s">
        <v>13240</v>
      </c>
      <c r="C3849" s="13" t="s">
        <v>7947</v>
      </c>
      <c r="D3849" s="764"/>
      <c r="E3849" s="22"/>
      <c r="F3849" s="111">
        <v>522000</v>
      </c>
      <c r="G3849" s="14">
        <f t="shared" si="84"/>
        <v>-522000</v>
      </c>
      <c r="H3849" s="1188"/>
    </row>
    <row r="3850" spans="1:8" ht="17.25" customHeight="1" x14ac:dyDescent="0.25">
      <c r="A3850" s="112">
        <v>45485</v>
      </c>
      <c r="B3850" s="21" t="s">
        <v>12388</v>
      </c>
      <c r="C3850" s="13" t="s">
        <v>7947</v>
      </c>
      <c r="D3850" s="764"/>
      <c r="E3850" s="22"/>
      <c r="F3850" s="111">
        <v>203003</v>
      </c>
      <c r="G3850" s="14">
        <f t="shared" si="84"/>
        <v>-203003</v>
      </c>
      <c r="H3850" s="1180"/>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179" t="s">
        <v>13586</v>
      </c>
    </row>
    <row r="3876" spans="1:8" x14ac:dyDescent="0.25">
      <c r="A3876" s="112">
        <v>45495</v>
      </c>
      <c r="B3876" s="21" t="s">
        <v>8864</v>
      </c>
      <c r="C3876" s="13" t="s">
        <v>1062</v>
      </c>
      <c r="D3876" s="764"/>
      <c r="E3876" s="22"/>
      <c r="F3876" s="19">
        <v>13000</v>
      </c>
      <c r="G3876" s="14">
        <f t="shared" si="86"/>
        <v>-13000</v>
      </c>
      <c r="H3876" s="1188"/>
    </row>
    <row r="3877" spans="1:8" x14ac:dyDescent="0.25">
      <c r="A3877" s="112">
        <v>45495</v>
      </c>
      <c r="B3877" s="21" t="s">
        <v>9344</v>
      </c>
      <c r="C3877" s="13" t="s">
        <v>1062</v>
      </c>
      <c r="D3877" s="764"/>
      <c r="E3877" s="22"/>
      <c r="F3877" s="19">
        <v>5000</v>
      </c>
      <c r="G3877" s="14">
        <f t="shared" si="86"/>
        <v>-5000</v>
      </c>
      <c r="H3877" s="1188"/>
    </row>
    <row r="3878" spans="1:8" x14ac:dyDescent="0.25">
      <c r="A3878" s="112">
        <v>45495</v>
      </c>
      <c r="B3878" s="21" t="s">
        <v>12388</v>
      </c>
      <c r="C3878" s="13" t="s">
        <v>1062</v>
      </c>
      <c r="D3878" s="764"/>
      <c r="E3878" s="22"/>
      <c r="F3878" s="19">
        <v>23956</v>
      </c>
      <c r="G3878" s="14">
        <f t="shared" si="86"/>
        <v>-23956</v>
      </c>
      <c r="H3878" s="1188"/>
    </row>
    <row r="3879" spans="1:8" x14ac:dyDescent="0.25">
      <c r="A3879" s="112">
        <v>45495</v>
      </c>
      <c r="B3879" s="21" t="s">
        <v>9820</v>
      </c>
      <c r="C3879" s="13" t="s">
        <v>1062</v>
      </c>
      <c r="D3879" s="764" t="s">
        <v>13873</v>
      </c>
      <c r="E3879" s="22"/>
      <c r="F3879" s="19">
        <v>3412</v>
      </c>
      <c r="G3879" s="14">
        <f t="shared" si="86"/>
        <v>-3412</v>
      </c>
      <c r="H3879" s="1188"/>
    </row>
    <row r="3880" spans="1:8" x14ac:dyDescent="0.25">
      <c r="A3880" s="112">
        <v>45495</v>
      </c>
      <c r="B3880" s="21" t="s">
        <v>13098</v>
      </c>
      <c r="C3880" s="13" t="s">
        <v>1062</v>
      </c>
      <c r="D3880" s="764"/>
      <c r="E3880" s="22"/>
      <c r="F3880" s="19">
        <v>1604</v>
      </c>
      <c r="G3880" s="14">
        <f t="shared" si="86"/>
        <v>-1604</v>
      </c>
      <c r="H3880" s="1188"/>
    </row>
    <row r="3881" spans="1:8" x14ac:dyDescent="0.25">
      <c r="A3881" s="112">
        <v>45495</v>
      </c>
      <c r="B3881" s="21" t="s">
        <v>12671</v>
      </c>
      <c r="C3881" s="13" t="s">
        <v>1062</v>
      </c>
      <c r="D3881" s="764"/>
      <c r="E3881" s="22"/>
      <c r="F3881" s="19">
        <v>24817</v>
      </c>
      <c r="G3881" s="14">
        <f t="shared" si="86"/>
        <v>-24817</v>
      </c>
      <c r="H3881" s="1188"/>
    </row>
    <row r="3882" spans="1:8" x14ac:dyDescent="0.25">
      <c r="A3882" s="112">
        <v>45495</v>
      </c>
      <c r="B3882" s="21" t="s">
        <v>13417</v>
      </c>
      <c r="C3882" s="13" t="s">
        <v>1062</v>
      </c>
      <c r="D3882" s="764"/>
      <c r="E3882" s="22"/>
      <c r="F3882" s="19">
        <v>58770</v>
      </c>
      <c r="G3882" s="14">
        <f t="shared" si="86"/>
        <v>-58770</v>
      </c>
      <c r="H3882" s="1188"/>
    </row>
    <row r="3883" spans="1:8" x14ac:dyDescent="0.25">
      <c r="A3883" s="112">
        <v>45495</v>
      </c>
      <c r="B3883" s="21" t="s">
        <v>13213</v>
      </c>
      <c r="C3883" s="13" t="s">
        <v>1062</v>
      </c>
      <c r="D3883" s="764"/>
      <c r="E3883" s="22"/>
      <c r="F3883" s="19">
        <v>45496</v>
      </c>
      <c r="G3883" s="14">
        <f t="shared" si="86"/>
        <v>-45496</v>
      </c>
      <c r="H3883" s="1188"/>
    </row>
    <row r="3884" spans="1:8" x14ac:dyDescent="0.25">
      <c r="A3884" s="112">
        <v>45495</v>
      </c>
      <c r="B3884" s="21" t="s">
        <v>13165</v>
      </c>
      <c r="C3884" s="13" t="s">
        <v>1062</v>
      </c>
      <c r="D3884" s="764"/>
      <c r="E3884" s="22"/>
      <c r="F3884" s="19">
        <f>400000-F3880-F3879-F3878-F3877-F3876-F3875-F3881-F3882-F3883</f>
        <v>216585</v>
      </c>
      <c r="G3884" s="14">
        <f t="shared" si="86"/>
        <v>-216585</v>
      </c>
      <c r="H3884" s="1180"/>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179" t="s">
        <v>13806</v>
      </c>
    </row>
    <row r="3948" spans="1:8" ht="16.5" thickBot="1" x14ac:dyDescent="0.3">
      <c r="A3948" s="112">
        <v>45509</v>
      </c>
      <c r="B3948" s="21" t="s">
        <v>12671</v>
      </c>
      <c r="C3948" s="13" t="s">
        <v>8384</v>
      </c>
      <c r="D3948" s="764"/>
      <c r="E3948" s="22"/>
      <c r="F3948" s="109">
        <v>250000</v>
      </c>
      <c r="G3948" s="14">
        <f t="shared" si="88"/>
        <v>-250000</v>
      </c>
      <c r="H3948" s="1180"/>
    </row>
    <row r="3949" spans="1:8" x14ac:dyDescent="0.25">
      <c r="A3949" s="112">
        <v>45509</v>
      </c>
      <c r="B3949" s="21" t="s">
        <v>8329</v>
      </c>
      <c r="C3949" s="13" t="s">
        <v>1062</v>
      </c>
      <c r="D3949" s="764"/>
      <c r="E3949" s="22"/>
      <c r="F3949" s="783">
        <v>16040</v>
      </c>
      <c r="G3949" s="782">
        <f t="shared" si="88"/>
        <v>-16040</v>
      </c>
      <c r="H3949" s="1179" t="s">
        <v>13872</v>
      </c>
    </row>
    <row r="3950" spans="1:8" x14ac:dyDescent="0.25">
      <c r="A3950" s="112">
        <v>45509</v>
      </c>
      <c r="B3950" s="21" t="s">
        <v>11068</v>
      </c>
      <c r="C3950" s="13" t="s">
        <v>1062</v>
      </c>
      <c r="D3950" s="764"/>
      <c r="E3950" s="22"/>
      <c r="F3950" s="141">
        <v>8865</v>
      </c>
      <c r="G3950" s="782">
        <f t="shared" si="88"/>
        <v>-8865</v>
      </c>
      <c r="H3950" s="1188"/>
    </row>
    <row r="3951" spans="1:8" x14ac:dyDescent="0.25">
      <c r="A3951" s="112">
        <v>45509</v>
      </c>
      <c r="B3951" s="21" t="s">
        <v>11586</v>
      </c>
      <c r="C3951" s="13" t="s">
        <v>1062</v>
      </c>
      <c r="D3951" s="764"/>
      <c r="E3951" s="22"/>
      <c r="F3951" s="141">
        <v>5650</v>
      </c>
      <c r="G3951" s="782">
        <f t="shared" si="88"/>
        <v>-5650</v>
      </c>
      <c r="H3951" s="1188"/>
    </row>
    <row r="3952" spans="1:8" x14ac:dyDescent="0.25">
      <c r="A3952" s="112">
        <v>45509</v>
      </c>
      <c r="B3952" s="21" t="s">
        <v>12594</v>
      </c>
      <c r="C3952" s="13" t="s">
        <v>1062</v>
      </c>
      <c r="D3952" s="764"/>
      <c r="E3952" s="22"/>
      <c r="F3952" s="141">
        <v>54460</v>
      </c>
      <c r="G3952" s="782">
        <f t="shared" si="88"/>
        <v>-54460</v>
      </c>
      <c r="H3952" s="1188"/>
    </row>
    <row r="3953" spans="1:8" x14ac:dyDescent="0.25">
      <c r="A3953" s="112">
        <v>45509</v>
      </c>
      <c r="B3953" s="21" t="s">
        <v>12388</v>
      </c>
      <c r="C3953" s="13" t="s">
        <v>1062</v>
      </c>
      <c r="D3953" s="764" t="s">
        <v>13874</v>
      </c>
      <c r="E3953" s="22"/>
      <c r="F3953" s="141">
        <v>24884</v>
      </c>
      <c r="G3953" s="782">
        <f t="shared" si="88"/>
        <v>-24884</v>
      </c>
      <c r="H3953" s="1188"/>
    </row>
    <row r="3954" spans="1:8" x14ac:dyDescent="0.25">
      <c r="A3954" s="112">
        <v>45509</v>
      </c>
      <c r="B3954" s="21" t="s">
        <v>12671</v>
      </c>
      <c r="C3954" s="13" t="s">
        <v>1062</v>
      </c>
      <c r="D3954" s="764"/>
      <c r="E3954" s="22"/>
      <c r="F3954" s="141">
        <v>51300</v>
      </c>
      <c r="G3954" s="782">
        <f t="shared" si="88"/>
        <v>-51300</v>
      </c>
      <c r="H3954" s="1188"/>
    </row>
    <row r="3955" spans="1:8" x14ac:dyDescent="0.25">
      <c r="A3955" s="112">
        <v>45509</v>
      </c>
      <c r="B3955" s="21" t="s">
        <v>13240</v>
      </c>
      <c r="C3955" s="13" t="s">
        <v>1062</v>
      </c>
      <c r="D3955" s="764"/>
      <c r="E3955" s="22"/>
      <c r="F3955" s="141">
        <v>62465</v>
      </c>
      <c r="G3955" s="782">
        <f t="shared" si="88"/>
        <v>-62465</v>
      </c>
      <c r="H3955" s="1188"/>
    </row>
    <row r="3956" spans="1:8" x14ac:dyDescent="0.25">
      <c r="A3956" s="112">
        <v>45509</v>
      </c>
      <c r="B3956" s="21" t="s">
        <v>13417</v>
      </c>
      <c r="C3956" s="13" t="s">
        <v>1062</v>
      </c>
      <c r="D3956" s="764"/>
      <c r="E3956" s="22"/>
      <c r="F3956" s="141">
        <v>32400</v>
      </c>
      <c r="G3956" s="782">
        <f t="shared" si="88"/>
        <v>-32400</v>
      </c>
      <c r="H3956" s="1188"/>
    </row>
    <row r="3957" spans="1:8" ht="16.5" thickBot="1" x14ac:dyDescent="0.3">
      <c r="A3957" s="112">
        <v>45509</v>
      </c>
      <c r="B3957" s="21" t="s">
        <v>13213</v>
      </c>
      <c r="C3957" s="13" t="s">
        <v>1062</v>
      </c>
      <c r="D3957" s="764"/>
      <c r="E3957" s="22"/>
      <c r="F3957" s="784">
        <v>43936</v>
      </c>
      <c r="G3957" s="782">
        <f t="shared" si="88"/>
        <v>-43936</v>
      </c>
      <c r="H3957" s="1180"/>
    </row>
    <row r="3958" spans="1:8" x14ac:dyDescent="0.25">
      <c r="A3958" s="112">
        <v>45509</v>
      </c>
      <c r="B3958" s="21" t="s">
        <v>11068</v>
      </c>
      <c r="C3958" s="13" t="s">
        <v>12350</v>
      </c>
      <c r="D3958" s="764"/>
      <c r="E3958" s="22"/>
      <c r="F3958" s="151">
        <v>256037</v>
      </c>
      <c r="G3958" s="782">
        <f t="shared" si="88"/>
        <v>-256037</v>
      </c>
      <c r="H3958" s="1191" t="s">
        <v>13809</v>
      </c>
    </row>
    <row r="3959" spans="1:8" x14ac:dyDescent="0.25">
      <c r="A3959" s="112">
        <v>45509</v>
      </c>
      <c r="B3959" s="21" t="s">
        <v>10220</v>
      </c>
      <c r="C3959" s="13" t="s">
        <v>12350</v>
      </c>
      <c r="D3959" s="764"/>
      <c r="E3959" s="781"/>
      <c r="F3959" s="141">
        <v>31000</v>
      </c>
      <c r="G3959" s="782">
        <f t="shared" si="88"/>
        <v>-31000</v>
      </c>
      <c r="H3959" s="1192"/>
    </row>
    <row r="3960" spans="1:8" x14ac:dyDescent="0.25">
      <c r="A3960" s="112">
        <v>45509</v>
      </c>
      <c r="B3960" s="21" t="s">
        <v>10559</v>
      </c>
      <c r="C3960" s="13" t="s">
        <v>12350</v>
      </c>
      <c r="D3960" s="764"/>
      <c r="E3960" s="781"/>
      <c r="F3960" s="141">
        <v>33000</v>
      </c>
      <c r="G3960" s="782">
        <f t="shared" si="88"/>
        <v>-33000</v>
      </c>
      <c r="H3960" s="1192"/>
    </row>
    <row r="3961" spans="1:8" x14ac:dyDescent="0.25">
      <c r="A3961" s="112">
        <v>45509</v>
      </c>
      <c r="B3961" s="21" t="s">
        <v>12211</v>
      </c>
      <c r="C3961" s="13" t="s">
        <v>12350</v>
      </c>
      <c r="D3961" s="764"/>
      <c r="E3961" s="781"/>
      <c r="F3961" s="141">
        <v>27500</v>
      </c>
      <c r="G3961" s="782">
        <f t="shared" si="88"/>
        <v>-27500</v>
      </c>
      <c r="H3961" s="1192"/>
    </row>
    <row r="3962" spans="1:8" x14ac:dyDescent="0.25">
      <c r="A3962" s="112">
        <v>45509</v>
      </c>
      <c r="B3962" s="21" t="s">
        <v>12774</v>
      </c>
      <c r="C3962" s="13" t="s">
        <v>12350</v>
      </c>
      <c r="D3962" s="764"/>
      <c r="E3962" s="781"/>
      <c r="F3962" s="141">
        <v>38500</v>
      </c>
      <c r="G3962" s="782">
        <f t="shared" si="88"/>
        <v>-38500</v>
      </c>
      <c r="H3962" s="1192"/>
    </row>
    <row r="3963" spans="1:8" x14ac:dyDescent="0.25">
      <c r="A3963" s="112">
        <v>45509</v>
      </c>
      <c r="B3963" s="21" t="s">
        <v>12671</v>
      </c>
      <c r="C3963" s="13" t="s">
        <v>12350</v>
      </c>
      <c r="D3963" s="764"/>
      <c r="E3963" s="781"/>
      <c r="F3963" s="141">
        <v>12000</v>
      </c>
      <c r="G3963" s="782">
        <f t="shared" si="88"/>
        <v>-12000</v>
      </c>
      <c r="H3963" s="1192"/>
    </row>
    <row r="3964" spans="1:8" ht="16.5" thickBot="1" x14ac:dyDescent="0.3">
      <c r="A3964" s="112">
        <v>45509</v>
      </c>
      <c r="B3964" s="21" t="s">
        <v>11864</v>
      </c>
      <c r="C3964" s="13" t="s">
        <v>12350</v>
      </c>
      <c r="D3964" s="764"/>
      <c r="E3964" s="781"/>
      <c r="F3964" s="784">
        <v>1963</v>
      </c>
      <c r="G3964" s="782">
        <f t="shared" si="88"/>
        <v>-1963</v>
      </c>
      <c r="H3964" s="1193"/>
    </row>
    <row r="3965" spans="1:8" x14ac:dyDescent="0.25">
      <c r="A3965" s="112">
        <v>45509</v>
      </c>
      <c r="B3965" s="21" t="s">
        <v>11864</v>
      </c>
      <c r="C3965" s="13" t="s">
        <v>12350</v>
      </c>
      <c r="D3965" s="764"/>
      <c r="E3965" s="781"/>
      <c r="F3965" s="783">
        <v>167156</v>
      </c>
      <c r="G3965" s="782">
        <f t="shared" si="88"/>
        <v>-167156</v>
      </c>
      <c r="H3965" s="1191" t="s">
        <v>13811</v>
      </c>
    </row>
    <row r="3966" spans="1:8" x14ac:dyDescent="0.25">
      <c r="A3966" s="112">
        <v>45509</v>
      </c>
      <c r="B3966" s="21" t="s">
        <v>12783</v>
      </c>
      <c r="C3966" s="13" t="s">
        <v>12350</v>
      </c>
      <c r="D3966" s="764"/>
      <c r="E3966" s="781"/>
      <c r="F3966" s="151">
        <v>19000</v>
      </c>
      <c r="G3966" s="782">
        <f t="shared" si="88"/>
        <v>-19000</v>
      </c>
      <c r="H3966" s="1192"/>
    </row>
    <row r="3967" spans="1:8" x14ac:dyDescent="0.25">
      <c r="A3967" s="112">
        <v>45509</v>
      </c>
      <c r="B3967" s="21" t="s">
        <v>12388</v>
      </c>
      <c r="C3967" s="13" t="s">
        <v>12350</v>
      </c>
      <c r="D3967" s="764"/>
      <c r="E3967" s="781"/>
      <c r="F3967" s="151">
        <v>42703</v>
      </c>
      <c r="G3967" s="782">
        <f t="shared" si="88"/>
        <v>-42703</v>
      </c>
      <c r="H3967" s="1192"/>
    </row>
    <row r="3968" spans="1:8" x14ac:dyDescent="0.25">
      <c r="A3968" s="112">
        <v>45509</v>
      </c>
      <c r="B3968" s="21" t="s">
        <v>13240</v>
      </c>
      <c r="C3968" s="13" t="s">
        <v>12350</v>
      </c>
      <c r="D3968" s="764"/>
      <c r="E3968" s="781"/>
      <c r="F3968" s="151">
        <v>171005</v>
      </c>
      <c r="G3968" s="782">
        <f t="shared" si="88"/>
        <v>-171005</v>
      </c>
      <c r="H3968" s="1192"/>
    </row>
    <row r="3969" spans="1:8" x14ac:dyDescent="0.25">
      <c r="A3969" s="112">
        <v>45509</v>
      </c>
      <c r="B3969" s="21" t="s">
        <v>13475</v>
      </c>
      <c r="C3969" s="13" t="s">
        <v>12350</v>
      </c>
      <c r="D3969" s="764"/>
      <c r="E3969" s="781"/>
      <c r="F3969" s="151">
        <v>48550</v>
      </c>
      <c r="G3969" s="782">
        <f t="shared" si="88"/>
        <v>-48550</v>
      </c>
      <c r="H3969" s="1192"/>
    </row>
    <row r="3970" spans="1:8" x14ac:dyDescent="0.25">
      <c r="A3970" s="112">
        <v>45509</v>
      </c>
      <c r="B3970" s="21" t="s">
        <v>13636</v>
      </c>
      <c r="C3970" s="13" t="s">
        <v>12350</v>
      </c>
      <c r="D3970" s="764"/>
      <c r="E3970" s="781"/>
      <c r="F3970" s="151">
        <v>25000</v>
      </c>
      <c r="G3970" s="782">
        <f t="shared" si="88"/>
        <v>-25000</v>
      </c>
      <c r="H3970" s="1192"/>
    </row>
    <row r="3971" spans="1:8" ht="16.5" thickBot="1" x14ac:dyDescent="0.3">
      <c r="A3971" s="112">
        <v>45509</v>
      </c>
      <c r="B3971" s="21" t="s">
        <v>13213</v>
      </c>
      <c r="C3971" s="13" t="s">
        <v>12350</v>
      </c>
      <c r="D3971" s="764"/>
      <c r="E3971" s="781"/>
      <c r="F3971" s="295">
        <v>206586</v>
      </c>
      <c r="G3971" s="782">
        <f t="shared" si="88"/>
        <v>-206586</v>
      </c>
      <c r="H3971" s="1193"/>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179" t="s">
        <v>13807</v>
      </c>
    </row>
    <row r="3974" spans="1:8" x14ac:dyDescent="0.25">
      <c r="A3974" s="112">
        <v>45509</v>
      </c>
      <c r="B3974" s="21" t="s">
        <v>12594</v>
      </c>
      <c r="C3974" s="13" t="s">
        <v>7465</v>
      </c>
      <c r="D3974" s="764"/>
      <c r="E3974" s="22"/>
      <c r="F3974" s="19">
        <v>45459</v>
      </c>
      <c r="G3974" s="14">
        <f t="shared" si="88"/>
        <v>-45459</v>
      </c>
      <c r="H3974" s="1188"/>
    </row>
    <row r="3975" spans="1:8" x14ac:dyDescent="0.25">
      <c r="A3975" s="112">
        <v>45509</v>
      </c>
      <c r="B3975" s="21" t="s">
        <v>11864</v>
      </c>
      <c r="C3975" s="13" t="s">
        <v>7465</v>
      </c>
      <c r="D3975" s="764"/>
      <c r="E3975" s="22"/>
      <c r="F3975" s="19">
        <v>306006</v>
      </c>
      <c r="G3975" s="14">
        <f t="shared" si="88"/>
        <v>-306006</v>
      </c>
      <c r="H3975" s="1188"/>
    </row>
    <row r="3976" spans="1:8" x14ac:dyDescent="0.25">
      <c r="A3976" s="112">
        <v>45509</v>
      </c>
      <c r="B3976" s="21" t="s">
        <v>10889</v>
      </c>
      <c r="C3976" s="13" t="s">
        <v>7465</v>
      </c>
      <c r="D3976" s="764"/>
      <c r="E3976" s="22"/>
      <c r="F3976" s="19">
        <v>32600</v>
      </c>
      <c r="G3976" s="14">
        <f t="shared" si="88"/>
        <v>-32600</v>
      </c>
      <c r="H3976" s="1188"/>
    </row>
    <row r="3977" spans="1:8" x14ac:dyDescent="0.25">
      <c r="A3977" s="112">
        <v>45509</v>
      </c>
      <c r="B3977" s="21" t="s">
        <v>9344</v>
      </c>
      <c r="C3977" s="13" t="s">
        <v>7465</v>
      </c>
      <c r="D3977" s="764"/>
      <c r="E3977" s="22"/>
      <c r="F3977" s="19">
        <v>33559</v>
      </c>
      <c r="G3977" s="14">
        <f t="shared" si="88"/>
        <v>-33559</v>
      </c>
      <c r="H3977" s="1188"/>
    </row>
    <row r="3978" spans="1:8" x14ac:dyDescent="0.25">
      <c r="A3978" s="112">
        <v>45509</v>
      </c>
      <c r="B3978" s="21" t="s">
        <v>10284</v>
      </c>
      <c r="C3978" s="13" t="s">
        <v>7465</v>
      </c>
      <c r="D3978" s="764"/>
      <c r="E3978" s="22"/>
      <c r="F3978" s="19">
        <v>43900</v>
      </c>
      <c r="G3978" s="14">
        <f t="shared" si="88"/>
        <v>-43900</v>
      </c>
      <c r="H3978" s="1188"/>
    </row>
    <row r="3979" spans="1:8" x14ac:dyDescent="0.25">
      <c r="A3979" s="112">
        <v>45509</v>
      </c>
      <c r="B3979" s="21" t="s">
        <v>12783</v>
      </c>
      <c r="C3979" s="13" t="s">
        <v>7465</v>
      </c>
      <c r="D3979" s="764"/>
      <c r="E3979" s="22"/>
      <c r="F3979" s="19">
        <v>105607</v>
      </c>
      <c r="G3979" s="14">
        <f t="shared" si="88"/>
        <v>-105607</v>
      </c>
      <c r="H3979" s="1188"/>
    </row>
    <row r="3980" spans="1:8" x14ac:dyDescent="0.25">
      <c r="A3980" s="112">
        <v>45509</v>
      </c>
      <c r="B3980" s="21" t="s">
        <v>8547</v>
      </c>
      <c r="C3980" s="13" t="s">
        <v>7465</v>
      </c>
      <c r="D3980" s="764"/>
      <c r="E3980" s="22"/>
      <c r="F3980" s="19">
        <v>29114</v>
      </c>
      <c r="G3980" s="14">
        <f t="shared" si="88"/>
        <v>-29114</v>
      </c>
      <c r="H3980" s="1180"/>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183" t="s">
        <v>13849</v>
      </c>
    </row>
    <row r="4004" spans="1:8" x14ac:dyDescent="0.25">
      <c r="A4004" s="112">
        <v>45512</v>
      </c>
      <c r="B4004" s="21" t="s">
        <v>10459</v>
      </c>
      <c r="C4004" s="13" t="s">
        <v>5680</v>
      </c>
      <c r="D4004" s="764"/>
      <c r="E4004" s="781"/>
      <c r="F4004" s="19">
        <v>4500</v>
      </c>
      <c r="G4004" s="14">
        <f t="shared" si="88"/>
        <v>-4500</v>
      </c>
      <c r="H4004" s="1184"/>
    </row>
    <row r="4005" spans="1:8" x14ac:dyDescent="0.25">
      <c r="A4005" s="112">
        <v>45512</v>
      </c>
      <c r="B4005" s="21" t="s">
        <v>10220</v>
      </c>
      <c r="C4005" s="13" t="s">
        <v>5680</v>
      </c>
      <c r="D4005" s="764"/>
      <c r="E4005" s="781"/>
      <c r="F4005" s="19">
        <v>86852</v>
      </c>
      <c r="G4005" s="14">
        <f t="shared" si="88"/>
        <v>-86852</v>
      </c>
      <c r="H4005" s="1184"/>
    </row>
    <row r="4006" spans="1:8" x14ac:dyDescent="0.25">
      <c r="A4006" s="112">
        <v>45512</v>
      </c>
      <c r="B4006" s="21" t="s">
        <v>10559</v>
      </c>
      <c r="C4006" s="13" t="s">
        <v>5680</v>
      </c>
      <c r="D4006" s="764"/>
      <c r="E4006" s="781"/>
      <c r="F4006" s="19">
        <v>33900</v>
      </c>
      <c r="G4006" s="14">
        <f t="shared" si="88"/>
        <v>-33900</v>
      </c>
      <c r="H4006" s="1184"/>
    </row>
    <row r="4007" spans="1:8" x14ac:dyDescent="0.25">
      <c r="A4007" s="112">
        <v>45512</v>
      </c>
      <c r="B4007" s="21" t="s">
        <v>9344</v>
      </c>
      <c r="C4007" s="13" t="s">
        <v>5680</v>
      </c>
      <c r="D4007" s="764"/>
      <c r="E4007" s="781"/>
      <c r="F4007" s="19">
        <v>29000</v>
      </c>
      <c r="G4007" s="14">
        <f t="shared" si="88"/>
        <v>-29000</v>
      </c>
      <c r="H4007" s="1184"/>
    </row>
    <row r="4008" spans="1:8" x14ac:dyDescent="0.25">
      <c r="A4008" s="112">
        <v>45512</v>
      </c>
      <c r="B4008" s="21" t="s">
        <v>11488</v>
      </c>
      <c r="C4008" s="13" t="s">
        <v>5680</v>
      </c>
      <c r="D4008" s="764"/>
      <c r="E4008" s="781"/>
      <c r="F4008" s="19">
        <v>30148</v>
      </c>
      <c r="G4008" s="14">
        <f t="shared" si="88"/>
        <v>-30148</v>
      </c>
      <c r="H4008" s="1185"/>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179" t="s">
        <v>13851</v>
      </c>
    </row>
    <row r="4026" spans="1:8" x14ac:dyDescent="0.25">
      <c r="A4026" s="112">
        <v>45519</v>
      </c>
      <c r="B4026" s="21" t="s">
        <v>11068</v>
      </c>
      <c r="C4026" s="13" t="s">
        <v>166</v>
      </c>
      <c r="D4026" s="764"/>
      <c r="E4026" s="781"/>
      <c r="F4026" s="141">
        <v>31324</v>
      </c>
      <c r="G4026" s="782">
        <f t="shared" ref="G4026:G4132" si="89">E4026-F4026</f>
        <v>-31324</v>
      </c>
      <c r="H4026" s="1188"/>
    </row>
    <row r="4027" spans="1:8" x14ac:dyDescent="0.25">
      <c r="A4027" s="112">
        <v>45519</v>
      </c>
      <c r="B4027" s="21" t="s">
        <v>11488</v>
      </c>
      <c r="C4027" s="13" t="s">
        <v>166</v>
      </c>
      <c r="D4027" s="764"/>
      <c r="E4027" s="781"/>
      <c r="F4027" s="141">
        <v>8000</v>
      </c>
      <c r="G4027" s="782">
        <f t="shared" si="89"/>
        <v>-8000</v>
      </c>
      <c r="H4027" s="1188"/>
    </row>
    <row r="4028" spans="1:8" x14ac:dyDescent="0.25">
      <c r="A4028" s="112">
        <v>45519</v>
      </c>
      <c r="B4028" s="21" t="s">
        <v>12171</v>
      </c>
      <c r="C4028" s="13" t="s">
        <v>166</v>
      </c>
      <c r="D4028" s="764"/>
      <c r="E4028" s="781"/>
      <c r="F4028" s="141">
        <v>351969</v>
      </c>
      <c r="G4028" s="782">
        <f t="shared" si="89"/>
        <v>-351969</v>
      </c>
      <c r="H4028" s="1188"/>
    </row>
    <row r="4029" spans="1:8" x14ac:dyDescent="0.25">
      <c r="A4029" s="112">
        <v>45519</v>
      </c>
      <c r="B4029" s="21" t="s">
        <v>12774</v>
      </c>
      <c r="C4029" s="13" t="s">
        <v>166</v>
      </c>
      <c r="D4029" s="764"/>
      <c r="E4029" s="781"/>
      <c r="F4029" s="141">
        <v>14000</v>
      </c>
      <c r="G4029" s="782">
        <f t="shared" si="89"/>
        <v>-14000</v>
      </c>
      <c r="H4029" s="1188"/>
    </row>
    <row r="4030" spans="1:8" x14ac:dyDescent="0.25">
      <c r="A4030" s="112">
        <v>45519</v>
      </c>
      <c r="B4030" s="21" t="s">
        <v>12388</v>
      </c>
      <c r="C4030" s="13" t="s">
        <v>166</v>
      </c>
      <c r="D4030" s="764"/>
      <c r="E4030" s="781"/>
      <c r="F4030" s="141">
        <v>31500</v>
      </c>
      <c r="G4030" s="782">
        <f t="shared" si="89"/>
        <v>-31500</v>
      </c>
      <c r="H4030" s="1188"/>
    </row>
    <row r="4031" spans="1:8" x14ac:dyDescent="0.25">
      <c r="A4031" s="112">
        <v>45519</v>
      </c>
      <c r="B4031" s="21" t="s">
        <v>13417</v>
      </c>
      <c r="C4031" s="13" t="s">
        <v>166</v>
      </c>
      <c r="D4031" s="764"/>
      <c r="E4031" s="781"/>
      <c r="F4031" s="141">
        <v>131377</v>
      </c>
      <c r="G4031" s="782">
        <f t="shared" si="89"/>
        <v>-131377</v>
      </c>
      <c r="H4031" s="1188"/>
    </row>
    <row r="4032" spans="1:8" ht="16.5" thickBot="1" x14ac:dyDescent="0.3">
      <c r="A4032" s="112">
        <v>45519</v>
      </c>
      <c r="B4032" s="21" t="s">
        <v>13278</v>
      </c>
      <c r="C4032" s="13" t="s">
        <v>166</v>
      </c>
      <c r="D4032" s="764"/>
      <c r="E4032" s="781"/>
      <c r="F4032" s="784">
        <v>25454</v>
      </c>
      <c r="G4032" s="782">
        <f t="shared" si="89"/>
        <v>-25454</v>
      </c>
      <c r="H4032" s="1180"/>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194" t="s">
        <v>13965</v>
      </c>
    </row>
    <row r="4061" spans="1:8" x14ac:dyDescent="0.25">
      <c r="A4061" s="112">
        <v>45527</v>
      </c>
      <c r="B4061" s="21" t="s">
        <v>13165</v>
      </c>
      <c r="C4061" s="13" t="s">
        <v>1062</v>
      </c>
      <c r="D4061" s="764"/>
      <c r="E4061" s="781"/>
      <c r="F4061" s="141">
        <v>200000</v>
      </c>
      <c r="G4061" s="782">
        <f t="shared" si="89"/>
        <v>-200000</v>
      </c>
      <c r="H4061" s="1189"/>
    </row>
    <row r="4062" spans="1:8" ht="16.5" thickBot="1" x14ac:dyDescent="0.3">
      <c r="A4062" s="112">
        <v>45527</v>
      </c>
      <c r="B4062" s="21" t="s">
        <v>13519</v>
      </c>
      <c r="C4062" s="13" t="s">
        <v>1062</v>
      </c>
      <c r="D4062" s="764"/>
      <c r="E4062" s="781"/>
      <c r="F4062" s="784">
        <v>100000</v>
      </c>
      <c r="G4062" s="782">
        <f t="shared" si="89"/>
        <v>-100000</v>
      </c>
      <c r="H4062" s="1190"/>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191" t="s">
        <v>13949</v>
      </c>
    </row>
    <row r="4065" spans="1:8" ht="16.5" thickBot="1" x14ac:dyDescent="0.3">
      <c r="A4065" s="112">
        <v>45528</v>
      </c>
      <c r="B4065" s="21" t="s">
        <v>13240</v>
      </c>
      <c r="C4065" s="13" t="s">
        <v>13276</v>
      </c>
      <c r="D4065" s="764"/>
      <c r="E4065" s="781"/>
      <c r="F4065" s="784">
        <v>456844</v>
      </c>
      <c r="G4065" s="782">
        <f t="shared" si="89"/>
        <v>-456844</v>
      </c>
      <c r="H4065" s="1193"/>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179" t="s">
        <v>14099</v>
      </c>
    </row>
    <row r="4097" spans="1:8" x14ac:dyDescent="0.25">
      <c r="A4097" s="112">
        <v>45539</v>
      </c>
      <c r="B4097" s="21" t="s">
        <v>13213</v>
      </c>
      <c r="C4097" s="13" t="s">
        <v>8384</v>
      </c>
      <c r="D4097" s="764"/>
      <c r="E4097" s="22"/>
      <c r="F4097" s="19">
        <v>400000</v>
      </c>
      <c r="G4097" s="14">
        <f t="shared" si="89"/>
        <v>-400000</v>
      </c>
      <c r="H4097" s="1180"/>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02" t="s">
        <v>14247</v>
      </c>
    </row>
    <row r="4133" spans="1:8" x14ac:dyDescent="0.25">
      <c r="A4133" s="112">
        <v>45551</v>
      </c>
      <c r="B4133" s="21" t="s">
        <v>12671</v>
      </c>
      <c r="C4133" s="13" t="s">
        <v>8384</v>
      </c>
      <c r="D4133" s="764"/>
      <c r="E4133" s="22"/>
      <c r="F4133" s="19">
        <v>600000</v>
      </c>
      <c r="G4133" s="14">
        <f t="shared" ref="G4133:G4282" si="93">E4133-F4133</f>
        <v>-600000</v>
      </c>
      <c r="H4133" s="1203"/>
    </row>
    <row r="4134" spans="1:8" x14ac:dyDescent="0.25">
      <c r="A4134" s="112">
        <v>45551</v>
      </c>
      <c r="B4134" s="21" t="s">
        <v>13213</v>
      </c>
      <c r="C4134" s="13" t="s">
        <v>8384</v>
      </c>
      <c r="D4134" s="764"/>
      <c r="E4134" s="22"/>
      <c r="F4134" s="19">
        <v>300000</v>
      </c>
      <c r="G4134" s="14">
        <f t="shared" si="93"/>
        <v>-300000</v>
      </c>
      <c r="H4134" s="1204"/>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179" t="s">
        <v>14461</v>
      </c>
    </row>
    <row r="4149" spans="1:8" x14ac:dyDescent="0.25">
      <c r="A4149" s="112">
        <v>45559</v>
      </c>
      <c r="B4149" s="21" t="s">
        <v>12388</v>
      </c>
      <c r="C4149" s="13" t="s">
        <v>7947</v>
      </c>
      <c r="D4149" s="764"/>
      <c r="E4149" s="22"/>
      <c r="F4149" s="19">
        <v>95999</v>
      </c>
      <c r="G4149" s="14">
        <f t="shared" si="93"/>
        <v>-95999</v>
      </c>
      <c r="H4149" s="1180"/>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285" t="s">
        <v>14457</v>
      </c>
      <c r="E4153" s="22">
        <v>1762383</v>
      </c>
      <c r="F4153" s="111"/>
      <c r="G4153" s="14">
        <f t="shared" si="93"/>
        <v>1762383</v>
      </c>
      <c r="H4153" s="1179" t="s">
        <v>9314</v>
      </c>
    </row>
    <row r="4154" spans="1:8" x14ac:dyDescent="0.25">
      <c r="A4154" s="112">
        <v>45561</v>
      </c>
      <c r="B4154" s="21" t="s">
        <v>13098</v>
      </c>
      <c r="C4154" s="13" t="s">
        <v>7947</v>
      </c>
      <c r="D4154" s="1286"/>
      <c r="E4154" s="22">
        <v>495000</v>
      </c>
      <c r="F4154" s="111"/>
      <c r="G4154" s="14">
        <f t="shared" si="93"/>
        <v>495000</v>
      </c>
      <c r="H4154" s="1180"/>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00" t="s">
        <v>14444</v>
      </c>
    </row>
    <row r="4164" spans="1:9" x14ac:dyDescent="0.25">
      <c r="A4164" s="112">
        <v>45566</v>
      </c>
      <c r="B4164" s="21" t="s">
        <v>13213</v>
      </c>
      <c r="C4164" s="13" t="s">
        <v>1062</v>
      </c>
      <c r="D4164" s="764"/>
      <c r="E4164" s="22"/>
      <c r="F4164" s="19">
        <v>50000</v>
      </c>
      <c r="G4164" s="782">
        <f>E4164-F4164</f>
        <v>-50000</v>
      </c>
      <c r="H4164" s="1201"/>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183" t="s">
        <v>14420</v>
      </c>
    </row>
    <row r="4167" spans="1:9" x14ac:dyDescent="0.25">
      <c r="A4167" s="112">
        <v>45567</v>
      </c>
      <c r="B4167" s="21" t="s">
        <v>12783</v>
      </c>
      <c r="C4167" s="13" t="s">
        <v>166</v>
      </c>
      <c r="D4167" s="764"/>
      <c r="E4167" s="781"/>
      <c r="F4167" s="141">
        <v>13324</v>
      </c>
      <c r="G4167" s="782">
        <f t="shared" si="93"/>
        <v>-13324</v>
      </c>
      <c r="H4167" s="1184"/>
    </row>
    <row r="4168" spans="1:9" x14ac:dyDescent="0.25">
      <c r="A4168" s="112">
        <v>45567</v>
      </c>
      <c r="B4168" s="21" t="s">
        <v>12388</v>
      </c>
      <c r="C4168" s="13" t="s">
        <v>166</v>
      </c>
      <c r="D4168" s="764"/>
      <c r="E4168" s="781"/>
      <c r="F4168" s="141">
        <v>127755</v>
      </c>
      <c r="G4168" s="782">
        <f t="shared" si="93"/>
        <v>-127755</v>
      </c>
      <c r="H4168" s="1184"/>
    </row>
    <row r="4169" spans="1:9" x14ac:dyDescent="0.25">
      <c r="A4169" s="112">
        <v>45567</v>
      </c>
      <c r="B4169" s="21" t="s">
        <v>13213</v>
      </c>
      <c r="C4169" s="13" t="s">
        <v>166</v>
      </c>
      <c r="D4169" s="764"/>
      <c r="E4169" s="781"/>
      <c r="F4169" s="141">
        <v>51167</v>
      </c>
      <c r="G4169" s="782">
        <f t="shared" si="93"/>
        <v>-51167</v>
      </c>
      <c r="H4169" s="1184"/>
    </row>
    <row r="4170" spans="1:9" x14ac:dyDescent="0.25">
      <c r="A4170" s="112">
        <v>45567</v>
      </c>
      <c r="B4170" s="21" t="s">
        <v>13417</v>
      </c>
      <c r="C4170" s="13" t="s">
        <v>166</v>
      </c>
      <c r="D4170" s="764"/>
      <c r="E4170" s="781"/>
      <c r="F4170" s="141">
        <v>148964</v>
      </c>
      <c r="G4170" s="782">
        <f t="shared" si="93"/>
        <v>-148964</v>
      </c>
      <c r="H4170" s="1184"/>
    </row>
    <row r="4171" spans="1:9" ht="16.5" thickBot="1" x14ac:dyDescent="0.3">
      <c r="A4171" s="112">
        <v>45567</v>
      </c>
      <c r="B4171" s="21" t="s">
        <v>13519</v>
      </c>
      <c r="C4171" s="13" t="s">
        <v>166</v>
      </c>
      <c r="D4171" s="764"/>
      <c r="E4171" s="781"/>
      <c r="F4171" s="784">
        <v>152500</v>
      </c>
      <c r="G4171" s="782">
        <f t="shared" si="93"/>
        <v>-152500</v>
      </c>
      <c r="H4171" s="1185"/>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191" t="s">
        <v>14479</v>
      </c>
    </row>
    <row r="4190" spans="1:9" x14ac:dyDescent="0.25">
      <c r="A4190" s="112">
        <v>45568</v>
      </c>
      <c r="B4190" s="21" t="s">
        <v>12783</v>
      </c>
      <c r="C4190" s="13" t="s">
        <v>164</v>
      </c>
      <c r="D4190" s="764"/>
      <c r="E4190" s="781"/>
      <c r="F4190" s="141">
        <v>8321</v>
      </c>
      <c r="G4190" s="782">
        <f t="shared" si="93"/>
        <v>-8321</v>
      </c>
      <c r="H4190" s="1192"/>
    </row>
    <row r="4191" spans="1:9" x14ac:dyDescent="0.25">
      <c r="A4191" s="112">
        <v>45568</v>
      </c>
      <c r="B4191" s="21" t="s">
        <v>12388</v>
      </c>
      <c r="C4191" s="13" t="s">
        <v>164</v>
      </c>
      <c r="D4191" s="764"/>
      <c r="E4191" s="781"/>
      <c r="F4191" s="141">
        <v>24631</v>
      </c>
      <c r="G4191" s="782">
        <f t="shared" si="93"/>
        <v>-24631</v>
      </c>
      <c r="H4191" s="1192"/>
    </row>
    <row r="4192" spans="1:9" x14ac:dyDescent="0.25">
      <c r="A4192" s="112">
        <v>45568</v>
      </c>
      <c r="B4192" s="21" t="s">
        <v>12671</v>
      </c>
      <c r="C4192" s="13" t="s">
        <v>164</v>
      </c>
      <c r="D4192" s="764"/>
      <c r="E4192" s="781"/>
      <c r="F4192" s="141">
        <v>9919</v>
      </c>
      <c r="G4192" s="782">
        <f t="shared" si="93"/>
        <v>-9919</v>
      </c>
      <c r="H4192" s="1192"/>
    </row>
    <row r="4193" spans="1:8" x14ac:dyDescent="0.25">
      <c r="A4193" s="112">
        <v>45568</v>
      </c>
      <c r="B4193" s="21" t="s">
        <v>13278</v>
      </c>
      <c r="C4193" s="13" t="s">
        <v>164</v>
      </c>
      <c r="D4193" s="764"/>
      <c r="E4193" s="781"/>
      <c r="F4193" s="141">
        <v>7348</v>
      </c>
      <c r="G4193" s="782">
        <f t="shared" si="93"/>
        <v>-7348</v>
      </c>
      <c r="H4193" s="1192"/>
    </row>
    <row r="4194" spans="1:8" ht="16.5" thickBot="1" x14ac:dyDescent="0.3">
      <c r="A4194" s="112">
        <v>45568</v>
      </c>
      <c r="B4194" s="21" t="s">
        <v>13417</v>
      </c>
      <c r="C4194" s="13" t="s">
        <v>164</v>
      </c>
      <c r="D4194" s="764"/>
      <c r="E4194" s="781"/>
      <c r="F4194" s="784">
        <v>54379</v>
      </c>
      <c r="G4194" s="782">
        <f t="shared" si="93"/>
        <v>-54379</v>
      </c>
      <c r="H4194" s="1193"/>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179" t="s">
        <v>14554</v>
      </c>
    </row>
    <row r="4208" spans="1:8" x14ac:dyDescent="0.25">
      <c r="A4208" s="112">
        <v>45573</v>
      </c>
      <c r="B4208" s="21" t="s">
        <v>8864</v>
      </c>
      <c r="C4208" s="13" t="s">
        <v>8384</v>
      </c>
      <c r="D4208" s="764"/>
      <c r="E4208" s="781"/>
      <c r="F4208" s="141">
        <v>10256</v>
      </c>
      <c r="G4208" s="782">
        <f t="shared" si="93"/>
        <v>-10256</v>
      </c>
      <c r="H4208" s="1188"/>
    </row>
    <row r="4209" spans="1:8" x14ac:dyDescent="0.25">
      <c r="A4209" s="112">
        <v>45573</v>
      </c>
      <c r="B4209" s="21" t="s">
        <v>12171</v>
      </c>
      <c r="C4209" s="13" t="s">
        <v>8384</v>
      </c>
      <c r="D4209" s="764"/>
      <c r="E4209" s="781"/>
      <c r="F4209" s="141">
        <v>6195</v>
      </c>
      <c r="G4209" s="782">
        <f t="shared" si="93"/>
        <v>-6195</v>
      </c>
      <c r="H4209" s="1188"/>
    </row>
    <row r="4210" spans="1:8" x14ac:dyDescent="0.25">
      <c r="A4210" s="112">
        <v>45573</v>
      </c>
      <c r="B4210" s="21" t="s">
        <v>12594</v>
      </c>
      <c r="C4210" s="13" t="s">
        <v>8384</v>
      </c>
      <c r="D4210" s="764"/>
      <c r="E4210" s="781"/>
      <c r="F4210" s="141">
        <v>313443</v>
      </c>
      <c r="G4210" s="782">
        <f t="shared" si="93"/>
        <v>-313443</v>
      </c>
      <c r="H4210" s="1188"/>
    </row>
    <row r="4211" spans="1:8" x14ac:dyDescent="0.25">
      <c r="A4211" s="112">
        <v>45573</v>
      </c>
      <c r="B4211" s="21" t="s">
        <v>12783</v>
      </c>
      <c r="C4211" s="13" t="s">
        <v>8384</v>
      </c>
      <c r="D4211" s="764"/>
      <c r="E4211" s="781"/>
      <c r="F4211" s="141">
        <v>53024</v>
      </c>
      <c r="G4211" s="782">
        <f t="shared" si="93"/>
        <v>-53024</v>
      </c>
      <c r="H4211" s="1188"/>
    </row>
    <row r="4212" spans="1:8" x14ac:dyDescent="0.25">
      <c r="A4212" s="112">
        <v>45573</v>
      </c>
      <c r="B4212" s="21" t="s">
        <v>13098</v>
      </c>
      <c r="C4212" s="13" t="s">
        <v>8384</v>
      </c>
      <c r="D4212" s="764"/>
      <c r="E4212" s="781"/>
      <c r="F4212" s="141">
        <v>212787</v>
      </c>
      <c r="G4212" s="782">
        <f t="shared" si="93"/>
        <v>-212787</v>
      </c>
      <c r="H4212" s="1188"/>
    </row>
    <row r="4213" spans="1:8" x14ac:dyDescent="0.25">
      <c r="A4213" s="112">
        <v>45573</v>
      </c>
      <c r="B4213" s="21" t="s">
        <v>13240</v>
      </c>
      <c r="C4213" s="13" t="s">
        <v>8384</v>
      </c>
      <c r="D4213" s="764"/>
      <c r="E4213" s="781"/>
      <c r="F4213" s="141">
        <v>60287</v>
      </c>
      <c r="G4213" s="782">
        <f t="shared" si="93"/>
        <v>-60287</v>
      </c>
      <c r="H4213" s="1188"/>
    </row>
    <row r="4214" spans="1:8" x14ac:dyDescent="0.25">
      <c r="A4214" s="112">
        <v>45573</v>
      </c>
      <c r="B4214" s="21" t="s">
        <v>13213</v>
      </c>
      <c r="C4214" s="13" t="s">
        <v>8384</v>
      </c>
      <c r="D4214" s="764"/>
      <c r="E4214" s="781"/>
      <c r="F4214" s="141">
        <v>127621</v>
      </c>
      <c r="G4214" s="782">
        <f t="shared" si="93"/>
        <v>-127621</v>
      </c>
      <c r="H4214" s="1188"/>
    </row>
    <row r="4215" spans="1:8" x14ac:dyDescent="0.25">
      <c r="A4215" s="112">
        <v>45573</v>
      </c>
      <c r="B4215" s="21" t="s">
        <v>13475</v>
      </c>
      <c r="C4215" s="13" t="s">
        <v>8384</v>
      </c>
      <c r="D4215" s="764"/>
      <c r="E4215" s="781"/>
      <c r="F4215" s="141">
        <v>15601</v>
      </c>
      <c r="G4215" s="782">
        <f t="shared" si="93"/>
        <v>-15601</v>
      </c>
      <c r="H4215" s="1188"/>
    </row>
    <row r="4216" spans="1:8" x14ac:dyDescent="0.25">
      <c r="A4216" s="112">
        <v>45573</v>
      </c>
      <c r="B4216" s="21" t="s">
        <v>13279</v>
      </c>
      <c r="C4216" s="13" t="s">
        <v>8384</v>
      </c>
      <c r="D4216" s="764"/>
      <c r="E4216" s="781"/>
      <c r="F4216" s="141">
        <v>40000</v>
      </c>
      <c r="G4216" s="782">
        <f t="shared" si="93"/>
        <v>-40000</v>
      </c>
      <c r="H4216" s="1188"/>
    </row>
    <row r="4217" spans="1:8" x14ac:dyDescent="0.25">
      <c r="A4217" s="112">
        <v>45573</v>
      </c>
      <c r="B4217" s="21" t="s">
        <v>13636</v>
      </c>
      <c r="C4217" s="13" t="s">
        <v>8384</v>
      </c>
      <c r="D4217" s="764"/>
      <c r="E4217" s="781"/>
      <c r="F4217" s="141">
        <v>44559</v>
      </c>
      <c r="G4217" s="782">
        <f t="shared" si="93"/>
        <v>-44559</v>
      </c>
      <c r="H4217" s="1188"/>
    </row>
    <row r="4218" spans="1:8" x14ac:dyDescent="0.25">
      <c r="A4218" s="112">
        <v>45573</v>
      </c>
      <c r="B4218" s="21" t="s">
        <v>13278</v>
      </c>
      <c r="C4218" s="13" t="s">
        <v>8384</v>
      </c>
      <c r="D4218" s="764"/>
      <c r="E4218" s="781"/>
      <c r="F4218" s="141">
        <v>39181</v>
      </c>
      <c r="G4218" s="782">
        <f t="shared" si="93"/>
        <v>-39181</v>
      </c>
      <c r="H4218" s="1188"/>
    </row>
    <row r="4219" spans="1:8" x14ac:dyDescent="0.25">
      <c r="A4219" s="112">
        <v>45573</v>
      </c>
      <c r="B4219" s="21" t="s">
        <v>13935</v>
      </c>
      <c r="C4219" s="13" t="s">
        <v>8384</v>
      </c>
      <c r="D4219" s="764"/>
      <c r="E4219" s="781"/>
      <c r="F4219" s="141">
        <v>9340</v>
      </c>
      <c r="G4219" s="782">
        <f t="shared" si="93"/>
        <v>-9340</v>
      </c>
      <c r="H4219" s="1188"/>
    </row>
    <row r="4220" spans="1:8" ht="16.5" thickBot="1" x14ac:dyDescent="0.3">
      <c r="A4220" s="112">
        <v>45573</v>
      </c>
      <c r="B4220" s="21" t="s">
        <v>11068</v>
      </c>
      <c r="C4220" s="13" t="s">
        <v>8384</v>
      </c>
      <c r="D4220" s="764"/>
      <c r="E4220" s="781"/>
      <c r="F4220" s="784">
        <v>506136</v>
      </c>
      <c r="G4220" s="782">
        <f t="shared" si="93"/>
        <v>-506136</v>
      </c>
      <c r="H4220" s="1180"/>
    </row>
    <row r="4221" spans="1:8" x14ac:dyDescent="0.25">
      <c r="A4221" s="112">
        <v>45573</v>
      </c>
      <c r="B4221" s="21" t="s">
        <v>11068</v>
      </c>
      <c r="C4221" s="13" t="s">
        <v>13116</v>
      </c>
      <c r="D4221" s="764"/>
      <c r="E4221" s="781"/>
      <c r="F4221" s="151">
        <v>715771</v>
      </c>
      <c r="G4221" s="782">
        <f t="shared" si="93"/>
        <v>-715771</v>
      </c>
      <c r="H4221" s="1191" t="s">
        <v>14523</v>
      </c>
    </row>
    <row r="4222" spans="1:8" x14ac:dyDescent="0.25">
      <c r="A4222" s="112">
        <v>45573</v>
      </c>
      <c r="B4222" s="21" t="s">
        <v>10559</v>
      </c>
      <c r="C4222" s="13" t="s">
        <v>13116</v>
      </c>
      <c r="D4222" s="764"/>
      <c r="E4222" s="781"/>
      <c r="F4222" s="141">
        <v>60000</v>
      </c>
      <c r="G4222" s="782">
        <f t="shared" si="93"/>
        <v>-60000</v>
      </c>
      <c r="H4222" s="1192"/>
    </row>
    <row r="4223" spans="1:8" x14ac:dyDescent="0.25">
      <c r="A4223" s="112">
        <v>45573</v>
      </c>
      <c r="B4223" s="21" t="s">
        <v>12774</v>
      </c>
      <c r="C4223" s="13" t="s">
        <v>13116</v>
      </c>
      <c r="D4223" s="764"/>
      <c r="E4223" s="781"/>
      <c r="F4223" s="141">
        <v>80000</v>
      </c>
      <c r="G4223" s="782">
        <f t="shared" si="93"/>
        <v>-80000</v>
      </c>
      <c r="H4223" s="1192"/>
    </row>
    <row r="4224" spans="1:8" x14ac:dyDescent="0.25">
      <c r="A4224" s="112">
        <v>45573</v>
      </c>
      <c r="B4224" s="21" t="s">
        <v>13279</v>
      </c>
      <c r="C4224" s="13" t="s">
        <v>13116</v>
      </c>
      <c r="D4224" s="764"/>
      <c r="E4224" s="781"/>
      <c r="F4224" s="141">
        <v>40000</v>
      </c>
      <c r="G4224" s="782">
        <f t="shared" si="93"/>
        <v>-40000</v>
      </c>
      <c r="H4224" s="1192"/>
    </row>
    <row r="4225" spans="1:8" x14ac:dyDescent="0.25">
      <c r="A4225" s="112">
        <v>45573</v>
      </c>
      <c r="B4225" s="21" t="s">
        <v>13278</v>
      </c>
      <c r="C4225" s="13" t="s">
        <v>13116</v>
      </c>
      <c r="D4225" s="764"/>
      <c r="E4225" s="781"/>
      <c r="F4225" s="141">
        <v>40000</v>
      </c>
      <c r="G4225" s="782">
        <f t="shared" si="93"/>
        <v>-40000</v>
      </c>
      <c r="H4225" s="1192"/>
    </row>
    <row r="4226" spans="1:8" x14ac:dyDescent="0.25">
      <c r="A4226" s="112">
        <v>45573</v>
      </c>
      <c r="B4226" s="21" t="s">
        <v>13904</v>
      </c>
      <c r="C4226" s="13" t="s">
        <v>13116</v>
      </c>
      <c r="D4226" s="764"/>
      <c r="E4226" s="781"/>
      <c r="F4226" s="141">
        <v>57229</v>
      </c>
      <c r="G4226" s="782">
        <f t="shared" si="93"/>
        <v>-57229</v>
      </c>
      <c r="H4226" s="1192"/>
    </row>
    <row r="4227" spans="1:8" ht="16.5" thickBot="1" x14ac:dyDescent="0.3">
      <c r="A4227" s="112">
        <v>45573</v>
      </c>
      <c r="B4227" s="21" t="s">
        <v>13297</v>
      </c>
      <c r="C4227" s="13" t="s">
        <v>13116</v>
      </c>
      <c r="D4227" s="764"/>
      <c r="E4227" s="781"/>
      <c r="F4227" s="784">
        <v>7000</v>
      </c>
      <c r="G4227" s="782">
        <f t="shared" si="93"/>
        <v>-7000</v>
      </c>
      <c r="H4227" s="1193"/>
    </row>
    <row r="4228" spans="1:8" x14ac:dyDescent="0.25">
      <c r="A4228" s="112">
        <v>45574</v>
      </c>
      <c r="B4228" s="21" t="s">
        <v>12251</v>
      </c>
      <c r="C4228" s="13" t="s">
        <v>169</v>
      </c>
      <c r="D4228" s="764"/>
      <c r="E4228" s="781"/>
      <c r="F4228" s="783">
        <v>5773</v>
      </c>
      <c r="G4228" s="782">
        <f t="shared" si="93"/>
        <v>-5773</v>
      </c>
      <c r="H4228" s="1179" t="s">
        <v>14531</v>
      </c>
    </row>
    <row r="4229" spans="1:8" x14ac:dyDescent="0.25">
      <c r="A4229" s="112">
        <v>45574</v>
      </c>
      <c r="B4229" s="21" t="s">
        <v>11068</v>
      </c>
      <c r="C4229" s="13" t="s">
        <v>169</v>
      </c>
      <c r="D4229" s="764"/>
      <c r="E4229" s="781"/>
      <c r="F4229" s="141">
        <v>199303</v>
      </c>
      <c r="G4229" s="782">
        <f t="shared" si="93"/>
        <v>-199303</v>
      </c>
      <c r="H4229" s="1188"/>
    </row>
    <row r="4230" spans="1:8" x14ac:dyDescent="0.25">
      <c r="A4230" s="112">
        <v>45574</v>
      </c>
      <c r="B4230" s="21" t="s">
        <v>10890</v>
      </c>
      <c r="C4230" s="13" t="s">
        <v>169</v>
      </c>
      <c r="D4230" s="764"/>
      <c r="E4230" s="781"/>
      <c r="F4230" s="141">
        <v>9908</v>
      </c>
      <c r="G4230" s="782">
        <f t="shared" si="93"/>
        <v>-9908</v>
      </c>
      <c r="H4230" s="1188"/>
    </row>
    <row r="4231" spans="1:8" x14ac:dyDescent="0.25">
      <c r="A4231" s="112">
        <v>45574</v>
      </c>
      <c r="B4231" s="21" t="s">
        <v>11864</v>
      </c>
      <c r="C4231" s="13" t="s">
        <v>169</v>
      </c>
      <c r="D4231" s="764"/>
      <c r="E4231" s="781"/>
      <c r="F4231" s="141">
        <v>2741</v>
      </c>
      <c r="G4231" s="782">
        <f t="shared" si="93"/>
        <v>-2741</v>
      </c>
      <c r="H4231" s="1188"/>
    </row>
    <row r="4232" spans="1:8" x14ac:dyDescent="0.25">
      <c r="A4232" s="112">
        <v>45574</v>
      </c>
      <c r="B4232" s="21" t="s">
        <v>13240</v>
      </c>
      <c r="C4232" s="13" t="s">
        <v>169</v>
      </c>
      <c r="D4232" s="764"/>
      <c r="E4232" s="781"/>
      <c r="F4232" s="141">
        <v>15025</v>
      </c>
      <c r="G4232" s="782">
        <f t="shared" si="93"/>
        <v>-15025</v>
      </c>
      <c r="H4232" s="1188"/>
    </row>
    <row r="4233" spans="1:8" ht="16.5" thickBot="1" x14ac:dyDescent="0.3">
      <c r="A4233" s="112">
        <v>45574</v>
      </c>
      <c r="B4233" s="21" t="s">
        <v>13213</v>
      </c>
      <c r="C4233" s="13" t="s">
        <v>169</v>
      </c>
      <c r="D4233" s="764"/>
      <c r="E4233" s="781"/>
      <c r="F4233" s="784">
        <v>67250</v>
      </c>
      <c r="G4233" s="782">
        <f t="shared" si="93"/>
        <v>-67250</v>
      </c>
      <c r="H4233" s="1180"/>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183" t="s">
        <v>14796</v>
      </c>
    </row>
    <row r="4307" spans="1:8" x14ac:dyDescent="0.25">
      <c r="A4307" s="112">
        <v>45595</v>
      </c>
      <c r="B4307" s="21" t="s">
        <v>13213</v>
      </c>
      <c r="C4307" s="13" t="s">
        <v>13276</v>
      </c>
      <c r="D4307" s="764"/>
      <c r="E4307" s="22"/>
      <c r="F4307" s="19">
        <f>273000-7531</f>
        <v>265469</v>
      </c>
      <c r="G4307" s="14">
        <f t="shared" si="95"/>
        <v>-265469</v>
      </c>
      <c r="H4307" s="1184"/>
    </row>
    <row r="4308" spans="1:8" x14ac:dyDescent="0.25">
      <c r="A4308" s="112">
        <v>45595</v>
      </c>
      <c r="B4308" s="21" t="s">
        <v>14539</v>
      </c>
      <c r="C4308" s="13" t="s">
        <v>13276</v>
      </c>
      <c r="D4308" s="764"/>
      <c r="E4308" s="22"/>
      <c r="F4308" s="19">
        <v>7531</v>
      </c>
      <c r="G4308" s="14">
        <f t="shared" si="95"/>
        <v>-7531</v>
      </c>
      <c r="H4308" s="1185"/>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179" t="s">
        <v>14885</v>
      </c>
    </row>
    <row r="4333" spans="1:8" x14ac:dyDescent="0.25">
      <c r="A4333" s="112">
        <v>45602</v>
      </c>
      <c r="B4333" s="21" t="s">
        <v>13213</v>
      </c>
      <c r="C4333" s="13" t="s">
        <v>1062</v>
      </c>
      <c r="D4333" s="764"/>
      <c r="E4333" s="22"/>
      <c r="F4333" s="19">
        <v>100000</v>
      </c>
      <c r="G4333" s="14">
        <f t="shared" si="95"/>
        <v>-100000</v>
      </c>
      <c r="H4333" s="1188"/>
    </row>
    <row r="4334" spans="1:8" x14ac:dyDescent="0.25">
      <c r="A4334" s="112">
        <v>45602</v>
      </c>
      <c r="B4334" s="21" t="s">
        <v>14568</v>
      </c>
      <c r="C4334" s="13" t="s">
        <v>1062</v>
      </c>
      <c r="D4334" s="764"/>
      <c r="E4334" s="22"/>
      <c r="F4334" s="19">
        <v>100000</v>
      </c>
      <c r="G4334" s="14">
        <f t="shared" si="95"/>
        <v>-100000</v>
      </c>
      <c r="H4334" s="1188"/>
    </row>
    <row r="4335" spans="1:8" x14ac:dyDescent="0.25">
      <c r="A4335" s="112">
        <v>45602</v>
      </c>
      <c r="B4335" s="21" t="s">
        <v>14351</v>
      </c>
      <c r="C4335" s="13" t="s">
        <v>1062</v>
      </c>
      <c r="D4335" s="764"/>
      <c r="E4335" s="22"/>
      <c r="F4335" s="19">
        <v>100000</v>
      </c>
      <c r="G4335" s="14">
        <f t="shared" si="95"/>
        <v>-100000</v>
      </c>
      <c r="H4335" s="1188"/>
    </row>
    <row r="4336" spans="1:8" x14ac:dyDescent="0.25">
      <c r="A4336" s="112">
        <v>45602</v>
      </c>
      <c r="B4336" s="21" t="s">
        <v>14232</v>
      </c>
      <c r="C4336" s="13" t="s">
        <v>1062</v>
      </c>
      <c r="D4336" s="764"/>
      <c r="E4336" s="22"/>
      <c r="F4336" s="19">
        <v>100000</v>
      </c>
      <c r="G4336" s="14">
        <f t="shared" si="95"/>
        <v>-100000</v>
      </c>
      <c r="H4336" s="1180"/>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179" t="s">
        <v>14903</v>
      </c>
    </row>
    <row r="4345" spans="1:8" x14ac:dyDescent="0.25">
      <c r="A4345" s="112">
        <v>45604</v>
      </c>
      <c r="B4345" s="21" t="s">
        <v>12671</v>
      </c>
      <c r="C4345" s="13" t="s">
        <v>8384</v>
      </c>
      <c r="D4345" s="764"/>
      <c r="E4345" s="22"/>
      <c r="F4345" s="19">
        <v>500000</v>
      </c>
      <c r="G4345" s="14">
        <f t="shared" si="95"/>
        <v>-500000</v>
      </c>
      <c r="H4345" s="1188"/>
    </row>
    <row r="4346" spans="1:8" x14ac:dyDescent="0.25">
      <c r="A4346" s="112">
        <v>45604</v>
      </c>
      <c r="B4346" s="21" t="s">
        <v>15260</v>
      </c>
      <c r="C4346" s="13" t="s">
        <v>8384</v>
      </c>
      <c r="D4346" s="764"/>
      <c r="E4346" s="22"/>
      <c r="F4346" s="19">
        <v>200000</v>
      </c>
      <c r="G4346" s="14">
        <f t="shared" si="95"/>
        <v>-200000</v>
      </c>
      <c r="H4346" s="1188"/>
    </row>
    <row r="4347" spans="1:8" x14ac:dyDescent="0.25">
      <c r="A4347" s="112">
        <v>45604</v>
      </c>
      <c r="B4347" s="21" t="s">
        <v>14568</v>
      </c>
      <c r="C4347" s="13" t="s">
        <v>8384</v>
      </c>
      <c r="D4347" s="764"/>
      <c r="E4347" s="22"/>
      <c r="F4347" s="19">
        <v>300000</v>
      </c>
      <c r="G4347" s="14">
        <f t="shared" si="95"/>
        <v>-300000</v>
      </c>
      <c r="H4347" s="1180"/>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189" t="s">
        <v>15002</v>
      </c>
    </row>
    <row r="4369" spans="1:8" x14ac:dyDescent="0.25">
      <c r="A4369" s="112">
        <v>45614</v>
      </c>
      <c r="B4369" s="21" t="s">
        <v>9344</v>
      </c>
      <c r="C4369" s="13" t="s">
        <v>12350</v>
      </c>
      <c r="D4369" s="764"/>
      <c r="E4369" s="781"/>
      <c r="F4369" s="141">
        <v>14000</v>
      </c>
      <c r="G4369" s="782">
        <f t="shared" si="95"/>
        <v>-14000</v>
      </c>
      <c r="H4369" s="1189"/>
    </row>
    <row r="4370" spans="1:8" x14ac:dyDescent="0.25">
      <c r="A4370" s="112">
        <v>45614</v>
      </c>
      <c r="B4370" s="21" t="s">
        <v>12388</v>
      </c>
      <c r="C4370" s="13" t="s">
        <v>12350</v>
      </c>
      <c r="D4370" s="764"/>
      <c r="E4370" s="781"/>
      <c r="F4370" s="141">
        <v>88000</v>
      </c>
      <c r="G4370" s="782">
        <f t="shared" si="95"/>
        <v>-88000</v>
      </c>
      <c r="H4370" s="1189"/>
    </row>
    <row r="4371" spans="1:8" x14ac:dyDescent="0.25">
      <c r="A4371" s="112">
        <v>45614</v>
      </c>
      <c r="B4371" s="21" t="s">
        <v>13098</v>
      </c>
      <c r="C4371" s="13" t="s">
        <v>12350</v>
      </c>
      <c r="D4371" s="764"/>
      <c r="E4371" s="781"/>
      <c r="F4371" s="141">
        <v>155162</v>
      </c>
      <c r="G4371" s="782">
        <f t="shared" si="95"/>
        <v>-155162</v>
      </c>
      <c r="H4371" s="1189"/>
    </row>
    <row r="4372" spans="1:8" x14ac:dyDescent="0.25">
      <c r="A4372" s="112">
        <v>45614</v>
      </c>
      <c r="B4372" s="21" t="s">
        <v>13240</v>
      </c>
      <c r="C4372" s="13" t="s">
        <v>12350</v>
      </c>
      <c r="D4372" s="764"/>
      <c r="E4372" s="781"/>
      <c r="F4372" s="141">
        <v>514260</v>
      </c>
      <c r="G4372" s="782">
        <f t="shared" ref="G4372:G4453" si="97">E4372-F4372</f>
        <v>-514260</v>
      </c>
      <c r="H4372" s="1189"/>
    </row>
    <row r="4373" spans="1:8" x14ac:dyDescent="0.25">
      <c r="A4373" s="112">
        <v>45614</v>
      </c>
      <c r="B4373" s="21" t="s">
        <v>13213</v>
      </c>
      <c r="C4373" s="13" t="s">
        <v>12350</v>
      </c>
      <c r="D4373" s="764"/>
      <c r="E4373" s="781"/>
      <c r="F4373" s="141">
        <v>721256</v>
      </c>
      <c r="G4373" s="782">
        <f t="shared" si="97"/>
        <v>-721256</v>
      </c>
      <c r="H4373" s="1189"/>
    </row>
    <row r="4374" spans="1:8" x14ac:dyDescent="0.25">
      <c r="A4374" s="112">
        <v>45614</v>
      </c>
      <c r="B4374" s="21" t="s">
        <v>13417</v>
      </c>
      <c r="C4374" s="13" t="s">
        <v>12350</v>
      </c>
      <c r="D4374" s="764"/>
      <c r="E4374" s="781"/>
      <c r="F4374" s="141">
        <v>738020</v>
      </c>
      <c r="G4374" s="782">
        <f t="shared" si="97"/>
        <v>-738020</v>
      </c>
      <c r="H4374" s="1189"/>
    </row>
    <row r="4375" spans="1:8" x14ac:dyDescent="0.25">
      <c r="A4375" s="112">
        <v>45614</v>
      </c>
      <c r="B4375" s="21" t="s">
        <v>13475</v>
      </c>
      <c r="C4375" s="13" t="s">
        <v>12350</v>
      </c>
      <c r="D4375" s="764"/>
      <c r="E4375" s="781"/>
      <c r="F4375" s="141">
        <v>13300</v>
      </c>
      <c r="G4375" s="782">
        <f t="shared" si="97"/>
        <v>-13300</v>
      </c>
      <c r="H4375" s="1189"/>
    </row>
    <row r="4376" spans="1:8" x14ac:dyDescent="0.25">
      <c r="A4376" s="112">
        <v>45614</v>
      </c>
      <c r="B4376" s="21" t="s">
        <v>13278</v>
      </c>
      <c r="C4376" s="13" t="s">
        <v>12350</v>
      </c>
      <c r="D4376" s="764"/>
      <c r="E4376" s="781"/>
      <c r="F4376" s="141">
        <v>15425</v>
      </c>
      <c r="G4376" s="782">
        <f t="shared" si="97"/>
        <v>-15425</v>
      </c>
      <c r="H4376" s="1189"/>
    </row>
    <row r="4377" spans="1:8" x14ac:dyDescent="0.25">
      <c r="A4377" s="112">
        <v>45614</v>
      </c>
      <c r="B4377" s="21" t="s">
        <v>11068</v>
      </c>
      <c r="C4377" s="13" t="s">
        <v>12350</v>
      </c>
      <c r="D4377" s="764"/>
      <c r="E4377" s="781"/>
      <c r="F4377" s="141">
        <v>233220</v>
      </c>
      <c r="G4377" s="782">
        <f t="shared" si="97"/>
        <v>-233220</v>
      </c>
      <c r="H4377" s="1189"/>
    </row>
    <row r="4378" spans="1:8" ht="16.5" thickBot="1" x14ac:dyDescent="0.3">
      <c r="A4378" s="112">
        <v>45614</v>
      </c>
      <c r="B4378" s="21" t="s">
        <v>12671</v>
      </c>
      <c r="C4378" s="13" t="s">
        <v>12350</v>
      </c>
      <c r="D4378" s="764"/>
      <c r="E4378" s="781"/>
      <c r="F4378" s="784">
        <v>465927</v>
      </c>
      <c r="G4378" s="782">
        <f t="shared" si="97"/>
        <v>-465927</v>
      </c>
      <c r="H4378" s="1190"/>
    </row>
    <row r="4379" spans="1:8" x14ac:dyDescent="0.25">
      <c r="A4379" s="112">
        <v>45614</v>
      </c>
      <c r="B4379" s="21" t="s">
        <v>13165</v>
      </c>
      <c r="C4379" s="13" t="s">
        <v>10472</v>
      </c>
      <c r="D4379" s="764"/>
      <c r="E4379" s="22"/>
      <c r="F4379" s="111">
        <v>856679</v>
      </c>
      <c r="G4379" s="14">
        <f t="shared" si="97"/>
        <v>-856679</v>
      </c>
      <c r="H4379" s="1194" t="s">
        <v>15003</v>
      </c>
    </row>
    <row r="4380" spans="1:8" x14ac:dyDescent="0.25">
      <c r="A4380" s="112">
        <v>45614</v>
      </c>
      <c r="B4380" s="21" t="s">
        <v>13297</v>
      </c>
      <c r="C4380" s="13" t="s">
        <v>10472</v>
      </c>
      <c r="D4380" s="764"/>
      <c r="E4380" s="22"/>
      <c r="F4380" s="19">
        <v>187222</v>
      </c>
      <c r="G4380" s="14">
        <f t="shared" si="97"/>
        <v>-187222</v>
      </c>
      <c r="H4380" s="1189"/>
    </row>
    <row r="4381" spans="1:8" x14ac:dyDescent="0.25">
      <c r="A4381" s="112">
        <v>45614</v>
      </c>
      <c r="B4381" s="21" t="s">
        <v>13904</v>
      </c>
      <c r="C4381" s="13" t="s">
        <v>10472</v>
      </c>
      <c r="D4381" s="764"/>
      <c r="E4381" s="22"/>
      <c r="F4381" s="19">
        <v>12500</v>
      </c>
      <c r="G4381" s="14">
        <f t="shared" si="97"/>
        <v>-12500</v>
      </c>
      <c r="H4381" s="1189"/>
    </row>
    <row r="4382" spans="1:8" x14ac:dyDescent="0.25">
      <c r="A4382" s="112">
        <v>45614</v>
      </c>
      <c r="B4382" s="21" t="s">
        <v>13279</v>
      </c>
      <c r="C4382" s="13" t="s">
        <v>10472</v>
      </c>
      <c r="D4382" s="764"/>
      <c r="E4382" s="22"/>
      <c r="F4382" s="19">
        <v>88000</v>
      </c>
      <c r="G4382" s="14">
        <f t="shared" si="97"/>
        <v>-88000</v>
      </c>
      <c r="H4382" s="1189"/>
    </row>
    <row r="4383" spans="1:8" x14ac:dyDescent="0.25">
      <c r="A4383" s="112">
        <v>45614</v>
      </c>
      <c r="B4383" s="21" t="s">
        <v>14009</v>
      </c>
      <c r="C4383" s="13" t="s">
        <v>10472</v>
      </c>
      <c r="D4383" s="764"/>
      <c r="E4383" s="22"/>
      <c r="F4383" s="19">
        <v>355599</v>
      </c>
      <c r="G4383" s="14">
        <f t="shared" si="97"/>
        <v>-355599</v>
      </c>
      <c r="H4383" s="1190"/>
    </row>
    <row r="4384" spans="1:8" x14ac:dyDescent="0.25">
      <c r="A4384" s="112">
        <v>45614</v>
      </c>
      <c r="B4384" s="21" t="s">
        <v>11068</v>
      </c>
      <c r="C4384" s="13" t="s">
        <v>13276</v>
      </c>
      <c r="D4384" s="764"/>
      <c r="E4384" s="22"/>
      <c r="F4384" s="19">
        <v>387688</v>
      </c>
      <c r="G4384" s="14">
        <f t="shared" si="97"/>
        <v>-387688</v>
      </c>
      <c r="H4384" s="1194" t="s">
        <v>15005</v>
      </c>
    </row>
    <row r="4385" spans="1:8" x14ac:dyDescent="0.25">
      <c r="A4385" s="112">
        <v>45614</v>
      </c>
      <c r="B4385" s="21" t="s">
        <v>14539</v>
      </c>
      <c r="C4385" s="13" t="s">
        <v>13276</v>
      </c>
      <c r="D4385" s="764"/>
      <c r="E4385" s="22"/>
      <c r="F4385" s="19">
        <v>50947</v>
      </c>
      <c r="G4385" s="14">
        <f t="shared" si="97"/>
        <v>-50947</v>
      </c>
      <c r="H4385" s="1189"/>
    </row>
    <row r="4386" spans="1:8" x14ac:dyDescent="0.25">
      <c r="A4386" s="112">
        <v>45614</v>
      </c>
      <c r="B4386" s="21" t="s">
        <v>14539</v>
      </c>
      <c r="C4386" s="13" t="s">
        <v>13276</v>
      </c>
      <c r="D4386" s="764"/>
      <c r="E4386" s="22"/>
      <c r="F4386" s="19">
        <v>27000</v>
      </c>
      <c r="G4386" s="14">
        <f t="shared" si="97"/>
        <v>-27000</v>
      </c>
      <c r="H4386" s="1189"/>
    </row>
    <row r="4387" spans="1:8" x14ac:dyDescent="0.25">
      <c r="A4387" s="112">
        <v>45614</v>
      </c>
      <c r="B4387" s="21" t="s">
        <v>13519</v>
      </c>
      <c r="C4387" s="13" t="s">
        <v>13276</v>
      </c>
      <c r="D4387" s="764"/>
      <c r="E4387" s="22"/>
      <c r="F4387" s="19">
        <v>16750</v>
      </c>
      <c r="G4387" s="14">
        <f t="shared" si="97"/>
        <v>-16750</v>
      </c>
      <c r="H4387" s="1189"/>
    </row>
    <row r="4388" spans="1:8" x14ac:dyDescent="0.25">
      <c r="A4388" s="112">
        <v>45614</v>
      </c>
      <c r="B4388" s="21" t="s">
        <v>14539</v>
      </c>
      <c r="C4388" s="13" t="s">
        <v>13276</v>
      </c>
      <c r="D4388" s="764"/>
      <c r="E4388" s="22"/>
      <c r="F4388" s="19">
        <v>278615</v>
      </c>
      <c r="G4388" s="14">
        <f t="shared" si="97"/>
        <v>-278615</v>
      </c>
      <c r="H4388" s="1189"/>
    </row>
    <row r="4389" spans="1:8" x14ac:dyDescent="0.25">
      <c r="A4389" s="112">
        <v>45614</v>
      </c>
      <c r="B4389" s="21" t="s">
        <v>15004</v>
      </c>
      <c r="C4389" s="13" t="s">
        <v>13276</v>
      </c>
      <c r="D4389" s="764"/>
      <c r="E4389" s="22"/>
      <c r="F4389" s="19">
        <v>39000</v>
      </c>
      <c r="G4389" s="14">
        <f t="shared" si="97"/>
        <v>-39000</v>
      </c>
      <c r="H4389" s="1190"/>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15955</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191" t="s">
        <v>15106</v>
      </c>
    </row>
    <row r="4416" spans="1:8" x14ac:dyDescent="0.25">
      <c r="A4416" s="112">
        <v>45623</v>
      </c>
      <c r="B4416" s="21" t="s">
        <v>12783</v>
      </c>
      <c r="C4416" s="13" t="s">
        <v>5680</v>
      </c>
      <c r="D4416" s="764"/>
      <c r="E4416" s="22"/>
      <c r="F4416" s="19">
        <v>67300</v>
      </c>
      <c r="G4416" s="14">
        <f t="shared" si="97"/>
        <v>-67300</v>
      </c>
      <c r="H4416" s="1192"/>
    </row>
    <row r="4417" spans="1:8" x14ac:dyDescent="0.25">
      <c r="A4417" s="112">
        <v>45623</v>
      </c>
      <c r="B4417" s="21" t="s">
        <v>11488</v>
      </c>
      <c r="C4417" s="13" t="s">
        <v>5680</v>
      </c>
      <c r="D4417" s="764"/>
      <c r="E4417" s="22"/>
      <c r="F4417" s="19">
        <v>6036</v>
      </c>
      <c r="G4417" s="14">
        <f t="shared" si="97"/>
        <v>-6036</v>
      </c>
      <c r="H4417" s="1193"/>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195" t="s">
        <v>15193</v>
      </c>
    </row>
    <row r="4434" spans="1:8" x14ac:dyDescent="0.25">
      <c r="A4434" s="112">
        <v>45635</v>
      </c>
      <c r="B4434" s="21" t="s">
        <v>12783</v>
      </c>
      <c r="C4434" s="13" t="s">
        <v>13116</v>
      </c>
      <c r="D4434" s="764"/>
      <c r="E4434" s="22"/>
      <c r="F4434" s="19">
        <v>100000</v>
      </c>
      <c r="G4434" s="14">
        <f t="shared" si="97"/>
        <v>-100000</v>
      </c>
      <c r="H4434" s="1196"/>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179" t="s">
        <v>15272</v>
      </c>
    </row>
    <row r="4443" spans="1:8" x14ac:dyDescent="0.25">
      <c r="A4443" s="112">
        <v>45638</v>
      </c>
      <c r="B4443" s="21" t="s">
        <v>14539</v>
      </c>
      <c r="C4443" s="13" t="s">
        <v>8384</v>
      </c>
      <c r="D4443" s="764"/>
      <c r="E4443" s="22"/>
      <c r="F4443" s="19">
        <v>200000</v>
      </c>
      <c r="G4443" s="14">
        <f t="shared" si="97"/>
        <v>-200000</v>
      </c>
      <c r="H4443" s="1188"/>
    </row>
    <row r="4444" spans="1:8" x14ac:dyDescent="0.25">
      <c r="A4444" s="112">
        <v>45638</v>
      </c>
      <c r="B4444" s="21" t="s">
        <v>11068</v>
      </c>
      <c r="C4444" s="13" t="s">
        <v>8384</v>
      </c>
      <c r="D4444" s="764"/>
      <c r="E4444" s="22"/>
      <c r="F4444" s="19">
        <v>100000</v>
      </c>
      <c r="G4444" s="14">
        <f t="shared" si="97"/>
        <v>-100000</v>
      </c>
      <c r="H4444" s="1180"/>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15806</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191" t="s">
        <v>15287</v>
      </c>
    </row>
    <row r="4449" spans="1:8" x14ac:dyDescent="0.25">
      <c r="A4449" s="112">
        <v>45643</v>
      </c>
      <c r="B4449" s="21" t="s">
        <v>14539</v>
      </c>
      <c r="C4449" s="13" t="s">
        <v>169</v>
      </c>
      <c r="D4449" s="764"/>
      <c r="E4449" s="22"/>
      <c r="F4449" s="109">
        <v>200000</v>
      </c>
      <c r="G4449" s="14">
        <f t="shared" si="97"/>
        <v>-200000</v>
      </c>
      <c r="H4449" s="1193"/>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c r="C4452" s="13" t="s">
        <v>164</v>
      </c>
      <c r="D4452" s="764" t="s">
        <v>15958</v>
      </c>
      <c r="E4452" s="781">
        <v>2551</v>
      </c>
      <c r="F4452" s="213"/>
      <c r="G4452" s="782">
        <f t="shared" si="98"/>
        <v>2551</v>
      </c>
      <c r="H4452" s="1176"/>
    </row>
    <row r="4453" spans="1:8" x14ac:dyDescent="0.25">
      <c r="A4453" s="112">
        <v>45645</v>
      </c>
      <c r="B4453" s="21" t="s">
        <v>12388</v>
      </c>
      <c r="C4453" s="13" t="s">
        <v>1062</v>
      </c>
      <c r="D4453" s="764"/>
      <c r="E4453" s="781"/>
      <c r="F4453" s="783">
        <v>50000</v>
      </c>
      <c r="G4453" s="782">
        <f t="shared" si="97"/>
        <v>-50000</v>
      </c>
      <c r="H4453" s="1191" t="s">
        <v>15332</v>
      </c>
    </row>
    <row r="4454" spans="1:8" x14ac:dyDescent="0.25">
      <c r="A4454" s="112">
        <v>45645</v>
      </c>
      <c r="B4454" s="21" t="s">
        <v>13165</v>
      </c>
      <c r="C4454" s="13" t="s">
        <v>1062</v>
      </c>
      <c r="D4454" s="764"/>
      <c r="E4454" s="781"/>
      <c r="F4454" s="141">
        <v>60000</v>
      </c>
      <c r="G4454" s="782">
        <f t="shared" ref="G4454:G4546" si="99">E4454-F4454</f>
        <v>-60000</v>
      </c>
      <c r="H4454" s="1188"/>
    </row>
    <row r="4455" spans="1:8" x14ac:dyDescent="0.25">
      <c r="A4455" s="112">
        <v>45645</v>
      </c>
      <c r="B4455" s="21" t="s">
        <v>14539</v>
      </c>
      <c r="C4455" s="13" t="s">
        <v>1062</v>
      </c>
      <c r="D4455" s="764"/>
      <c r="E4455" s="781"/>
      <c r="F4455" s="141">
        <v>60000</v>
      </c>
      <c r="G4455" s="782">
        <f t="shared" si="99"/>
        <v>-60000</v>
      </c>
      <c r="H4455" s="1188"/>
    </row>
    <row r="4456" spans="1:8" x14ac:dyDescent="0.25">
      <c r="A4456" s="112">
        <v>45645</v>
      </c>
      <c r="B4456" s="21" t="s">
        <v>14351</v>
      </c>
      <c r="C4456" s="13" t="s">
        <v>1062</v>
      </c>
      <c r="D4456" s="764"/>
      <c r="E4456" s="781"/>
      <c r="F4456" s="141">
        <v>150000</v>
      </c>
      <c r="G4456" s="782">
        <f t="shared" si="99"/>
        <v>-150000</v>
      </c>
      <c r="H4456" s="1188"/>
    </row>
    <row r="4457" spans="1:8" x14ac:dyDescent="0.25">
      <c r="A4457" s="112">
        <v>45645</v>
      </c>
      <c r="B4457" s="21" t="s">
        <v>14232</v>
      </c>
      <c r="C4457" s="13" t="s">
        <v>1062</v>
      </c>
      <c r="D4457" s="764"/>
      <c r="E4457" s="781"/>
      <c r="F4457" s="141">
        <v>100000</v>
      </c>
      <c r="G4457" s="782">
        <f t="shared" si="99"/>
        <v>-100000</v>
      </c>
      <c r="H4457" s="1188"/>
    </row>
    <row r="4458" spans="1:8" x14ac:dyDescent="0.25">
      <c r="A4458" s="112">
        <v>45645</v>
      </c>
      <c r="B4458" s="21" t="s">
        <v>15033</v>
      </c>
      <c r="C4458" s="13" t="s">
        <v>1062</v>
      </c>
      <c r="D4458" s="764"/>
      <c r="E4458" s="781"/>
      <c r="F4458" s="141">
        <v>50000</v>
      </c>
      <c r="G4458" s="782">
        <f t="shared" si="99"/>
        <v>-50000</v>
      </c>
      <c r="H4458" s="1188"/>
    </row>
    <row r="4459" spans="1:8" ht="16.5" thickBot="1" x14ac:dyDescent="0.3">
      <c r="A4459" s="112">
        <v>45645</v>
      </c>
      <c r="B4459" s="21" t="s">
        <v>11068</v>
      </c>
      <c r="C4459" s="13" t="s">
        <v>1062</v>
      </c>
      <c r="D4459" s="764"/>
      <c r="E4459" s="781"/>
      <c r="F4459" s="784">
        <v>30000</v>
      </c>
      <c r="G4459" s="782">
        <f t="shared" si="99"/>
        <v>-30000</v>
      </c>
      <c r="H4459" s="1180"/>
    </row>
    <row r="4460" spans="1:8" x14ac:dyDescent="0.25">
      <c r="A4460" s="112">
        <v>45645</v>
      </c>
      <c r="B4460" s="21" t="s">
        <v>10890</v>
      </c>
      <c r="C4460" s="13" t="s">
        <v>12457</v>
      </c>
      <c r="D4460" s="764"/>
      <c r="E4460" s="781"/>
      <c r="F4460" s="783">
        <v>50000</v>
      </c>
      <c r="G4460" s="782">
        <f t="shared" si="99"/>
        <v>-50000</v>
      </c>
      <c r="H4460" s="1183" t="s">
        <v>15334</v>
      </c>
    </row>
    <row r="4461" spans="1:8" x14ac:dyDescent="0.25">
      <c r="A4461" s="112">
        <v>45645</v>
      </c>
      <c r="B4461" s="21" t="s">
        <v>12388</v>
      </c>
      <c r="C4461" s="13" t="s">
        <v>12457</v>
      </c>
      <c r="D4461" s="764"/>
      <c r="E4461" s="781"/>
      <c r="F4461" s="141">
        <v>100000</v>
      </c>
      <c r="G4461" s="782">
        <f t="shared" si="99"/>
        <v>-100000</v>
      </c>
      <c r="H4461" s="1184"/>
    </row>
    <row r="4462" spans="1:8" x14ac:dyDescent="0.25">
      <c r="A4462" s="112">
        <v>45645</v>
      </c>
      <c r="B4462" s="21" t="s">
        <v>14539</v>
      </c>
      <c r="C4462" s="13" t="s">
        <v>12457</v>
      </c>
      <c r="D4462" s="764"/>
      <c r="E4462" s="781"/>
      <c r="F4462" s="141">
        <v>60000</v>
      </c>
      <c r="G4462" s="782">
        <f t="shared" si="99"/>
        <v>-60000</v>
      </c>
      <c r="H4462" s="1184"/>
    </row>
    <row r="4463" spans="1:8" ht="16.5" thickBot="1" x14ac:dyDescent="0.3">
      <c r="A4463" s="112">
        <v>45645</v>
      </c>
      <c r="B4463" s="21" t="s">
        <v>15257</v>
      </c>
      <c r="C4463" s="13" t="s">
        <v>12457</v>
      </c>
      <c r="D4463" s="764"/>
      <c r="E4463" s="781"/>
      <c r="F4463" s="784">
        <v>190000</v>
      </c>
      <c r="G4463" s="782">
        <f t="shared" si="99"/>
        <v>-190000</v>
      </c>
      <c r="H4463" s="1185"/>
    </row>
    <row r="4464" spans="1:8" x14ac:dyDescent="0.25">
      <c r="A4464" s="112">
        <v>45646</v>
      </c>
      <c r="B4464" s="21" t="s">
        <v>11068</v>
      </c>
      <c r="C4464" s="13" t="s">
        <v>166</v>
      </c>
      <c r="D4464" s="764"/>
      <c r="E4464" s="781"/>
      <c r="F4464" s="783">
        <v>117087</v>
      </c>
      <c r="G4464" s="782">
        <f t="shared" si="99"/>
        <v>-117087</v>
      </c>
      <c r="H4464" s="1179" t="s">
        <v>15351</v>
      </c>
    </row>
    <row r="4465" spans="1:8" x14ac:dyDescent="0.25">
      <c r="A4465" s="112">
        <v>45646</v>
      </c>
      <c r="B4465" s="21" t="s">
        <v>9344</v>
      </c>
      <c r="C4465" s="13" t="s">
        <v>166</v>
      </c>
      <c r="D4465" s="764"/>
      <c r="E4465" s="781"/>
      <c r="F4465" s="141">
        <v>6000</v>
      </c>
      <c r="G4465" s="782">
        <f t="shared" si="99"/>
        <v>-6000</v>
      </c>
      <c r="H4465" s="1188"/>
    </row>
    <row r="4466" spans="1:8" x14ac:dyDescent="0.25">
      <c r="A4466" s="112">
        <v>45646</v>
      </c>
      <c r="B4466" s="21" t="s">
        <v>12388</v>
      </c>
      <c r="C4466" s="13" t="s">
        <v>166</v>
      </c>
      <c r="D4466" s="764"/>
      <c r="E4466" s="781"/>
      <c r="F4466" s="141">
        <v>104064</v>
      </c>
      <c r="G4466" s="782">
        <f t="shared" si="99"/>
        <v>-104064</v>
      </c>
      <c r="H4466" s="1188"/>
    </row>
    <row r="4467" spans="1:8" x14ac:dyDescent="0.25">
      <c r="A4467" s="112">
        <v>45646</v>
      </c>
      <c r="B4467" s="21" t="s">
        <v>12671</v>
      </c>
      <c r="C4467" s="13" t="s">
        <v>166</v>
      </c>
      <c r="D4467" s="764"/>
      <c r="E4467" s="781"/>
      <c r="F4467" s="141">
        <v>87831</v>
      </c>
      <c r="G4467" s="782">
        <f t="shared" si="99"/>
        <v>-87831</v>
      </c>
      <c r="H4467" s="1188"/>
    </row>
    <row r="4468" spans="1:8" x14ac:dyDescent="0.25">
      <c r="A4468" s="112">
        <v>45646</v>
      </c>
      <c r="B4468" s="21" t="s">
        <v>13240</v>
      </c>
      <c r="C4468" s="13" t="s">
        <v>166</v>
      </c>
      <c r="D4468" s="764"/>
      <c r="E4468" s="781"/>
      <c r="F4468" s="141">
        <v>47250</v>
      </c>
      <c r="G4468" s="782">
        <f t="shared" si="99"/>
        <v>-47250</v>
      </c>
      <c r="H4468" s="1188"/>
    </row>
    <row r="4469" spans="1:8" x14ac:dyDescent="0.25">
      <c r="A4469" s="112">
        <v>45646</v>
      </c>
      <c r="B4469" s="21" t="s">
        <v>13165</v>
      </c>
      <c r="C4469" s="13" t="s">
        <v>166</v>
      </c>
      <c r="D4469" s="764"/>
      <c r="E4469" s="781"/>
      <c r="F4469" s="141">
        <v>30500</v>
      </c>
      <c r="G4469" s="782">
        <f t="shared" si="99"/>
        <v>-30500</v>
      </c>
      <c r="H4469" s="1188"/>
    </row>
    <row r="4470" spans="1:8" x14ac:dyDescent="0.25">
      <c r="A4470" s="112">
        <v>45646</v>
      </c>
      <c r="B4470" s="21" t="s">
        <v>13417</v>
      </c>
      <c r="C4470" s="13" t="s">
        <v>166</v>
      </c>
      <c r="D4470" s="764"/>
      <c r="E4470" s="781"/>
      <c r="F4470" s="141">
        <v>96058</v>
      </c>
      <c r="G4470" s="782">
        <f t="shared" si="99"/>
        <v>-96058</v>
      </c>
      <c r="H4470" s="1188"/>
    </row>
    <row r="4471" spans="1:8" x14ac:dyDescent="0.25">
      <c r="A4471" s="112">
        <v>45646</v>
      </c>
      <c r="B4471" s="21" t="s">
        <v>13278</v>
      </c>
      <c r="C4471" s="13" t="s">
        <v>166</v>
      </c>
      <c r="D4471" s="764"/>
      <c r="E4471" s="781"/>
      <c r="F4471" s="141">
        <v>4902</v>
      </c>
      <c r="G4471" s="782">
        <f t="shared" si="99"/>
        <v>-4902</v>
      </c>
      <c r="H4471" s="1188"/>
    </row>
    <row r="4472" spans="1:8" x14ac:dyDescent="0.25">
      <c r="A4472" s="112">
        <v>45646</v>
      </c>
      <c r="B4472" s="21" t="s">
        <v>14539</v>
      </c>
      <c r="C4472" s="13" t="s">
        <v>166</v>
      </c>
      <c r="D4472" s="764"/>
      <c r="E4472" s="781"/>
      <c r="F4472" s="141">
        <v>532568</v>
      </c>
      <c r="G4472" s="782">
        <f t="shared" si="99"/>
        <v>-532568</v>
      </c>
      <c r="H4472" s="1188"/>
    </row>
    <row r="4473" spans="1:8" x14ac:dyDescent="0.25">
      <c r="A4473" s="112">
        <v>45646</v>
      </c>
      <c r="B4473" s="21" t="s">
        <v>14351</v>
      </c>
      <c r="C4473" s="13" t="s">
        <v>166</v>
      </c>
      <c r="D4473" s="764"/>
      <c r="E4473" s="781"/>
      <c r="F4473" s="141">
        <v>42789</v>
      </c>
      <c r="G4473" s="782">
        <f t="shared" si="99"/>
        <v>-42789</v>
      </c>
      <c r="H4473" s="1188"/>
    </row>
    <row r="4474" spans="1:8" x14ac:dyDescent="0.25">
      <c r="A4474" s="112">
        <v>45646</v>
      </c>
      <c r="B4474" s="21" t="s">
        <v>14232</v>
      </c>
      <c r="C4474" s="13" t="s">
        <v>166</v>
      </c>
      <c r="D4474" s="764"/>
      <c r="E4474" s="781"/>
      <c r="F4474" s="141">
        <v>109721</v>
      </c>
      <c r="G4474" s="782">
        <f t="shared" si="99"/>
        <v>-109721</v>
      </c>
      <c r="H4474" s="1188"/>
    </row>
    <row r="4475" spans="1:8" x14ac:dyDescent="0.25">
      <c r="A4475" s="112">
        <v>45646</v>
      </c>
      <c r="B4475" s="21" t="s">
        <v>14329</v>
      </c>
      <c r="C4475" s="13" t="s">
        <v>166</v>
      </c>
      <c r="D4475" s="764"/>
      <c r="E4475" s="781"/>
      <c r="F4475" s="141">
        <v>5871</v>
      </c>
      <c r="G4475" s="782">
        <f t="shared" si="99"/>
        <v>-5871</v>
      </c>
      <c r="H4475" s="1188"/>
    </row>
    <row r="4476" spans="1:8" ht="16.5" thickBot="1" x14ac:dyDescent="0.3">
      <c r="A4476" s="112">
        <v>45646</v>
      </c>
      <c r="B4476" s="21" t="s">
        <v>14351</v>
      </c>
      <c r="C4476" s="13" t="s">
        <v>166</v>
      </c>
      <c r="D4476" s="764"/>
      <c r="E4476" s="781"/>
      <c r="F4476" s="784">
        <f>1300000-F4475-F4474-F4473-F4472-F4471-F4470-F4469-F4468-F4467-F4466-F4465-F4464</f>
        <v>115359</v>
      </c>
      <c r="G4476" s="782">
        <f t="shared" si="99"/>
        <v>-115359</v>
      </c>
      <c r="H4476" s="1180"/>
    </row>
    <row r="4477" spans="1:8" x14ac:dyDescent="0.25">
      <c r="A4477" s="112">
        <v>45646</v>
      </c>
      <c r="B4477" s="21" t="s">
        <v>6503</v>
      </c>
      <c r="C4477" s="13" t="s">
        <v>10472</v>
      </c>
      <c r="D4477" s="764"/>
      <c r="E4477" s="781"/>
      <c r="F4477" s="783">
        <v>194672</v>
      </c>
      <c r="G4477" s="782">
        <f t="shared" si="99"/>
        <v>-194672</v>
      </c>
      <c r="H4477" s="1179" t="s">
        <v>15352</v>
      </c>
    </row>
    <row r="4478" spans="1:8" x14ac:dyDescent="0.25">
      <c r="A4478" s="112">
        <v>45646</v>
      </c>
      <c r="B4478" s="21" t="s">
        <v>11068</v>
      </c>
      <c r="C4478" s="13" t="s">
        <v>10472</v>
      </c>
      <c r="D4478" s="764"/>
      <c r="E4478" s="781"/>
      <c r="F4478" s="141">
        <v>327067</v>
      </c>
      <c r="G4478" s="782">
        <f t="shared" si="99"/>
        <v>-327067</v>
      </c>
      <c r="H4478" s="1188"/>
    </row>
    <row r="4479" spans="1:8" x14ac:dyDescent="0.25">
      <c r="A4479" s="112">
        <v>45646</v>
      </c>
      <c r="B4479" s="21" t="s">
        <v>12783</v>
      </c>
      <c r="C4479" s="13" t="s">
        <v>10472</v>
      </c>
      <c r="D4479" s="764"/>
      <c r="E4479" s="781"/>
      <c r="F4479" s="141">
        <v>274418</v>
      </c>
      <c r="G4479" s="782">
        <f t="shared" si="99"/>
        <v>-274418</v>
      </c>
      <c r="H4479" s="1188"/>
    </row>
    <row r="4480" spans="1:8" x14ac:dyDescent="0.25">
      <c r="A4480" s="112">
        <v>45646</v>
      </c>
      <c r="B4480" s="21" t="s">
        <v>13519</v>
      </c>
      <c r="C4480" s="13" t="s">
        <v>10472</v>
      </c>
      <c r="D4480" s="764"/>
      <c r="E4480" s="781"/>
      <c r="F4480" s="141">
        <v>519055</v>
      </c>
      <c r="G4480" s="782">
        <f t="shared" si="99"/>
        <v>-519055</v>
      </c>
      <c r="H4480" s="1188"/>
    </row>
    <row r="4481" spans="1:8" ht="16.5" thickBot="1" x14ac:dyDescent="0.3">
      <c r="A4481" s="112">
        <v>45646</v>
      </c>
      <c r="B4481" s="21" t="s">
        <v>14351</v>
      </c>
      <c r="C4481" s="13" t="s">
        <v>10472</v>
      </c>
      <c r="D4481" s="764"/>
      <c r="E4481" s="781"/>
      <c r="F4481" s="784">
        <v>484788</v>
      </c>
      <c r="G4481" s="782">
        <f t="shared" si="99"/>
        <v>-484788</v>
      </c>
      <c r="H4481" s="1180"/>
    </row>
    <row r="4482" spans="1:8" x14ac:dyDescent="0.25">
      <c r="A4482" s="112">
        <v>45646</v>
      </c>
      <c r="B4482" s="21" t="s">
        <v>14232</v>
      </c>
      <c r="C4482" s="13" t="s">
        <v>7240</v>
      </c>
      <c r="D4482" s="764" t="s">
        <v>10245</v>
      </c>
      <c r="E4482" s="22">
        <v>29564</v>
      </c>
      <c r="F4482" s="111"/>
      <c r="G4482" s="782">
        <f t="shared" si="99"/>
        <v>29564</v>
      </c>
      <c r="H4482" s="13"/>
    </row>
    <row r="4483" spans="1:8" x14ac:dyDescent="0.25">
      <c r="A4483" s="112">
        <v>45646</v>
      </c>
      <c r="B4483" s="21" t="s">
        <v>14539</v>
      </c>
      <c r="C4483" s="13" t="s">
        <v>12350</v>
      </c>
      <c r="D4483" s="764" t="s">
        <v>15386</v>
      </c>
      <c r="E4483" s="22">
        <v>12200</v>
      </c>
      <c r="F4483" s="19"/>
      <c r="G4483" s="782">
        <f t="shared" si="99"/>
        <v>12200</v>
      </c>
      <c r="H4483" s="13"/>
    </row>
    <row r="4484" spans="1:8" x14ac:dyDescent="0.25">
      <c r="A4484" s="112">
        <v>45646</v>
      </c>
      <c r="B4484" s="21" t="s">
        <v>15033</v>
      </c>
      <c r="C4484" s="13" t="s">
        <v>1062</v>
      </c>
      <c r="D4484" s="764" t="s">
        <v>15388</v>
      </c>
      <c r="E4484" s="22">
        <v>2620</v>
      </c>
      <c r="F4484" s="19"/>
      <c r="G4484" s="782">
        <f t="shared" si="99"/>
        <v>2620</v>
      </c>
      <c r="H4484" s="13"/>
    </row>
    <row r="4485" spans="1:8" x14ac:dyDescent="0.25">
      <c r="A4485" s="112">
        <v>45646</v>
      </c>
      <c r="B4485" s="21" t="s">
        <v>6503</v>
      </c>
      <c r="C4485" s="13" t="s">
        <v>10472</v>
      </c>
      <c r="D4485" s="764" t="s">
        <v>15620</v>
      </c>
      <c r="E4485" s="22">
        <v>14400</v>
      </c>
      <c r="F4485" s="19"/>
      <c r="G4485" s="782">
        <f t="shared" si="99"/>
        <v>14400</v>
      </c>
      <c r="H4485" s="13"/>
    </row>
    <row r="4486" spans="1:8" x14ac:dyDescent="0.25">
      <c r="A4486" s="112">
        <v>45647</v>
      </c>
      <c r="B4486" s="21" t="s">
        <v>15033</v>
      </c>
      <c r="C4486" s="13" t="s">
        <v>12350</v>
      </c>
      <c r="D4486" s="764" t="s">
        <v>15387</v>
      </c>
      <c r="E4486" s="22">
        <v>74000</v>
      </c>
      <c r="F4486" s="19"/>
      <c r="G4486" s="782">
        <f t="shared" si="99"/>
        <v>74000</v>
      </c>
      <c r="H4486" s="13"/>
    </row>
    <row r="4487" spans="1:8" x14ac:dyDescent="0.25">
      <c r="A4487" s="112">
        <v>45647</v>
      </c>
      <c r="B4487" s="21" t="s">
        <v>14539</v>
      </c>
      <c r="C4487" s="13" t="s">
        <v>166</v>
      </c>
      <c r="D4487" s="764" t="s">
        <v>15568</v>
      </c>
      <c r="E4487" s="22">
        <v>26400</v>
      </c>
      <c r="F4487" s="19"/>
      <c r="G4487" s="782">
        <f t="shared" si="99"/>
        <v>26400</v>
      </c>
      <c r="H4487" s="13"/>
    </row>
    <row r="4488" spans="1:8" x14ac:dyDescent="0.25">
      <c r="A4488" s="112">
        <v>45649</v>
      </c>
      <c r="B4488" s="21" t="s">
        <v>15033</v>
      </c>
      <c r="C4488" s="13" t="s">
        <v>13276</v>
      </c>
      <c r="D4488" s="764" t="s">
        <v>15398</v>
      </c>
      <c r="E4488" s="22">
        <v>36970</v>
      </c>
      <c r="F4488" s="19"/>
      <c r="G4488" s="782">
        <f>E4488-F4488</f>
        <v>36970</v>
      </c>
      <c r="H4488" s="13"/>
    </row>
    <row r="4489" spans="1:8" x14ac:dyDescent="0.25">
      <c r="A4489" s="112">
        <v>45649</v>
      </c>
      <c r="B4489" s="21" t="s">
        <v>14539</v>
      </c>
      <c r="C4489" s="13" t="s">
        <v>8384</v>
      </c>
      <c r="D4489" s="764" t="s">
        <v>15555</v>
      </c>
      <c r="E4489" s="22">
        <v>80867</v>
      </c>
      <c r="F4489" s="19"/>
      <c r="G4489" s="782">
        <f>E4489-F4489</f>
        <v>80867</v>
      </c>
      <c r="H4489" s="53"/>
    </row>
    <row r="4490" spans="1:8" x14ac:dyDescent="0.25">
      <c r="A4490" s="112">
        <v>45652</v>
      </c>
      <c r="B4490" s="21" t="s">
        <v>15400</v>
      </c>
      <c r="C4490" s="13" t="s">
        <v>13276</v>
      </c>
      <c r="D4490" s="764" t="s">
        <v>15399</v>
      </c>
      <c r="E4490" s="22">
        <v>88450</v>
      </c>
      <c r="F4490" s="19"/>
      <c r="G4490" s="782">
        <f>E4490-F4490</f>
        <v>88450</v>
      </c>
      <c r="H4490" s="53"/>
    </row>
    <row r="4491" spans="1:8" x14ac:dyDescent="0.25">
      <c r="A4491" s="112">
        <v>45652</v>
      </c>
      <c r="B4491" s="21" t="s">
        <v>6503</v>
      </c>
      <c r="C4491" s="13" t="s">
        <v>10472</v>
      </c>
      <c r="D4491" s="764" t="s">
        <v>15622</v>
      </c>
      <c r="E4491" s="22">
        <v>92400</v>
      </c>
      <c r="F4491" s="19"/>
      <c r="G4491" s="782">
        <f>E4491-F4491</f>
        <v>92400</v>
      </c>
      <c r="H4491" s="53"/>
    </row>
    <row r="4492" spans="1:8" x14ac:dyDescent="0.25">
      <c r="A4492" s="112">
        <v>45653</v>
      </c>
      <c r="B4492" s="21" t="s">
        <v>12388</v>
      </c>
      <c r="C4492" s="13" t="s">
        <v>7240</v>
      </c>
      <c r="D4492" s="764"/>
      <c r="E4492" s="22"/>
      <c r="F4492" s="19">
        <v>400000</v>
      </c>
      <c r="G4492" s="782">
        <f t="shared" si="99"/>
        <v>-400000</v>
      </c>
      <c r="H4492" s="1179" t="s">
        <v>15394</v>
      </c>
    </row>
    <row r="4493" spans="1:8" x14ac:dyDescent="0.25">
      <c r="A4493" s="112">
        <v>45653</v>
      </c>
      <c r="B4493" s="21" t="s">
        <v>14232</v>
      </c>
      <c r="C4493" s="13" t="s">
        <v>7240</v>
      </c>
      <c r="D4493" s="764"/>
      <c r="E4493" s="22"/>
      <c r="F4493" s="19">
        <v>400000</v>
      </c>
      <c r="G4493" s="782">
        <f t="shared" si="99"/>
        <v>-400000</v>
      </c>
      <c r="H4493" s="1180"/>
    </row>
    <row r="4494" spans="1:8" x14ac:dyDescent="0.25">
      <c r="A4494" s="112">
        <v>45653</v>
      </c>
      <c r="B4494" s="21" t="s">
        <v>15257</v>
      </c>
      <c r="C4494" s="13" t="s">
        <v>7240</v>
      </c>
      <c r="D4494" s="764" t="s">
        <v>10246</v>
      </c>
      <c r="E4494" s="22">
        <v>66387</v>
      </c>
      <c r="F4494" s="109"/>
      <c r="G4494" s="782">
        <f t="shared" si="99"/>
        <v>66387</v>
      </c>
      <c r="H4494" s="342"/>
    </row>
    <row r="4495" spans="1:8" x14ac:dyDescent="0.25">
      <c r="A4495" s="112">
        <v>45653</v>
      </c>
      <c r="B4495" s="21" t="s">
        <v>11068</v>
      </c>
      <c r="C4495" s="13" t="s">
        <v>8384</v>
      </c>
      <c r="D4495" s="764" t="s">
        <v>15556</v>
      </c>
      <c r="E4495" s="22">
        <v>115792</v>
      </c>
      <c r="F4495" s="109"/>
      <c r="G4495" s="782">
        <f t="shared" si="99"/>
        <v>115792</v>
      </c>
      <c r="H4495" s="342"/>
    </row>
    <row r="4496" spans="1:8" x14ac:dyDescent="0.25">
      <c r="A4496" s="112">
        <v>45653</v>
      </c>
      <c r="B4496" s="21" t="s">
        <v>14351</v>
      </c>
      <c r="C4496" s="13" t="s">
        <v>8384</v>
      </c>
      <c r="D4496" s="764" t="s">
        <v>15557</v>
      </c>
      <c r="E4496" s="22">
        <v>95243</v>
      </c>
      <c r="F4496" s="109"/>
      <c r="G4496" s="782">
        <f t="shared" si="99"/>
        <v>95243</v>
      </c>
      <c r="H4496" s="342"/>
    </row>
    <row r="4497" spans="1:8" x14ac:dyDescent="0.25">
      <c r="A4497" s="112">
        <v>45653</v>
      </c>
      <c r="B4497" s="21" t="s">
        <v>14351</v>
      </c>
      <c r="C4497" s="13" t="s">
        <v>166</v>
      </c>
      <c r="D4497" s="764" t="s">
        <v>15569</v>
      </c>
      <c r="E4497" s="22">
        <v>16800</v>
      </c>
      <c r="F4497" s="109"/>
      <c r="G4497" s="782">
        <f t="shared" si="99"/>
        <v>16800</v>
      </c>
      <c r="H4497" s="342"/>
    </row>
    <row r="4498" spans="1:8" x14ac:dyDescent="0.25">
      <c r="A4498" s="112">
        <v>45653</v>
      </c>
      <c r="B4498" s="21" t="s">
        <v>14539</v>
      </c>
      <c r="C4498" s="13" t="s">
        <v>1062</v>
      </c>
      <c r="D4498" s="764" t="s">
        <v>15781</v>
      </c>
      <c r="E4498" s="22">
        <v>4850</v>
      </c>
      <c r="F4498" s="109"/>
      <c r="G4498" s="782">
        <f t="shared" si="99"/>
        <v>4850</v>
      </c>
      <c r="H4498" s="342"/>
    </row>
    <row r="4499" spans="1:8" x14ac:dyDescent="0.25">
      <c r="A4499" s="112">
        <v>45654</v>
      </c>
      <c r="B4499" s="21" t="s">
        <v>14232</v>
      </c>
      <c r="C4499" s="13" t="s">
        <v>12350</v>
      </c>
      <c r="D4499" s="764" t="s">
        <v>15561</v>
      </c>
      <c r="E4499" s="22">
        <v>31559</v>
      </c>
      <c r="F4499" s="109"/>
      <c r="G4499" s="782">
        <f t="shared" si="99"/>
        <v>31559</v>
      </c>
      <c r="H4499" s="342"/>
    </row>
    <row r="4500" spans="1:8" x14ac:dyDescent="0.25">
      <c r="A4500" s="112">
        <v>45654</v>
      </c>
      <c r="B4500" s="21" t="s">
        <v>13240</v>
      </c>
      <c r="C4500" s="13" t="s">
        <v>12350</v>
      </c>
      <c r="D4500" s="764" t="s">
        <v>15562</v>
      </c>
      <c r="E4500" s="22">
        <v>279000</v>
      </c>
      <c r="F4500" s="109"/>
      <c r="G4500" s="782">
        <f t="shared" si="99"/>
        <v>279000</v>
      </c>
      <c r="H4500" s="342"/>
    </row>
    <row r="4501" spans="1:8" x14ac:dyDescent="0.25">
      <c r="A4501" s="112">
        <v>45657</v>
      </c>
      <c r="B4501" s="21" t="s">
        <v>15338</v>
      </c>
      <c r="C4501" s="13" t="s">
        <v>166</v>
      </c>
      <c r="D4501" s="764" t="s">
        <v>15570</v>
      </c>
      <c r="E4501" s="22">
        <v>114000</v>
      </c>
      <c r="F4501" s="109"/>
      <c r="G4501" s="782">
        <f t="shared" si="99"/>
        <v>114000</v>
      </c>
      <c r="H4501" s="342"/>
    </row>
    <row r="4502" spans="1:8" x14ac:dyDescent="0.25">
      <c r="A4502" s="112">
        <v>45658</v>
      </c>
      <c r="B4502" s="21" t="s">
        <v>12671</v>
      </c>
      <c r="C4502" s="13" t="s">
        <v>12350</v>
      </c>
      <c r="D4502" s="764"/>
      <c r="E4502" s="22"/>
      <c r="F4502" s="19">
        <v>1000000</v>
      </c>
      <c r="G4502" s="782">
        <f t="shared" si="99"/>
        <v>-1000000</v>
      </c>
      <c r="H4502" s="13" t="s">
        <v>15411</v>
      </c>
    </row>
    <row r="4503" spans="1:8" x14ac:dyDescent="0.25">
      <c r="A4503" s="112">
        <v>45658</v>
      </c>
      <c r="B4503" s="21" t="s">
        <v>15260</v>
      </c>
      <c r="C4503" s="13" t="s">
        <v>10472</v>
      </c>
      <c r="D4503" s="764" t="s">
        <v>15621</v>
      </c>
      <c r="E4503" s="781">
        <v>130372</v>
      </c>
      <c r="F4503" s="19"/>
      <c r="G4503" s="782">
        <f t="shared" si="99"/>
        <v>130372</v>
      </c>
      <c r="H4503" s="53"/>
    </row>
    <row r="4504" spans="1:8" x14ac:dyDescent="0.25">
      <c r="A4504" s="112">
        <v>45658</v>
      </c>
      <c r="B4504" s="21" t="s">
        <v>14232</v>
      </c>
      <c r="C4504" s="13" t="s">
        <v>10472</v>
      </c>
      <c r="D4504" s="764" t="s">
        <v>15623</v>
      </c>
      <c r="E4504" s="781">
        <v>225259</v>
      </c>
      <c r="F4504" s="19"/>
      <c r="G4504" s="782">
        <f t="shared" si="99"/>
        <v>225259</v>
      </c>
      <c r="H4504" s="53"/>
    </row>
    <row r="4505" spans="1:8" x14ac:dyDescent="0.25">
      <c r="A4505" s="112">
        <v>45658</v>
      </c>
      <c r="B4505" s="21" t="s">
        <v>14232</v>
      </c>
      <c r="C4505" s="13" t="s">
        <v>10472</v>
      </c>
      <c r="D4505" s="764" t="s">
        <v>15624</v>
      </c>
      <c r="E4505" s="781">
        <v>182059</v>
      </c>
      <c r="F4505" s="19"/>
      <c r="G4505" s="782">
        <f t="shared" si="99"/>
        <v>182059</v>
      </c>
      <c r="H4505" s="53"/>
    </row>
    <row r="4506" spans="1:8" x14ac:dyDescent="0.25">
      <c r="A4506" s="112">
        <v>45658</v>
      </c>
      <c r="B4506" s="21" t="s">
        <v>15310</v>
      </c>
      <c r="C4506" s="13" t="s">
        <v>8384</v>
      </c>
      <c r="D4506" s="764" t="s">
        <v>15558</v>
      </c>
      <c r="E4506" s="781">
        <v>619227</v>
      </c>
      <c r="F4506" s="19"/>
      <c r="G4506" s="782">
        <f t="shared" si="99"/>
        <v>619227</v>
      </c>
      <c r="H4506" s="53"/>
    </row>
    <row r="4507" spans="1:8" x14ac:dyDescent="0.25">
      <c r="A4507" s="112">
        <v>45658</v>
      </c>
      <c r="B4507" s="21" t="s">
        <v>15260</v>
      </c>
      <c r="C4507" s="13" t="s">
        <v>1062</v>
      </c>
      <c r="D4507" s="764" t="s">
        <v>15782</v>
      </c>
      <c r="E4507" s="781">
        <v>18000</v>
      </c>
      <c r="F4507" s="19"/>
      <c r="G4507" s="782">
        <f t="shared" si="99"/>
        <v>18000</v>
      </c>
      <c r="H4507" s="53"/>
    </row>
    <row r="4508" spans="1:8" x14ac:dyDescent="0.25">
      <c r="A4508" s="112">
        <v>45659</v>
      </c>
      <c r="B4508" s="21" t="s">
        <v>14351</v>
      </c>
      <c r="C4508" s="13" t="s">
        <v>166</v>
      </c>
      <c r="D4508" s="764" t="s">
        <v>15571</v>
      </c>
      <c r="E4508" s="781">
        <v>233030</v>
      </c>
      <c r="F4508" s="19"/>
      <c r="G4508" s="782">
        <f t="shared" si="99"/>
        <v>233030</v>
      </c>
      <c r="H4508" s="53"/>
    </row>
    <row r="4509" spans="1:8" x14ac:dyDescent="0.25">
      <c r="A4509" s="112">
        <v>45659</v>
      </c>
      <c r="B4509" s="21" t="s">
        <v>13240</v>
      </c>
      <c r="C4509" s="13" t="s">
        <v>166</v>
      </c>
      <c r="D4509" s="764" t="s">
        <v>15572</v>
      </c>
      <c r="E4509" s="781">
        <v>17556</v>
      </c>
      <c r="F4509" s="19"/>
      <c r="G4509" s="782">
        <f t="shared" si="99"/>
        <v>17556</v>
      </c>
      <c r="H4509" s="53"/>
    </row>
    <row r="4510" spans="1:8" x14ac:dyDescent="0.25">
      <c r="A4510" s="112">
        <v>45659</v>
      </c>
      <c r="B4510" s="21" t="s">
        <v>15260</v>
      </c>
      <c r="C4510" s="13" t="s">
        <v>10472</v>
      </c>
      <c r="D4510" s="764" t="s">
        <v>15625</v>
      </c>
      <c r="E4510" s="781">
        <v>67886</v>
      </c>
      <c r="F4510" s="19"/>
      <c r="G4510" s="782">
        <f t="shared" si="99"/>
        <v>67886</v>
      </c>
      <c r="H4510" s="53"/>
    </row>
    <row r="4511" spans="1:8" x14ac:dyDescent="0.25">
      <c r="A4511" s="112">
        <v>45659</v>
      </c>
      <c r="B4511" s="21" t="s">
        <v>6503</v>
      </c>
      <c r="C4511" s="13" t="s">
        <v>10472</v>
      </c>
      <c r="D4511" s="764" t="s">
        <v>15619</v>
      </c>
      <c r="E4511" s="781">
        <v>120196</v>
      </c>
      <c r="F4511" s="19"/>
      <c r="G4511" s="782">
        <f t="shared" si="99"/>
        <v>120196</v>
      </c>
      <c r="H4511" s="53"/>
    </row>
    <row r="4512" spans="1:8" x14ac:dyDescent="0.25">
      <c r="A4512" s="112">
        <v>45661</v>
      </c>
      <c r="B4512" s="21" t="s">
        <v>15260</v>
      </c>
      <c r="C4512" s="13" t="s">
        <v>1062</v>
      </c>
      <c r="D4512" s="764" t="s">
        <v>15783</v>
      </c>
      <c r="E4512" s="781">
        <v>8700</v>
      </c>
      <c r="F4512" s="19"/>
      <c r="G4512" s="782">
        <f t="shared" si="99"/>
        <v>8700</v>
      </c>
      <c r="H4512" s="53"/>
    </row>
    <row r="4513" spans="1:8" x14ac:dyDescent="0.25">
      <c r="A4513" s="112">
        <v>45663</v>
      </c>
      <c r="B4513" s="21" t="s">
        <v>13240</v>
      </c>
      <c r="C4513" s="13" t="s">
        <v>12350</v>
      </c>
      <c r="D4513" s="764" t="s">
        <v>15563</v>
      </c>
      <c r="E4513" s="781">
        <v>285019</v>
      </c>
      <c r="F4513" s="19"/>
      <c r="G4513" s="782">
        <f t="shared" si="99"/>
        <v>285019</v>
      </c>
      <c r="H4513" s="53"/>
    </row>
    <row r="4514" spans="1:8" x14ac:dyDescent="0.25">
      <c r="A4514" s="112">
        <v>45663</v>
      </c>
      <c r="B4514" s="21" t="s">
        <v>14351</v>
      </c>
      <c r="C4514" s="13" t="s">
        <v>12350</v>
      </c>
      <c r="D4514" s="764" t="s">
        <v>15564</v>
      </c>
      <c r="E4514" s="781">
        <v>2634989</v>
      </c>
      <c r="F4514" s="19"/>
      <c r="G4514" s="782">
        <f t="shared" si="99"/>
        <v>2634989</v>
      </c>
      <c r="H4514" s="53"/>
    </row>
    <row r="4515" spans="1:8" x14ac:dyDescent="0.25">
      <c r="A4515" s="112">
        <v>45663</v>
      </c>
      <c r="B4515" s="21" t="s">
        <v>14351</v>
      </c>
      <c r="C4515" s="13" t="s">
        <v>166</v>
      </c>
      <c r="D4515" s="764" t="s">
        <v>15573</v>
      </c>
      <c r="E4515" s="781">
        <v>38000</v>
      </c>
      <c r="F4515" s="19"/>
      <c r="G4515" s="782">
        <f t="shared" si="99"/>
        <v>38000</v>
      </c>
      <c r="H4515" s="53"/>
    </row>
    <row r="4516" spans="1:8" x14ac:dyDescent="0.25">
      <c r="A4516" s="112">
        <v>45663</v>
      </c>
      <c r="B4516" s="21" t="s">
        <v>13240</v>
      </c>
      <c r="C4516" s="13" t="s">
        <v>166</v>
      </c>
      <c r="D4516" s="764" t="s">
        <v>15574</v>
      </c>
      <c r="E4516" s="781">
        <v>694</v>
      </c>
      <c r="F4516" s="19"/>
      <c r="G4516" s="782">
        <f t="shared" si="99"/>
        <v>694</v>
      </c>
      <c r="H4516" s="53"/>
    </row>
    <row r="4517" spans="1:8" x14ac:dyDescent="0.25">
      <c r="A4517" s="112">
        <v>45664</v>
      </c>
      <c r="B4517" s="21" t="s">
        <v>15338</v>
      </c>
      <c r="C4517" s="13" t="s">
        <v>166</v>
      </c>
      <c r="D4517" s="764" t="s">
        <v>15575</v>
      </c>
      <c r="E4517" s="781">
        <v>142500</v>
      </c>
      <c r="F4517" s="19"/>
      <c r="G4517" s="782">
        <f t="shared" si="99"/>
        <v>142500</v>
      </c>
      <c r="H4517" s="53"/>
    </row>
    <row r="4518" spans="1:8" x14ac:dyDescent="0.25">
      <c r="A4518" s="112">
        <v>45664</v>
      </c>
      <c r="B4518" s="21" t="s">
        <v>14232</v>
      </c>
      <c r="C4518" s="13" t="s">
        <v>12350</v>
      </c>
      <c r="D4518" s="764" t="s">
        <v>15567</v>
      </c>
      <c r="E4518" s="781">
        <v>29450</v>
      </c>
      <c r="F4518" s="19"/>
      <c r="G4518" s="782">
        <f t="shared" si="99"/>
        <v>29450</v>
      </c>
      <c r="H4518" s="53"/>
    </row>
    <row r="4519" spans="1:8" x14ac:dyDescent="0.25">
      <c r="A4519" s="112">
        <v>45664</v>
      </c>
      <c r="B4519" s="21" t="s">
        <v>13240</v>
      </c>
      <c r="C4519" s="13" t="s">
        <v>12350</v>
      </c>
      <c r="D4519" s="764" t="s">
        <v>15565</v>
      </c>
      <c r="E4519" s="781">
        <v>65322</v>
      </c>
      <c r="F4519" s="19"/>
      <c r="G4519" s="782">
        <f t="shared" si="99"/>
        <v>65322</v>
      </c>
      <c r="H4519" s="53"/>
    </row>
    <row r="4520" spans="1:8" ht="16.5" thickBot="1" x14ac:dyDescent="0.3">
      <c r="A4520" s="112">
        <v>45664</v>
      </c>
      <c r="B4520" s="21" t="s">
        <v>14351</v>
      </c>
      <c r="C4520" s="13" t="s">
        <v>12350</v>
      </c>
      <c r="D4520" s="764" t="s">
        <v>15566</v>
      </c>
      <c r="E4520" s="781">
        <v>37421</v>
      </c>
      <c r="F4520" s="19"/>
      <c r="G4520" s="782">
        <f t="shared" si="99"/>
        <v>37421</v>
      </c>
      <c r="H4520" s="53"/>
    </row>
    <row r="4521" spans="1:8" ht="15.75" customHeight="1" x14ac:dyDescent="0.25">
      <c r="A4521" s="112">
        <v>45664</v>
      </c>
      <c r="B4521" s="21" t="s">
        <v>13165</v>
      </c>
      <c r="C4521" s="13" t="s">
        <v>12350</v>
      </c>
      <c r="D4521" s="764"/>
      <c r="E4521" s="781"/>
      <c r="F4521" s="783">
        <v>952500</v>
      </c>
      <c r="G4521" s="782">
        <f t="shared" si="99"/>
        <v>-952500</v>
      </c>
      <c r="H4521" s="1191" t="s">
        <v>15453</v>
      </c>
    </row>
    <row r="4522" spans="1:8" x14ac:dyDescent="0.25">
      <c r="A4522" s="112">
        <v>45664</v>
      </c>
      <c r="B4522" s="21" t="s">
        <v>13240</v>
      </c>
      <c r="C4522" s="13" t="s">
        <v>12350</v>
      </c>
      <c r="D4522" s="764"/>
      <c r="E4522" s="781"/>
      <c r="F4522" s="141">
        <v>164100</v>
      </c>
      <c r="G4522" s="782">
        <f t="shared" si="99"/>
        <v>-164100</v>
      </c>
      <c r="H4522" s="1192"/>
    </row>
    <row r="4523" spans="1:8" x14ac:dyDescent="0.25">
      <c r="A4523" s="112">
        <v>45664</v>
      </c>
      <c r="B4523" s="21" t="s">
        <v>15033</v>
      </c>
      <c r="C4523" s="13" t="s">
        <v>12350</v>
      </c>
      <c r="D4523" s="764"/>
      <c r="E4523" s="781"/>
      <c r="F4523" s="141">
        <v>74000</v>
      </c>
      <c r="G4523" s="782">
        <f t="shared" si="99"/>
        <v>-74000</v>
      </c>
      <c r="H4523" s="1192"/>
    </row>
    <row r="4524" spans="1:8" x14ac:dyDescent="0.25">
      <c r="A4524" s="112">
        <v>45664</v>
      </c>
      <c r="B4524" s="21" t="s">
        <v>12671</v>
      </c>
      <c r="C4524" s="13" t="s">
        <v>12350</v>
      </c>
      <c r="D4524" s="764"/>
      <c r="E4524" s="781"/>
      <c r="F4524" s="141">
        <v>296217</v>
      </c>
      <c r="G4524" s="782">
        <f t="shared" si="99"/>
        <v>-296217</v>
      </c>
      <c r="H4524" s="1192"/>
    </row>
    <row r="4525" spans="1:8" ht="16.5" thickBot="1" x14ac:dyDescent="0.3">
      <c r="A4525" s="112">
        <v>45664</v>
      </c>
      <c r="B4525" s="21" t="s">
        <v>11068</v>
      </c>
      <c r="C4525" s="13" t="s">
        <v>12350</v>
      </c>
      <c r="D4525" s="764"/>
      <c r="E4525" s="781"/>
      <c r="F4525" s="784">
        <v>14683</v>
      </c>
      <c r="G4525" s="782">
        <f t="shared" si="99"/>
        <v>-14683</v>
      </c>
      <c r="H4525" s="1193"/>
    </row>
    <row r="4526" spans="1:8" x14ac:dyDescent="0.25">
      <c r="A4526" s="112">
        <v>45665</v>
      </c>
      <c r="B4526" s="21" t="s">
        <v>14351</v>
      </c>
      <c r="C4526" s="13" t="s">
        <v>164</v>
      </c>
      <c r="D4526" s="764" t="s">
        <v>15956</v>
      </c>
      <c r="E4526" s="781">
        <v>16448</v>
      </c>
      <c r="F4526" s="1142"/>
      <c r="G4526" s="782">
        <f t="shared" si="99"/>
        <v>16448</v>
      </c>
      <c r="H4526" s="1177"/>
    </row>
    <row r="4527" spans="1:8" x14ac:dyDescent="0.25">
      <c r="A4527" s="112">
        <v>45666</v>
      </c>
      <c r="B4527" s="21" t="s">
        <v>15400</v>
      </c>
      <c r="C4527" s="13" t="s">
        <v>7947</v>
      </c>
      <c r="D4527" s="764" t="s">
        <v>15804</v>
      </c>
      <c r="E4527" s="781">
        <v>1825026</v>
      </c>
      <c r="F4527" s="1142"/>
      <c r="G4527" s="782">
        <f t="shared" si="99"/>
        <v>1825026</v>
      </c>
      <c r="H4527" s="1168"/>
    </row>
    <row r="4528" spans="1:8" x14ac:dyDescent="0.25">
      <c r="A4528" s="112">
        <v>45667</v>
      </c>
      <c r="B4528" s="21" t="s">
        <v>15260</v>
      </c>
      <c r="C4528" s="13" t="s">
        <v>1062</v>
      </c>
      <c r="D4528" s="764" t="s">
        <v>15784</v>
      </c>
      <c r="E4528" s="781">
        <v>7650</v>
      </c>
      <c r="F4528" s="1142"/>
      <c r="G4528" s="782">
        <f t="shared" si="99"/>
        <v>7650</v>
      </c>
      <c r="H4528" s="1057"/>
    </row>
    <row r="4529" spans="1:8" x14ac:dyDescent="0.25">
      <c r="A4529" s="112">
        <v>45668</v>
      </c>
      <c r="B4529" s="21" t="s">
        <v>11068</v>
      </c>
      <c r="C4529" s="13" t="s">
        <v>8384</v>
      </c>
      <c r="D4529" s="764" t="s">
        <v>15615</v>
      </c>
      <c r="E4529" s="781">
        <v>152222</v>
      </c>
      <c r="F4529" s="19"/>
      <c r="G4529" s="782">
        <f t="shared" si="99"/>
        <v>152222</v>
      </c>
      <c r="H4529" s="1057"/>
    </row>
    <row r="4530" spans="1:8" x14ac:dyDescent="0.25">
      <c r="A4530" s="112">
        <v>45668</v>
      </c>
      <c r="B4530" s="21" t="s">
        <v>14351</v>
      </c>
      <c r="C4530" s="13" t="s">
        <v>8384</v>
      </c>
      <c r="D4530" s="764" t="s">
        <v>10667</v>
      </c>
      <c r="E4530" s="781">
        <v>168263</v>
      </c>
      <c r="F4530" s="19"/>
      <c r="G4530" s="782">
        <f t="shared" si="99"/>
        <v>168263</v>
      </c>
      <c r="H4530" s="1057"/>
    </row>
    <row r="4531" spans="1:8" ht="16.5" thickBot="1" x14ac:dyDescent="0.3">
      <c r="A4531" s="112">
        <v>45670</v>
      </c>
      <c r="B4531" s="21" t="s">
        <v>15338</v>
      </c>
      <c r="C4531" s="13" t="s">
        <v>7240</v>
      </c>
      <c r="D4531" s="764" t="s">
        <v>10247</v>
      </c>
      <c r="E4531" s="781">
        <v>1344573</v>
      </c>
      <c r="F4531" s="19"/>
      <c r="G4531" s="782">
        <f t="shared" si="99"/>
        <v>1344573</v>
      </c>
      <c r="H4531" s="1057"/>
    </row>
    <row r="4532" spans="1:8" x14ac:dyDescent="0.25">
      <c r="A4532" s="112">
        <v>45670</v>
      </c>
      <c r="B4532" s="21" t="s">
        <v>14596</v>
      </c>
      <c r="C4532" s="13" t="s">
        <v>8384</v>
      </c>
      <c r="D4532" s="764"/>
      <c r="E4532" s="781"/>
      <c r="F4532" s="783">
        <v>200000</v>
      </c>
      <c r="G4532" s="782">
        <f t="shared" si="99"/>
        <v>-200000</v>
      </c>
      <c r="H4532" s="1179" t="s">
        <v>15559</v>
      </c>
    </row>
    <row r="4533" spans="1:8" x14ac:dyDescent="0.25">
      <c r="A4533" s="112">
        <v>45670</v>
      </c>
      <c r="B4533" s="21" t="s">
        <v>15310</v>
      </c>
      <c r="C4533" s="13" t="s">
        <v>8384</v>
      </c>
      <c r="D4533" s="764"/>
      <c r="E4533" s="781"/>
      <c r="F4533" s="151">
        <v>600000</v>
      </c>
      <c r="G4533" s="782">
        <f t="shared" si="99"/>
        <v>-600000</v>
      </c>
      <c r="H4533" s="1188"/>
    </row>
    <row r="4534" spans="1:8" ht="16.5" thickBot="1" x14ac:dyDescent="0.3">
      <c r="A4534" s="112">
        <v>45670</v>
      </c>
      <c r="B4534" s="21" t="s">
        <v>15560</v>
      </c>
      <c r="C4534" s="13" t="s">
        <v>8384</v>
      </c>
      <c r="D4534" s="764"/>
      <c r="E4534" s="781"/>
      <c r="F4534" s="295">
        <v>200000</v>
      </c>
      <c r="G4534" s="782">
        <f t="shared" si="99"/>
        <v>-200000</v>
      </c>
      <c r="H4534" s="1180"/>
    </row>
    <row r="4535" spans="1:8" x14ac:dyDescent="0.25">
      <c r="A4535" s="112">
        <v>45670</v>
      </c>
      <c r="B4535" s="21"/>
      <c r="C4535" s="13" t="s">
        <v>164</v>
      </c>
      <c r="D4535" s="764" t="s">
        <v>15959</v>
      </c>
      <c r="E4535" s="781">
        <v>22206</v>
      </c>
      <c r="F4535" s="1432"/>
      <c r="G4535" s="782">
        <f t="shared" si="99"/>
        <v>22206</v>
      </c>
      <c r="H4535" s="1175"/>
    </row>
    <row r="4536" spans="1:8" x14ac:dyDescent="0.25">
      <c r="A4536" s="112">
        <v>45671</v>
      </c>
      <c r="B4536" s="21" t="s">
        <v>15338</v>
      </c>
      <c r="C4536" s="13" t="s">
        <v>7240</v>
      </c>
      <c r="D4536" s="764"/>
      <c r="E4536" s="22"/>
      <c r="F4536" s="19">
        <v>1000000</v>
      </c>
      <c r="G4536" s="782">
        <f t="shared" si="99"/>
        <v>-1000000</v>
      </c>
      <c r="H4536" s="13" t="s">
        <v>15394</v>
      </c>
    </row>
    <row r="4537" spans="1:8" x14ac:dyDescent="0.25">
      <c r="A4537" s="112">
        <v>45671</v>
      </c>
      <c r="B4537" s="21" t="s">
        <v>14596</v>
      </c>
      <c r="C4537" s="13" t="s">
        <v>8384</v>
      </c>
      <c r="D4537" s="764" t="s">
        <v>15616</v>
      </c>
      <c r="E4537" s="22">
        <v>5852</v>
      </c>
      <c r="F4537" s="19"/>
      <c r="G4537" s="782">
        <f t="shared" si="99"/>
        <v>5852</v>
      </c>
      <c r="H4537" s="13"/>
    </row>
    <row r="4538" spans="1:8" x14ac:dyDescent="0.25">
      <c r="A4538" s="112">
        <v>45671</v>
      </c>
      <c r="B4538" s="21" t="s">
        <v>14351</v>
      </c>
      <c r="C4538" s="13" t="s">
        <v>8384</v>
      </c>
      <c r="D4538" s="764" t="s">
        <v>15617</v>
      </c>
      <c r="E4538" s="22">
        <v>99048</v>
      </c>
      <c r="F4538" s="19"/>
      <c r="G4538" s="782">
        <f t="shared" ref="G4538:G4541" si="100">E4538-F4538</f>
        <v>99048</v>
      </c>
      <c r="H4538" s="13"/>
    </row>
    <row r="4539" spans="1:8" x14ac:dyDescent="0.25">
      <c r="A4539" s="112">
        <v>45671</v>
      </c>
      <c r="B4539" s="21" t="s">
        <v>13240</v>
      </c>
      <c r="C4539" s="13" t="s">
        <v>8384</v>
      </c>
      <c r="D4539" s="764" t="s">
        <v>8319</v>
      </c>
      <c r="E4539" s="22">
        <v>51913</v>
      </c>
      <c r="F4539" s="19"/>
      <c r="G4539" s="782">
        <f t="shared" si="100"/>
        <v>51913</v>
      </c>
      <c r="H4539" s="13"/>
    </row>
    <row r="4540" spans="1:8" x14ac:dyDescent="0.25">
      <c r="A4540" s="112">
        <v>45671</v>
      </c>
      <c r="B4540" s="21" t="s">
        <v>14351</v>
      </c>
      <c r="C4540" s="13" t="s">
        <v>1062</v>
      </c>
      <c r="D4540" s="764" t="s">
        <v>15785</v>
      </c>
      <c r="E4540" s="22">
        <v>11700</v>
      </c>
      <c r="F4540" s="19"/>
      <c r="G4540" s="782">
        <f t="shared" si="100"/>
        <v>11700</v>
      </c>
      <c r="H4540" s="13"/>
    </row>
    <row r="4541" spans="1:8" x14ac:dyDescent="0.25">
      <c r="A4541" s="112">
        <v>45671</v>
      </c>
      <c r="B4541" s="21" t="s">
        <v>15338</v>
      </c>
      <c r="C4541" s="13" t="s">
        <v>166</v>
      </c>
      <c r="D4541" s="764" t="s">
        <v>15808</v>
      </c>
      <c r="E4541" s="22">
        <v>98800</v>
      </c>
      <c r="F4541" s="19"/>
      <c r="G4541" s="782">
        <f t="shared" si="100"/>
        <v>98800</v>
      </c>
      <c r="H4541" s="13"/>
    </row>
    <row r="4542" spans="1:8" x14ac:dyDescent="0.25">
      <c r="A4542" s="112">
        <v>45673</v>
      </c>
      <c r="B4542" s="21" t="s">
        <v>15338</v>
      </c>
      <c r="C4542" s="13" t="s">
        <v>166</v>
      </c>
      <c r="D4542" s="764" t="s">
        <v>15576</v>
      </c>
      <c r="E4542" s="22">
        <v>142500</v>
      </c>
      <c r="F4542" s="19"/>
      <c r="G4542" s="782">
        <f t="shared" si="99"/>
        <v>142500</v>
      </c>
      <c r="H4542" s="13"/>
    </row>
    <row r="4543" spans="1:8" x14ac:dyDescent="0.25">
      <c r="A4543" s="112">
        <v>45673</v>
      </c>
      <c r="B4543" s="21" t="s">
        <v>11068</v>
      </c>
      <c r="C4543" s="13" t="s">
        <v>12350</v>
      </c>
      <c r="D4543" s="764" t="s">
        <v>15779</v>
      </c>
      <c r="E4543" s="781">
        <v>24000</v>
      </c>
      <c r="F4543" s="1141"/>
      <c r="G4543" s="782">
        <f t="shared" si="99"/>
        <v>24000</v>
      </c>
      <c r="H4543" s="53"/>
    </row>
    <row r="4544" spans="1:8" x14ac:dyDescent="0.25">
      <c r="A4544" s="112">
        <v>45673</v>
      </c>
      <c r="B4544" s="21" t="s">
        <v>14232</v>
      </c>
      <c r="C4544" s="13" t="s">
        <v>7240</v>
      </c>
      <c r="D4544" s="764" t="s">
        <v>8957</v>
      </c>
      <c r="E4544" s="781">
        <v>69330</v>
      </c>
      <c r="F4544" s="1141"/>
      <c r="G4544" s="782">
        <f t="shared" si="99"/>
        <v>69330</v>
      </c>
      <c r="H4544" s="53"/>
    </row>
    <row r="4545" spans="1:8" ht="16.5" thickBot="1" x14ac:dyDescent="0.3">
      <c r="A4545" s="112">
        <v>45674</v>
      </c>
      <c r="B4545" s="21" t="s">
        <v>14351</v>
      </c>
      <c r="C4545" s="13" t="s">
        <v>1062</v>
      </c>
      <c r="D4545" s="764" t="s">
        <v>15786</v>
      </c>
      <c r="E4545" s="781">
        <v>12500</v>
      </c>
      <c r="F4545" s="1141"/>
      <c r="G4545" s="782">
        <f t="shared" si="99"/>
        <v>12500</v>
      </c>
      <c r="H4545" s="53"/>
    </row>
    <row r="4546" spans="1:8" x14ac:dyDescent="0.25">
      <c r="A4546" s="112">
        <v>45677</v>
      </c>
      <c r="B4546" s="21" t="s">
        <v>12671</v>
      </c>
      <c r="C4546" s="13" t="s">
        <v>13276</v>
      </c>
      <c r="D4546" s="764"/>
      <c r="E4546" s="781"/>
      <c r="F4546" s="783">
        <v>3750</v>
      </c>
      <c r="G4546" s="782">
        <f t="shared" si="99"/>
        <v>-3750</v>
      </c>
      <c r="H4546" s="1179" t="s">
        <v>15601</v>
      </c>
    </row>
    <row r="4547" spans="1:8" x14ac:dyDescent="0.25">
      <c r="A4547" s="112">
        <v>45677</v>
      </c>
      <c r="B4547" s="21" t="s">
        <v>13098</v>
      </c>
      <c r="C4547" s="13" t="s">
        <v>13276</v>
      </c>
      <c r="D4547" s="764"/>
      <c r="E4547" s="781"/>
      <c r="F4547" s="141">
        <v>85478</v>
      </c>
      <c r="G4547" s="782">
        <f t="shared" ref="G4547:G4587" si="101">E4547-F4547</f>
        <v>-85478</v>
      </c>
      <c r="H4547" s="1188"/>
    </row>
    <row r="4548" spans="1:8" x14ac:dyDescent="0.25">
      <c r="A4548" s="112">
        <v>45677</v>
      </c>
      <c r="B4548" s="21" t="s">
        <v>15033</v>
      </c>
      <c r="C4548" s="13" t="s">
        <v>13276</v>
      </c>
      <c r="D4548" s="764"/>
      <c r="E4548" s="781"/>
      <c r="F4548" s="141">
        <v>36970</v>
      </c>
      <c r="G4548" s="782">
        <f t="shared" si="101"/>
        <v>-36970</v>
      </c>
      <c r="H4548" s="1188"/>
    </row>
    <row r="4549" spans="1:8" x14ac:dyDescent="0.25">
      <c r="A4549" s="112">
        <v>45677</v>
      </c>
      <c r="B4549" s="21" t="s">
        <v>15400</v>
      </c>
      <c r="C4549" s="13" t="s">
        <v>13276</v>
      </c>
      <c r="D4549" s="764"/>
      <c r="E4549" s="781"/>
      <c r="F4549" s="141">
        <v>88450</v>
      </c>
      <c r="G4549" s="782">
        <f t="shared" si="101"/>
        <v>-88450</v>
      </c>
      <c r="H4549" s="1188"/>
    </row>
    <row r="4550" spans="1:8" ht="16.5" thickBot="1" x14ac:dyDescent="0.3">
      <c r="A4550" s="112">
        <v>45677</v>
      </c>
      <c r="B4550" s="21" t="s">
        <v>14539</v>
      </c>
      <c r="C4550" s="13" t="s">
        <v>13276</v>
      </c>
      <c r="D4550" s="764"/>
      <c r="E4550" s="781"/>
      <c r="F4550" s="784">
        <f>22821+7531</f>
        <v>30352</v>
      </c>
      <c r="G4550" s="782">
        <f t="shared" si="101"/>
        <v>-30352</v>
      </c>
      <c r="H4550" s="1180"/>
    </row>
    <row r="4551" spans="1:8" x14ac:dyDescent="0.25">
      <c r="A4551" s="112">
        <v>45677</v>
      </c>
      <c r="B4551" s="21" t="s">
        <v>14351</v>
      </c>
      <c r="C4551" s="13" t="s">
        <v>1062</v>
      </c>
      <c r="D4551" s="764" t="s">
        <v>15787</v>
      </c>
      <c r="E4551" s="781">
        <v>7800</v>
      </c>
      <c r="F4551" s="213"/>
      <c r="G4551" s="782">
        <f t="shared" si="101"/>
        <v>7800</v>
      </c>
      <c r="H4551" s="342"/>
    </row>
    <row r="4552" spans="1:8" x14ac:dyDescent="0.25">
      <c r="A4552" s="112">
        <v>45677</v>
      </c>
      <c r="B4552" s="21" t="s">
        <v>15260</v>
      </c>
      <c r="C4552" s="13" t="s">
        <v>1062</v>
      </c>
      <c r="D4552" s="764" t="s">
        <v>15788</v>
      </c>
      <c r="E4552" s="781">
        <v>1120</v>
      </c>
      <c r="F4552" s="213"/>
      <c r="G4552" s="782">
        <f t="shared" si="101"/>
        <v>1120</v>
      </c>
      <c r="H4552" s="342"/>
    </row>
    <row r="4553" spans="1:8" x14ac:dyDescent="0.25">
      <c r="A4553" s="112">
        <v>45678</v>
      </c>
      <c r="B4553" s="21" t="s">
        <v>15100</v>
      </c>
      <c r="C4553" s="13" t="s">
        <v>12350</v>
      </c>
      <c r="D4553" s="764" t="s">
        <v>15780</v>
      </c>
      <c r="E4553" s="781">
        <v>23270</v>
      </c>
      <c r="F4553" s="213"/>
      <c r="G4553" s="782">
        <f t="shared" si="101"/>
        <v>23270</v>
      </c>
      <c r="H4553" s="342"/>
    </row>
    <row r="4554" spans="1:8" x14ac:dyDescent="0.25">
      <c r="A4554" s="112">
        <v>45679</v>
      </c>
      <c r="B4554" s="21" t="s">
        <v>14351</v>
      </c>
      <c r="C4554" s="13" t="s">
        <v>8384</v>
      </c>
      <c r="D4554" s="764" t="s">
        <v>15618</v>
      </c>
      <c r="E4554" s="22">
        <v>5348</v>
      </c>
      <c r="F4554" s="111"/>
      <c r="G4554" s="14">
        <f t="shared" si="101"/>
        <v>5348</v>
      </c>
      <c r="H4554" s="13"/>
    </row>
    <row r="4555" spans="1:8" x14ac:dyDescent="0.25">
      <c r="A4555" s="112">
        <v>45679</v>
      </c>
      <c r="B4555" s="21" t="s">
        <v>11068</v>
      </c>
      <c r="C4555" s="13" t="s">
        <v>1062</v>
      </c>
      <c r="D4555" s="764" t="s">
        <v>15789</v>
      </c>
      <c r="E4555" s="22">
        <v>36900</v>
      </c>
      <c r="F4555" s="22"/>
      <c r="G4555" s="14">
        <f t="shared" si="101"/>
        <v>36900</v>
      </c>
      <c r="H4555" s="13"/>
    </row>
    <row r="4556" spans="1:8" x14ac:dyDescent="0.25">
      <c r="A4556" s="112">
        <v>45679</v>
      </c>
      <c r="B4556" s="21" t="s">
        <v>14232</v>
      </c>
      <c r="C4556" s="13" t="s">
        <v>1062</v>
      </c>
      <c r="D4556" s="764" t="s">
        <v>15790</v>
      </c>
      <c r="E4556" s="22">
        <v>14850</v>
      </c>
      <c r="F4556" s="19"/>
      <c r="G4556" s="14">
        <f t="shared" si="101"/>
        <v>14850</v>
      </c>
      <c r="H4556" s="13"/>
    </row>
    <row r="4557" spans="1:8" x14ac:dyDescent="0.25">
      <c r="A4557" s="112">
        <v>45679</v>
      </c>
      <c r="B4557" s="21" t="s">
        <v>15338</v>
      </c>
      <c r="C4557" s="13" t="s">
        <v>7240</v>
      </c>
      <c r="D4557" s="764" t="s">
        <v>8956</v>
      </c>
      <c r="E4557" s="22">
        <v>1146636</v>
      </c>
      <c r="F4557" s="19"/>
      <c r="G4557" s="14">
        <f t="shared" si="101"/>
        <v>1146636</v>
      </c>
      <c r="H4557" s="13"/>
    </row>
    <row r="4558" spans="1:8" x14ac:dyDescent="0.25">
      <c r="A4558" s="112">
        <v>45679</v>
      </c>
      <c r="B4558" s="21" t="s">
        <v>15310</v>
      </c>
      <c r="C4558" s="13" t="s">
        <v>8384</v>
      </c>
      <c r="D4558" s="764" t="s">
        <v>15909</v>
      </c>
      <c r="E4558" s="22">
        <v>410374</v>
      </c>
      <c r="F4558" s="19"/>
      <c r="G4558" s="14">
        <f t="shared" si="101"/>
        <v>410374</v>
      </c>
      <c r="H4558" s="13"/>
    </row>
    <row r="4559" spans="1:8" x14ac:dyDescent="0.25">
      <c r="A4559" s="112">
        <v>45680</v>
      </c>
      <c r="B4559" s="21" t="s">
        <v>15100</v>
      </c>
      <c r="C4559" s="13" t="s">
        <v>8384</v>
      </c>
      <c r="D4559" s="764" t="s">
        <v>15910</v>
      </c>
      <c r="E4559" s="22">
        <v>403900</v>
      </c>
      <c r="F4559" s="19"/>
      <c r="G4559" s="14">
        <f t="shared" si="101"/>
        <v>403900</v>
      </c>
      <c r="H4559" s="13"/>
    </row>
    <row r="4560" spans="1:8" x14ac:dyDescent="0.25">
      <c r="A4560" s="112">
        <v>45680</v>
      </c>
      <c r="B4560" s="21" t="s">
        <v>14539</v>
      </c>
      <c r="C4560" s="13" t="s">
        <v>8384</v>
      </c>
      <c r="D4560" s="764" t="s">
        <v>15911</v>
      </c>
      <c r="E4560" s="22">
        <v>1851</v>
      </c>
      <c r="F4560" s="19"/>
      <c r="G4560" s="14">
        <f t="shared" si="101"/>
        <v>1851</v>
      </c>
      <c r="H4560" s="13"/>
    </row>
    <row r="4561" spans="1:8" x14ac:dyDescent="0.25">
      <c r="A4561" s="112">
        <v>45680</v>
      </c>
      <c r="B4561" s="21" t="s">
        <v>14351</v>
      </c>
      <c r="C4561" s="13" t="s">
        <v>166</v>
      </c>
      <c r="D4561" s="764" t="s">
        <v>15809</v>
      </c>
      <c r="E4561" s="22">
        <v>217813</v>
      </c>
      <c r="F4561" s="19"/>
      <c r="G4561" s="14">
        <f t="shared" si="101"/>
        <v>217813</v>
      </c>
      <c r="H4561" s="13"/>
    </row>
    <row r="4562" spans="1:8" x14ac:dyDescent="0.25">
      <c r="A4562" s="112">
        <v>45680</v>
      </c>
      <c r="B4562" s="21" t="s">
        <v>15310</v>
      </c>
      <c r="C4562" s="13" t="s">
        <v>166</v>
      </c>
      <c r="D4562" s="764" t="s">
        <v>15939</v>
      </c>
      <c r="E4562" s="22">
        <v>14000</v>
      </c>
      <c r="F4562" s="19"/>
      <c r="G4562" s="14">
        <f t="shared" si="101"/>
        <v>14000</v>
      </c>
      <c r="H4562" s="13"/>
    </row>
    <row r="4563" spans="1:8" x14ac:dyDescent="0.25">
      <c r="A4563" s="112">
        <v>45681</v>
      </c>
      <c r="B4563" s="21" t="s">
        <v>6503</v>
      </c>
      <c r="C4563" s="13" t="s">
        <v>10472</v>
      </c>
      <c r="D4563" s="764" t="s">
        <v>8956</v>
      </c>
      <c r="E4563" s="22">
        <v>48800</v>
      </c>
      <c r="F4563" s="19"/>
      <c r="G4563" s="14">
        <f t="shared" si="101"/>
        <v>48800</v>
      </c>
      <c r="H4563" s="13"/>
    </row>
    <row r="4564" spans="1:8" x14ac:dyDescent="0.25">
      <c r="A4564" s="112">
        <v>45681</v>
      </c>
      <c r="B4564" s="21" t="s">
        <v>11068</v>
      </c>
      <c r="C4564" s="13" t="s">
        <v>10472</v>
      </c>
      <c r="D4564" s="764" t="s">
        <v>8957</v>
      </c>
      <c r="E4564" s="22">
        <v>123955</v>
      </c>
      <c r="F4564" s="19"/>
      <c r="G4564" s="14">
        <f t="shared" si="101"/>
        <v>123955</v>
      </c>
      <c r="H4564" s="13"/>
    </row>
    <row r="4565" spans="1:8" x14ac:dyDescent="0.25">
      <c r="A4565" s="112">
        <v>45684</v>
      </c>
      <c r="B4565" s="21" t="s">
        <v>14351</v>
      </c>
      <c r="C4565" s="13" t="s">
        <v>164</v>
      </c>
      <c r="D4565" s="764" t="s">
        <v>15957</v>
      </c>
      <c r="E4565" s="22">
        <v>2847</v>
      </c>
      <c r="F4565" s="19"/>
      <c r="G4565" s="14">
        <f t="shared" si="101"/>
        <v>2847</v>
      </c>
      <c r="H4565" s="13"/>
    </row>
    <row r="4566" spans="1:8" x14ac:dyDescent="0.25">
      <c r="A4566" s="112">
        <v>45685</v>
      </c>
      <c r="B4566" s="21" t="s">
        <v>14232</v>
      </c>
      <c r="C4566" s="13" t="s">
        <v>169</v>
      </c>
      <c r="D4566" s="764" t="s">
        <v>15807</v>
      </c>
      <c r="E4566" s="22">
        <v>27305</v>
      </c>
      <c r="F4566" s="19"/>
      <c r="G4566" s="14">
        <f t="shared" si="101"/>
        <v>27305</v>
      </c>
      <c r="H4566" s="13"/>
    </row>
    <row r="4567" spans="1:8" x14ac:dyDescent="0.25">
      <c r="A4567" s="112">
        <v>45685</v>
      </c>
      <c r="B4567" s="21" t="s">
        <v>14596</v>
      </c>
      <c r="C4567" s="13" t="s">
        <v>8384</v>
      </c>
      <c r="D4567" s="764" t="s">
        <v>15912</v>
      </c>
      <c r="E4567" s="22">
        <v>21385</v>
      </c>
      <c r="F4567" s="19"/>
      <c r="G4567" s="14">
        <f t="shared" si="101"/>
        <v>21385</v>
      </c>
      <c r="H4567" s="13"/>
    </row>
    <row r="4568" spans="1:8" x14ac:dyDescent="0.25">
      <c r="A4568" s="112">
        <v>45686</v>
      </c>
      <c r="B4568" s="21" t="s">
        <v>12671</v>
      </c>
      <c r="C4568" s="13" t="s">
        <v>8384</v>
      </c>
      <c r="D4568" s="764" t="s">
        <v>15913</v>
      </c>
      <c r="E4568" s="22">
        <v>2873</v>
      </c>
      <c r="F4568" s="19"/>
      <c r="G4568" s="14">
        <f t="shared" si="101"/>
        <v>2873</v>
      </c>
      <c r="H4568" s="13"/>
    </row>
    <row r="4569" spans="1:8" x14ac:dyDescent="0.25">
      <c r="A4569" s="112">
        <v>45686</v>
      </c>
      <c r="B4569" s="21" t="s">
        <v>14232</v>
      </c>
      <c r="C4569" s="13" t="s">
        <v>10472</v>
      </c>
      <c r="D4569" s="764"/>
      <c r="E4569" s="22"/>
      <c r="F4569" s="19">
        <v>1000000</v>
      </c>
      <c r="G4569" s="14">
        <f t="shared" si="101"/>
        <v>-1000000</v>
      </c>
      <c r="H4569" s="13" t="s">
        <v>15830</v>
      </c>
    </row>
    <row r="4570" spans="1:8" x14ac:dyDescent="0.25">
      <c r="A4570" s="112">
        <v>45686</v>
      </c>
      <c r="B4570" s="21" t="s">
        <v>14351</v>
      </c>
      <c r="C4570" s="13" t="s">
        <v>10472</v>
      </c>
      <c r="D4570" s="764"/>
      <c r="E4570" s="22">
        <v>14400</v>
      </c>
      <c r="F4570" s="19"/>
      <c r="G4570" s="14">
        <f t="shared" si="101"/>
        <v>14400</v>
      </c>
      <c r="H4570" s="13"/>
    </row>
    <row r="4571" spans="1:8" x14ac:dyDescent="0.25">
      <c r="A4571" s="112">
        <v>45687</v>
      </c>
      <c r="B4571" s="21" t="s">
        <v>11068</v>
      </c>
      <c r="C4571" s="13" t="s">
        <v>12350</v>
      </c>
      <c r="D4571" s="764" t="s">
        <v>15941</v>
      </c>
      <c r="E4571" s="22">
        <v>28000</v>
      </c>
      <c r="F4571" s="19"/>
      <c r="G4571" s="14">
        <f t="shared" si="101"/>
        <v>28000</v>
      </c>
      <c r="H4571" s="13"/>
    </row>
    <row r="4572" spans="1:8" x14ac:dyDescent="0.25">
      <c r="A4572" s="112">
        <v>45688</v>
      </c>
      <c r="B4572" s="21" t="s">
        <v>14232</v>
      </c>
      <c r="C4572" s="13" t="s">
        <v>169</v>
      </c>
      <c r="D4572" s="764" t="s">
        <v>15854</v>
      </c>
      <c r="E4572" s="22">
        <v>355856</v>
      </c>
      <c r="F4572" s="19"/>
      <c r="G4572" s="14">
        <f t="shared" si="101"/>
        <v>355856</v>
      </c>
      <c r="H4572" s="13"/>
    </row>
    <row r="4573" spans="1:8" x14ac:dyDescent="0.25">
      <c r="A4573" s="112">
        <v>45688</v>
      </c>
      <c r="B4573" s="21" t="s">
        <v>11068</v>
      </c>
      <c r="C4573" s="13" t="s">
        <v>169</v>
      </c>
      <c r="D4573" s="764"/>
      <c r="E4573" s="22"/>
      <c r="F4573" s="19">
        <v>29697</v>
      </c>
      <c r="G4573" s="14">
        <f t="shared" si="101"/>
        <v>-29697</v>
      </c>
      <c r="H4573" s="1179" t="s">
        <v>15855</v>
      </c>
    </row>
    <row r="4574" spans="1:8" x14ac:dyDescent="0.25">
      <c r="A4574" s="112">
        <v>45688</v>
      </c>
      <c r="B4574" s="21" t="s">
        <v>12671</v>
      </c>
      <c r="C4574" s="13" t="s">
        <v>169</v>
      </c>
      <c r="D4574" s="764"/>
      <c r="E4574" s="22"/>
      <c r="F4574" s="19">
        <v>81000</v>
      </c>
      <c r="G4574" s="14">
        <f t="shared" si="101"/>
        <v>-81000</v>
      </c>
      <c r="H4574" s="1188"/>
    </row>
    <row r="4575" spans="1:8" x14ac:dyDescent="0.25">
      <c r="A4575" s="112">
        <v>45688</v>
      </c>
      <c r="B4575" s="21" t="s">
        <v>14568</v>
      </c>
      <c r="C4575" s="13" t="s">
        <v>169</v>
      </c>
      <c r="D4575" s="764"/>
      <c r="E4575" s="22"/>
      <c r="F4575" s="19">
        <v>147820</v>
      </c>
      <c r="G4575" s="14">
        <f t="shared" si="101"/>
        <v>-147820</v>
      </c>
      <c r="H4575" s="1188"/>
    </row>
    <row r="4576" spans="1:8" x14ac:dyDescent="0.25">
      <c r="A4576" s="112">
        <v>45688</v>
      </c>
      <c r="B4576" s="21" t="s">
        <v>14232</v>
      </c>
      <c r="C4576" s="13" t="s">
        <v>169</v>
      </c>
      <c r="D4576" s="764"/>
      <c r="E4576" s="22"/>
      <c r="F4576" s="19">
        <v>241483</v>
      </c>
      <c r="G4576" s="14">
        <f t="shared" si="101"/>
        <v>-241483</v>
      </c>
      <c r="H4576" s="1180"/>
    </row>
    <row r="4577" spans="1:8" x14ac:dyDescent="0.25">
      <c r="A4577" s="112">
        <v>45689</v>
      </c>
      <c r="B4577" s="21" t="s">
        <v>14351</v>
      </c>
      <c r="C4577" s="13" t="s">
        <v>1062</v>
      </c>
      <c r="D4577" s="764" t="s">
        <v>15940</v>
      </c>
      <c r="E4577" s="22">
        <v>784</v>
      </c>
      <c r="F4577" s="19"/>
      <c r="G4577" s="14">
        <f t="shared" si="101"/>
        <v>784</v>
      </c>
      <c r="H4577" s="1175"/>
    </row>
    <row r="4578" spans="1:8" x14ac:dyDescent="0.25">
      <c r="A4578" s="112">
        <v>45694</v>
      </c>
      <c r="B4578" s="21" t="s">
        <v>15338</v>
      </c>
      <c r="C4578" s="13" t="s">
        <v>7240</v>
      </c>
      <c r="D4578" s="764"/>
      <c r="E4578" s="22"/>
      <c r="F4578" s="22">
        <v>550000</v>
      </c>
      <c r="G4578" s="14">
        <f t="shared" si="101"/>
        <v>-550000</v>
      </c>
      <c r="H4578" s="13" t="s">
        <v>15906</v>
      </c>
    </row>
    <row r="4579" spans="1:8" x14ac:dyDescent="0.25">
      <c r="A4579" s="112">
        <v>45695</v>
      </c>
      <c r="B4579" s="21" t="s">
        <v>15310</v>
      </c>
      <c r="C4579" s="13" t="s">
        <v>8384</v>
      </c>
      <c r="D4579" s="764"/>
      <c r="E4579" s="22"/>
      <c r="F4579" s="22">
        <v>350000</v>
      </c>
      <c r="G4579" s="14">
        <f t="shared" si="101"/>
        <v>-350000</v>
      </c>
      <c r="H4579" s="1179" t="s">
        <v>15931</v>
      </c>
    </row>
    <row r="4580" spans="1:8" x14ac:dyDescent="0.25">
      <c r="A4580" s="112">
        <v>45695</v>
      </c>
      <c r="B4580" s="21" t="s">
        <v>15100</v>
      </c>
      <c r="C4580" s="13" t="s">
        <v>8384</v>
      </c>
      <c r="D4580" s="764"/>
      <c r="E4580" s="22"/>
      <c r="F4580" s="22">
        <v>350000</v>
      </c>
      <c r="G4580" s="14">
        <f t="shared" si="101"/>
        <v>-350000</v>
      </c>
      <c r="H4580" s="1180"/>
    </row>
    <row r="4581" spans="1:8" x14ac:dyDescent="0.25">
      <c r="A4581" s="112">
        <v>45695</v>
      </c>
      <c r="B4581" s="21" t="s">
        <v>11423</v>
      </c>
      <c r="C4581" s="13" t="s">
        <v>5680</v>
      </c>
      <c r="D4581" s="764"/>
      <c r="E4581" s="22"/>
      <c r="F4581" s="19">
        <v>82756</v>
      </c>
      <c r="G4581" s="14">
        <f t="shared" si="101"/>
        <v>-82756</v>
      </c>
      <c r="H4581" s="1179" t="s">
        <v>15930</v>
      </c>
    </row>
    <row r="4582" spans="1:8" x14ac:dyDescent="0.25">
      <c r="A4582" s="112">
        <v>45695</v>
      </c>
      <c r="B4582" s="21" t="s">
        <v>11488</v>
      </c>
      <c r="C4582" s="13" t="s">
        <v>5680</v>
      </c>
      <c r="D4582" s="764"/>
      <c r="E4582" s="22"/>
      <c r="F4582" s="19">
        <v>7244</v>
      </c>
      <c r="G4582" s="14">
        <f t="shared" si="101"/>
        <v>-7244</v>
      </c>
      <c r="H4582" s="1180"/>
    </row>
    <row r="4583" spans="1:8" x14ac:dyDescent="0.25">
      <c r="A4583" s="112">
        <v>45699</v>
      </c>
      <c r="B4583" s="21" t="s">
        <v>7801</v>
      </c>
      <c r="C4583" s="13" t="s">
        <v>12283</v>
      </c>
      <c r="D4583" s="764"/>
      <c r="E4583" s="22">
        <v>361845</v>
      </c>
      <c r="F4583" s="19"/>
      <c r="G4583" s="14">
        <f t="shared" si="101"/>
        <v>361845</v>
      </c>
      <c r="H4583" s="13"/>
    </row>
    <row r="4584" spans="1:8" x14ac:dyDescent="0.25">
      <c r="A4584" s="112">
        <v>45699</v>
      </c>
      <c r="B4584" s="21" t="s">
        <v>15400</v>
      </c>
      <c r="C4584" s="13" t="s">
        <v>12283</v>
      </c>
      <c r="D4584" s="764"/>
      <c r="E4584" s="22">
        <v>696900</v>
      </c>
      <c r="F4584" s="19"/>
      <c r="G4584" s="14">
        <f t="shared" si="101"/>
        <v>696900</v>
      </c>
      <c r="H4584" s="13"/>
    </row>
    <row r="4585" spans="1:8" x14ac:dyDescent="0.25">
      <c r="A4585" s="112">
        <v>45699</v>
      </c>
      <c r="B4585" s="21" t="s">
        <v>13213</v>
      </c>
      <c r="C4585" s="13" t="s">
        <v>12283</v>
      </c>
      <c r="D4585" s="764"/>
      <c r="E4585" s="22">
        <f>6400+2850</f>
        <v>9250</v>
      </c>
      <c r="F4585" s="19"/>
      <c r="G4585" s="14">
        <f t="shared" si="101"/>
        <v>9250</v>
      </c>
      <c r="H4585" s="13"/>
    </row>
    <row r="4586" spans="1:8" x14ac:dyDescent="0.25">
      <c r="A4586" s="112">
        <v>45699</v>
      </c>
      <c r="B4586" s="21" t="s">
        <v>12783</v>
      </c>
      <c r="C4586" s="13" t="s">
        <v>10472</v>
      </c>
      <c r="D4586" s="764"/>
      <c r="E4586" s="22"/>
      <c r="F4586" s="19">
        <v>496500</v>
      </c>
      <c r="G4586" s="14">
        <f t="shared" si="101"/>
        <v>-496500</v>
      </c>
      <c r="H4586" s="13" t="s">
        <v>15949</v>
      </c>
    </row>
    <row r="4587" spans="1:8" x14ac:dyDescent="0.25">
      <c r="A4587" s="112">
        <v>45699</v>
      </c>
      <c r="B4587" s="30"/>
      <c r="C4587" s="13" t="s">
        <v>164</v>
      </c>
      <c r="D4587" s="764"/>
      <c r="E4587" s="22"/>
      <c r="F4587" s="19">
        <v>150000</v>
      </c>
      <c r="G4587" s="14">
        <f t="shared" si="101"/>
        <v>-150000</v>
      </c>
      <c r="H4587" s="13" t="s">
        <v>15953</v>
      </c>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row r="4591" spans="1:8" x14ac:dyDescent="0.25">
      <c r="A4591" s="13"/>
      <c r="B4591" s="21"/>
      <c r="C4591" s="13"/>
      <c r="D4591" s="764"/>
      <c r="E4591" s="22"/>
      <c r="F4591" s="19"/>
      <c r="G4591" s="14"/>
      <c r="H4591" s="13"/>
    </row>
    <row r="4592" spans="1:8" x14ac:dyDescent="0.25">
      <c r="A4592" s="13"/>
      <c r="B4592" s="21"/>
      <c r="C4592" s="13"/>
      <c r="D4592" s="764"/>
      <c r="E4592" s="22"/>
      <c r="F4592" s="19"/>
      <c r="G4592" s="14"/>
      <c r="H4592" s="13"/>
    </row>
    <row r="4593" spans="1:8" x14ac:dyDescent="0.25">
      <c r="A4593" s="13"/>
      <c r="B4593" s="21"/>
      <c r="C4593" s="13"/>
      <c r="D4593" s="764"/>
      <c r="E4593" s="22"/>
      <c r="F4593" s="19"/>
      <c r="G4593" s="14"/>
      <c r="H4593" s="13"/>
    </row>
    <row r="4594" spans="1:8" x14ac:dyDescent="0.25">
      <c r="A4594" s="13"/>
      <c r="B4594" s="21"/>
      <c r="C4594" s="13"/>
      <c r="D4594" s="764"/>
      <c r="E4594" s="22"/>
      <c r="F4594" s="19"/>
      <c r="G4594" s="14"/>
      <c r="H4594" s="13"/>
    </row>
    <row r="4595" spans="1:8" x14ac:dyDescent="0.25">
      <c r="A4595" s="13"/>
      <c r="B4595" s="21"/>
      <c r="C4595" s="13"/>
      <c r="D4595" s="764"/>
      <c r="E4595" s="22"/>
      <c r="F4595" s="19"/>
      <c r="G4595" s="14"/>
      <c r="H4595" s="13"/>
    </row>
    <row r="4596" spans="1:8" x14ac:dyDescent="0.25">
      <c r="A4596" s="13"/>
      <c r="B4596" s="21"/>
      <c r="C4596" s="13"/>
      <c r="D4596" s="764"/>
      <c r="E4596" s="22"/>
      <c r="F4596" s="19"/>
      <c r="G4596" s="14"/>
      <c r="H4596" s="13"/>
    </row>
    <row r="4597" spans="1:8" x14ac:dyDescent="0.25">
      <c r="A4597" s="13"/>
      <c r="B4597" s="21"/>
      <c r="C4597" s="13"/>
      <c r="D4597" s="764"/>
      <c r="E4597" s="22"/>
      <c r="F4597" s="19"/>
      <c r="G4597" s="14"/>
      <c r="H4597" s="13"/>
    </row>
    <row r="4598" spans="1:8" x14ac:dyDescent="0.25">
      <c r="A4598" s="13"/>
      <c r="B4598" s="21"/>
      <c r="C4598" s="13"/>
      <c r="D4598" s="764"/>
      <c r="E4598" s="22"/>
      <c r="F4598" s="19"/>
      <c r="G4598" s="14"/>
      <c r="H4598" s="13"/>
    </row>
    <row r="4599" spans="1:8" x14ac:dyDescent="0.25">
      <c r="A4599" s="13"/>
      <c r="B4599" s="21"/>
      <c r="C4599" s="13"/>
      <c r="D4599" s="764"/>
      <c r="E4599" s="22"/>
      <c r="F4599" s="19"/>
      <c r="G4599" s="14"/>
      <c r="H4599" s="13"/>
    </row>
    <row r="4600" spans="1:8" x14ac:dyDescent="0.25">
      <c r="A4600" s="13"/>
      <c r="B4600" s="21"/>
      <c r="C4600" s="13"/>
      <c r="D4600" s="764"/>
      <c r="E4600" s="22"/>
      <c r="F4600" s="19"/>
      <c r="G4600" s="14"/>
      <c r="H4600" s="13"/>
    </row>
    <row r="4601" spans="1:8" x14ac:dyDescent="0.25">
      <c r="A4601" s="13"/>
      <c r="B4601" s="21"/>
      <c r="C4601" s="13"/>
      <c r="D4601" s="764"/>
      <c r="E4601" s="22"/>
      <c r="F4601" s="19"/>
      <c r="G4601" s="14"/>
      <c r="H4601" s="13"/>
    </row>
    <row r="4602" spans="1:8" x14ac:dyDescent="0.25">
      <c r="A4602" s="13"/>
      <c r="B4602" s="21"/>
      <c r="C4602" s="13"/>
      <c r="D4602" s="764"/>
      <c r="E4602" s="22"/>
      <c r="F4602" s="19"/>
      <c r="G4602" s="14"/>
      <c r="H4602" s="13"/>
    </row>
    <row r="4603" spans="1:8" x14ac:dyDescent="0.25">
      <c r="A4603" s="13"/>
      <c r="B4603" s="21"/>
      <c r="C4603" s="13"/>
      <c r="D4603" s="764"/>
      <c r="E4603" s="22"/>
      <c r="F4603" s="19"/>
      <c r="G4603" s="14"/>
      <c r="H4603" s="13"/>
    </row>
    <row r="4604" spans="1:8" x14ac:dyDescent="0.25">
      <c r="A4604" s="13"/>
      <c r="B4604" s="21"/>
      <c r="C4604" s="13"/>
      <c r="D4604" s="764"/>
      <c r="E4604" s="22"/>
      <c r="F4604" s="19"/>
      <c r="G4604" s="14"/>
      <c r="H4604" s="13"/>
    </row>
    <row r="4605" spans="1:8" x14ac:dyDescent="0.25">
      <c r="A4605" s="13"/>
      <c r="B4605" s="21"/>
      <c r="C4605" s="13"/>
      <c r="D4605" s="764"/>
      <c r="E4605" s="22"/>
      <c r="F4605" s="19"/>
      <c r="G4605" s="14"/>
      <c r="H4605" s="13"/>
    </row>
    <row r="4606" spans="1:8" x14ac:dyDescent="0.25">
      <c r="A4606" s="13"/>
      <c r="B4606" s="21"/>
      <c r="C4606" s="13"/>
      <c r="D4606" s="764"/>
      <c r="E4606" s="22"/>
      <c r="F4606" s="19"/>
      <c r="G4606" s="14"/>
      <c r="H4606" s="13"/>
    </row>
    <row r="4607" spans="1:8" x14ac:dyDescent="0.25">
      <c r="A4607" s="13"/>
      <c r="B4607" s="21"/>
      <c r="C4607" s="13"/>
      <c r="D4607" s="764"/>
      <c r="E4607" s="22"/>
      <c r="F4607" s="19"/>
      <c r="G4607" s="14"/>
      <c r="H4607" s="13"/>
    </row>
    <row r="4608" spans="1:8" x14ac:dyDescent="0.25">
      <c r="A4608" s="13"/>
      <c r="B4608" s="21"/>
      <c r="C4608" s="13"/>
      <c r="D4608" s="764"/>
      <c r="E4608" s="22"/>
      <c r="F4608" s="19"/>
      <c r="G4608" s="14"/>
      <c r="H4608" s="13"/>
    </row>
    <row r="4609" spans="1:8" x14ac:dyDescent="0.25">
      <c r="A4609" s="13"/>
      <c r="B4609" s="21"/>
      <c r="C4609" s="13"/>
      <c r="D4609" s="764"/>
      <c r="E4609" s="22"/>
      <c r="F4609" s="19"/>
      <c r="G4609" s="14"/>
      <c r="H4609" s="13"/>
    </row>
    <row r="4610" spans="1:8" x14ac:dyDescent="0.25">
      <c r="A4610" s="13"/>
      <c r="B4610" s="21"/>
      <c r="C4610" s="13"/>
      <c r="D4610" s="764"/>
      <c r="E4610" s="22"/>
      <c r="F4610" s="19"/>
      <c r="G4610" s="14"/>
      <c r="H4610" s="13"/>
    </row>
    <row r="4611" spans="1:8" x14ac:dyDescent="0.25">
      <c r="A4611" s="13"/>
      <c r="B4611" s="21"/>
      <c r="C4611" s="13"/>
      <c r="D4611" s="764"/>
      <c r="E4611" s="22"/>
      <c r="F4611" s="19"/>
      <c r="G4611" s="14"/>
      <c r="H4611" s="13"/>
    </row>
    <row r="4612" spans="1:8" x14ac:dyDescent="0.25">
      <c r="A4612" s="13"/>
      <c r="B4612" s="21"/>
      <c r="C4612" s="13"/>
      <c r="D4612" s="764"/>
      <c r="E4612" s="22"/>
      <c r="F4612" s="19"/>
      <c r="G4612" s="14"/>
      <c r="H4612" s="13"/>
    </row>
    <row r="4613" spans="1:8" x14ac:dyDescent="0.25">
      <c r="A4613" s="13"/>
      <c r="B4613" s="21"/>
      <c r="C4613" s="13"/>
      <c r="D4613" s="764"/>
      <c r="E4613" s="22"/>
      <c r="F4613" s="19"/>
      <c r="G4613" s="14"/>
      <c r="H4613" s="13"/>
    </row>
    <row r="4614" spans="1:8" x14ac:dyDescent="0.25">
      <c r="A4614" s="13"/>
      <c r="B4614" s="21"/>
      <c r="C4614" s="13"/>
      <c r="D4614" s="764"/>
      <c r="E4614" s="22"/>
      <c r="F4614" s="19"/>
      <c r="G4614" s="14"/>
      <c r="H4614" s="13"/>
    </row>
    <row r="4615" spans="1:8" x14ac:dyDescent="0.25">
      <c r="A4615" s="13"/>
      <c r="B4615" s="21"/>
      <c r="C4615" s="13"/>
      <c r="D4615" s="764"/>
      <c r="E4615" s="22"/>
      <c r="F4615" s="19"/>
      <c r="G4615" s="14"/>
      <c r="H4615" s="13"/>
    </row>
    <row r="4616" spans="1:8" x14ac:dyDescent="0.25">
      <c r="A4616" s="13"/>
      <c r="B4616" s="21"/>
      <c r="C4616" s="13"/>
      <c r="D4616" s="764"/>
      <c r="E4616" s="22"/>
      <c r="F4616" s="19"/>
      <c r="G4616" s="14"/>
      <c r="H4616" s="13"/>
    </row>
    <row r="4617" spans="1:8" x14ac:dyDescent="0.25">
      <c r="A4617" s="13"/>
      <c r="B4617" s="21"/>
      <c r="C4617" s="13"/>
      <c r="D4617" s="764"/>
      <c r="E4617" s="22"/>
      <c r="F4617" s="19"/>
      <c r="G4617" s="14"/>
      <c r="H4617" s="13"/>
    </row>
    <row r="4618" spans="1:8" x14ac:dyDescent="0.25">
      <c r="A4618" s="13"/>
      <c r="B4618" s="21"/>
      <c r="C4618" s="13"/>
      <c r="D4618" s="764"/>
      <c r="E4618" s="22"/>
      <c r="F4618" s="19"/>
      <c r="G4618" s="14"/>
      <c r="H4618" s="13"/>
    </row>
    <row r="4619" spans="1:8" x14ac:dyDescent="0.25">
      <c r="A4619" s="13"/>
      <c r="B4619" s="21"/>
      <c r="C4619" s="13"/>
      <c r="D4619" s="764"/>
      <c r="E4619" s="22"/>
      <c r="F4619" s="19"/>
      <c r="G4619" s="14"/>
      <c r="H4619" s="13"/>
    </row>
    <row r="4620" spans="1:8" x14ac:dyDescent="0.25">
      <c r="A4620" s="13"/>
      <c r="B4620" s="21"/>
      <c r="C4620" s="13"/>
      <c r="D4620" s="764"/>
      <c r="E4620" s="22"/>
      <c r="F4620" s="19"/>
      <c r="G4620" s="14"/>
      <c r="H4620" s="13"/>
    </row>
    <row r="4621" spans="1:8" x14ac:dyDescent="0.25">
      <c r="A4621" s="13"/>
      <c r="B4621" s="21"/>
      <c r="C4621" s="13"/>
      <c r="D4621" s="764"/>
      <c r="E4621" s="22"/>
      <c r="F4621" s="19"/>
      <c r="G4621" s="14"/>
      <c r="H4621" s="13"/>
    </row>
    <row r="4622" spans="1:8" x14ac:dyDescent="0.25">
      <c r="A4622" s="13"/>
      <c r="B4622" s="21"/>
      <c r="C4622" s="13"/>
      <c r="D4622" s="764"/>
      <c r="E4622" s="22"/>
      <c r="F4622" s="19"/>
      <c r="G4622" s="14"/>
      <c r="H4622" s="13"/>
    </row>
    <row r="4623" spans="1:8" x14ac:dyDescent="0.25">
      <c r="A4623" s="13"/>
      <c r="B4623" s="21"/>
      <c r="C4623" s="13"/>
      <c r="D4623" s="764"/>
      <c r="E4623" s="22"/>
      <c r="F4623" s="19"/>
      <c r="G4623" s="14"/>
      <c r="H4623" s="13"/>
    </row>
    <row r="4624" spans="1:8" x14ac:dyDescent="0.25">
      <c r="A4624" s="13"/>
      <c r="B4624" s="21"/>
      <c r="C4624" s="13"/>
      <c r="D4624" s="764"/>
      <c r="E4624" s="22"/>
      <c r="F4624" s="19"/>
      <c r="G4624" s="14"/>
      <c r="H4624" s="13"/>
    </row>
    <row r="4625" spans="1:8" x14ac:dyDescent="0.25">
      <c r="A4625" s="13"/>
      <c r="B4625" s="21"/>
      <c r="C4625" s="13"/>
      <c r="D4625" s="764"/>
      <c r="E4625" s="22"/>
      <c r="F4625" s="19"/>
      <c r="G4625" s="14"/>
      <c r="H4625" s="13"/>
    </row>
    <row r="4626" spans="1:8" x14ac:dyDescent="0.25">
      <c r="A4626" s="13"/>
      <c r="B4626" s="21"/>
      <c r="C4626" s="13"/>
      <c r="D4626" s="764"/>
      <c r="E4626" s="22"/>
      <c r="F4626" s="19"/>
      <c r="G4626" s="14"/>
      <c r="H4626" s="13"/>
    </row>
    <row r="4627" spans="1:8" x14ac:dyDescent="0.25">
      <c r="A4627" s="13"/>
      <c r="B4627" s="21"/>
      <c r="C4627" s="13"/>
      <c r="D4627" s="764"/>
      <c r="E4627" s="22"/>
      <c r="F4627" s="19"/>
      <c r="G4627" s="14"/>
      <c r="H4627" s="13"/>
    </row>
    <row r="4628" spans="1:8" x14ac:dyDescent="0.25">
      <c r="A4628" s="13"/>
      <c r="B4628" s="21"/>
      <c r="C4628" s="13"/>
      <c r="D4628" s="764"/>
      <c r="E4628" s="22"/>
      <c r="F4628" s="19"/>
      <c r="G4628" s="14"/>
      <c r="H4628" s="13"/>
    </row>
    <row r="4629" spans="1:8" x14ac:dyDescent="0.25">
      <c r="A4629" s="13"/>
      <c r="B4629" s="21"/>
      <c r="C4629" s="13"/>
      <c r="D4629" s="764"/>
      <c r="E4629" s="22"/>
      <c r="F4629" s="19"/>
      <c r="G4629" s="14"/>
      <c r="H4629" s="13"/>
    </row>
    <row r="4630" spans="1:8" x14ac:dyDescent="0.25">
      <c r="A4630" s="13"/>
      <c r="B4630" s="21"/>
      <c r="C4630" s="13"/>
      <c r="D4630" s="764"/>
      <c r="E4630" s="22"/>
      <c r="F4630" s="19"/>
      <c r="G4630" s="14"/>
      <c r="H4630" s="13"/>
    </row>
    <row r="4631" spans="1:8" x14ac:dyDescent="0.25">
      <c r="A4631" s="13"/>
      <c r="B4631" s="21"/>
      <c r="C4631" s="13"/>
      <c r="D4631" s="764"/>
      <c r="E4631" s="22"/>
      <c r="F4631" s="19"/>
      <c r="G4631" s="14"/>
      <c r="H4631" s="13"/>
    </row>
    <row r="4632" spans="1:8" x14ac:dyDescent="0.25">
      <c r="A4632" s="13"/>
      <c r="B4632" s="21"/>
      <c r="C4632" s="13"/>
      <c r="D4632" s="764"/>
      <c r="E4632" s="22"/>
      <c r="F4632" s="19"/>
      <c r="G4632" s="14"/>
      <c r="H4632" s="13"/>
    </row>
    <row r="4633" spans="1:8" x14ac:dyDescent="0.25">
      <c r="A4633" s="13"/>
      <c r="B4633" s="21"/>
      <c r="C4633" s="13"/>
      <c r="D4633" s="764"/>
      <c r="E4633" s="22"/>
      <c r="F4633" s="19"/>
      <c r="G4633" s="14"/>
      <c r="H4633" s="13"/>
    </row>
    <row r="4634" spans="1:8" x14ac:dyDescent="0.25">
      <c r="A4634" s="13"/>
      <c r="B4634" s="21"/>
      <c r="C4634" s="13"/>
      <c r="D4634" s="764"/>
      <c r="E4634" s="22"/>
      <c r="F4634" s="19"/>
      <c r="G4634" s="14"/>
      <c r="H4634" s="13"/>
    </row>
    <row r="4635" spans="1:8" x14ac:dyDescent="0.25">
      <c r="A4635" s="13"/>
      <c r="B4635" s="21"/>
      <c r="C4635" s="13"/>
      <c r="D4635" s="764"/>
      <c r="E4635" s="22"/>
      <c r="F4635" s="19"/>
      <c r="G4635" s="14"/>
      <c r="H4635" s="13"/>
    </row>
    <row r="4636" spans="1:8" x14ac:dyDescent="0.25">
      <c r="A4636" s="13"/>
      <c r="B4636" s="21"/>
      <c r="C4636" s="13"/>
      <c r="D4636" s="764"/>
      <c r="E4636" s="22"/>
      <c r="F4636" s="19"/>
      <c r="G4636" s="14"/>
      <c r="H4636" s="13"/>
    </row>
    <row r="4637" spans="1:8" x14ac:dyDescent="0.25">
      <c r="A4637" s="13"/>
      <c r="B4637" s="21"/>
      <c r="C4637" s="13"/>
      <c r="D4637" s="764"/>
      <c r="E4637" s="22"/>
      <c r="F4637" s="19"/>
      <c r="G4637" s="14"/>
      <c r="H4637" s="13"/>
    </row>
    <row r="4638" spans="1:8" x14ac:dyDescent="0.25">
      <c r="A4638" s="13"/>
      <c r="B4638" s="21"/>
      <c r="C4638" s="13"/>
      <c r="D4638" s="764"/>
      <c r="E4638" s="22"/>
      <c r="F4638" s="19"/>
      <c r="G4638" s="14"/>
      <c r="H4638" s="13"/>
    </row>
    <row r="4639" spans="1:8" x14ac:dyDescent="0.25">
      <c r="A4639" s="13"/>
      <c r="B4639" s="21"/>
      <c r="C4639" s="13"/>
      <c r="D4639" s="764"/>
      <c r="E4639" s="22"/>
      <c r="F4639" s="19"/>
      <c r="G4639" s="14"/>
      <c r="H4639" s="13"/>
    </row>
    <row r="4640" spans="1:8" x14ac:dyDescent="0.25">
      <c r="A4640" s="13"/>
      <c r="B4640" s="21"/>
      <c r="C4640" s="13"/>
      <c r="D4640" s="764"/>
      <c r="E4640" s="22"/>
      <c r="F4640" s="19"/>
      <c r="G4640" s="14"/>
      <c r="H4640" s="13"/>
    </row>
    <row r="4641" spans="1:8" x14ac:dyDescent="0.25">
      <c r="A4641" s="13"/>
      <c r="B4641" s="21"/>
      <c r="C4641" s="13"/>
      <c r="D4641" s="764"/>
      <c r="E4641" s="22"/>
      <c r="F4641" s="19"/>
      <c r="G4641" s="14"/>
      <c r="H4641" s="13"/>
    </row>
    <row r="4642" spans="1:8" x14ac:dyDescent="0.25">
      <c r="A4642" s="13"/>
      <c r="B4642" s="21"/>
      <c r="C4642" s="13"/>
      <c r="D4642" s="764"/>
      <c r="E4642" s="22"/>
      <c r="F4642" s="19"/>
      <c r="G4642" s="14"/>
      <c r="H4642" s="13"/>
    </row>
    <row r="4643" spans="1:8" x14ac:dyDescent="0.25">
      <c r="A4643" s="13"/>
      <c r="B4643" s="21"/>
      <c r="C4643" s="13"/>
      <c r="D4643" s="764"/>
      <c r="E4643" s="22"/>
      <c r="F4643" s="19"/>
      <c r="G4643" s="14"/>
      <c r="H4643" s="13"/>
    </row>
    <row r="4644" spans="1:8" x14ac:dyDescent="0.25">
      <c r="A4644" s="13"/>
      <c r="B4644" s="21"/>
      <c r="C4644" s="13"/>
      <c r="D4644" s="764"/>
      <c r="E4644" s="22"/>
      <c r="F4644" s="19"/>
      <c r="G4644" s="14"/>
      <c r="H4644" s="13"/>
    </row>
    <row r="4645" spans="1:8" x14ac:dyDescent="0.25">
      <c r="A4645" s="13"/>
      <c r="B4645" s="21"/>
      <c r="C4645" s="13"/>
      <c r="D4645" s="764"/>
      <c r="E4645" s="22"/>
      <c r="F4645" s="19"/>
      <c r="G4645" s="14"/>
      <c r="H4645" s="13"/>
    </row>
    <row r="4646" spans="1:8" x14ac:dyDescent="0.25">
      <c r="A4646" s="13"/>
      <c r="B4646" s="21"/>
      <c r="C4646" s="13"/>
      <c r="D4646" s="764"/>
      <c r="E4646" s="22"/>
      <c r="F4646" s="19"/>
      <c r="G4646" s="14"/>
      <c r="H4646" s="13"/>
    </row>
    <row r="4647" spans="1:8" x14ac:dyDescent="0.25">
      <c r="A4647" s="13"/>
      <c r="B4647" s="21"/>
      <c r="C4647" s="13"/>
      <c r="D4647" s="764"/>
      <c r="E4647" s="22"/>
      <c r="F4647" s="19"/>
      <c r="G4647" s="14"/>
      <c r="H4647" s="13"/>
    </row>
    <row r="4648" spans="1:8" x14ac:dyDescent="0.25">
      <c r="A4648" s="13"/>
      <c r="B4648" s="21"/>
      <c r="C4648" s="13"/>
      <c r="D4648" s="764"/>
      <c r="E4648" s="22"/>
      <c r="F4648" s="19"/>
      <c r="G4648" s="14"/>
      <c r="H4648" s="13"/>
    </row>
    <row r="4649" spans="1:8" x14ac:dyDescent="0.25">
      <c r="A4649" s="13"/>
      <c r="B4649" s="21"/>
      <c r="C4649" s="13"/>
      <c r="D4649" s="764"/>
      <c r="E4649" s="22"/>
      <c r="F4649" s="19"/>
      <c r="G4649" s="14"/>
      <c r="H4649" s="13"/>
    </row>
    <row r="4650" spans="1:8" x14ac:dyDescent="0.25">
      <c r="A4650" s="13"/>
      <c r="B4650" s="21"/>
      <c r="C4650" s="13"/>
      <c r="D4650" s="764"/>
      <c r="E4650" s="22"/>
      <c r="F4650" s="19"/>
      <c r="G4650" s="14"/>
      <c r="H4650" s="13"/>
    </row>
    <row r="4651" spans="1:8" x14ac:dyDescent="0.25">
      <c r="A4651" s="13"/>
      <c r="B4651" s="21"/>
      <c r="C4651" s="13"/>
      <c r="D4651" s="764"/>
      <c r="E4651" s="22"/>
      <c r="F4651" s="19"/>
      <c r="G4651" s="14"/>
      <c r="H4651" s="13"/>
    </row>
    <row r="4652" spans="1:8" x14ac:dyDescent="0.25">
      <c r="A4652" s="13"/>
      <c r="B4652" s="21"/>
      <c r="C4652" s="13"/>
      <c r="D4652" s="764"/>
      <c r="E4652" s="22"/>
      <c r="F4652" s="19"/>
      <c r="G4652" s="14"/>
      <c r="H4652" s="13"/>
    </row>
    <row r="4653" spans="1:8" x14ac:dyDescent="0.25">
      <c r="A4653" s="13"/>
      <c r="B4653" s="21"/>
      <c r="C4653" s="13"/>
      <c r="D4653" s="764"/>
      <c r="E4653" s="22"/>
      <c r="F4653" s="19"/>
      <c r="G4653" s="14"/>
      <c r="H4653" s="13"/>
    </row>
    <row r="4654" spans="1:8" x14ac:dyDescent="0.25">
      <c r="A4654" s="13"/>
      <c r="B4654" s="21"/>
      <c r="C4654" s="13"/>
      <c r="D4654" s="764"/>
      <c r="E4654" s="22"/>
      <c r="F4654" s="19"/>
      <c r="G4654" s="14"/>
      <c r="H4654" s="13"/>
    </row>
    <row r="4655" spans="1:8" x14ac:dyDescent="0.25">
      <c r="A4655" s="13"/>
      <c r="B4655" s="21"/>
      <c r="C4655" s="13"/>
      <c r="D4655" s="764"/>
      <c r="E4655" s="22"/>
      <c r="F4655" s="19"/>
      <c r="G4655" s="14"/>
      <c r="H4655" s="13"/>
    </row>
    <row r="4656" spans="1:8" x14ac:dyDescent="0.25">
      <c r="A4656" s="13"/>
      <c r="B4656" s="21"/>
      <c r="C4656" s="13"/>
      <c r="D4656" s="764"/>
      <c r="E4656" s="22"/>
      <c r="F4656" s="19"/>
      <c r="G4656" s="14"/>
      <c r="H4656" s="13"/>
    </row>
    <row r="4657" spans="1:8" x14ac:dyDescent="0.25">
      <c r="A4657" s="13"/>
      <c r="B4657" s="21"/>
      <c r="C4657" s="13"/>
      <c r="D4657" s="764"/>
      <c r="E4657" s="22"/>
      <c r="F4657" s="19"/>
      <c r="G4657" s="14"/>
      <c r="H4657" s="13"/>
    </row>
    <row r="4658" spans="1:8" x14ac:dyDescent="0.25">
      <c r="A4658" s="13"/>
      <c r="B4658" s="21"/>
      <c r="C4658" s="13"/>
      <c r="D4658" s="764"/>
      <c r="E4658" s="22"/>
      <c r="F4658" s="19"/>
      <c r="G4658" s="14"/>
      <c r="H4658" s="13"/>
    </row>
    <row r="4659" spans="1:8" x14ac:dyDescent="0.25">
      <c r="A4659" s="13"/>
      <c r="B4659" s="21"/>
      <c r="C4659" s="13"/>
      <c r="D4659" s="764"/>
      <c r="E4659" s="22"/>
      <c r="F4659" s="19"/>
      <c r="G4659" s="14"/>
      <c r="H4659" s="13"/>
    </row>
    <row r="4660" spans="1:8" x14ac:dyDescent="0.25">
      <c r="A4660" s="13"/>
      <c r="B4660" s="21"/>
      <c r="C4660" s="13"/>
      <c r="D4660" s="764"/>
      <c r="E4660" s="22"/>
      <c r="F4660" s="19"/>
      <c r="G4660" s="14"/>
      <c r="H4660" s="13"/>
    </row>
    <row r="4661" spans="1:8" x14ac:dyDescent="0.25">
      <c r="A4661" s="13"/>
      <c r="B4661" s="21"/>
      <c r="C4661" s="13"/>
      <c r="D4661" s="764"/>
      <c r="E4661" s="22"/>
      <c r="F4661" s="19"/>
      <c r="G4661" s="14"/>
      <c r="H4661" s="13"/>
    </row>
    <row r="4662" spans="1:8" x14ac:dyDescent="0.25">
      <c r="A4662" s="13"/>
      <c r="B4662" s="21"/>
      <c r="C4662" s="13"/>
      <c r="D4662" s="764"/>
      <c r="E4662" s="22"/>
      <c r="F4662" s="19"/>
      <c r="G4662" s="14"/>
      <c r="H4662" s="13"/>
    </row>
    <row r="4663" spans="1:8" x14ac:dyDescent="0.25">
      <c r="A4663" s="13"/>
      <c r="B4663" s="21"/>
      <c r="C4663" s="13"/>
      <c r="D4663" s="764"/>
      <c r="E4663" s="22"/>
      <c r="F4663" s="19"/>
      <c r="G4663" s="14"/>
      <c r="H4663" s="13"/>
    </row>
    <row r="4664" spans="1:8" x14ac:dyDescent="0.25">
      <c r="A4664" s="13"/>
      <c r="B4664" s="21"/>
      <c r="C4664" s="13"/>
      <c r="D4664" s="764"/>
      <c r="E4664" s="22"/>
      <c r="F4664" s="19"/>
      <c r="G4664" s="14"/>
      <c r="H4664" s="13"/>
    </row>
    <row r="4665" spans="1:8" x14ac:dyDescent="0.25">
      <c r="A4665" s="13"/>
      <c r="B4665" s="21"/>
      <c r="C4665" s="13"/>
      <c r="D4665" s="764"/>
      <c r="E4665" s="22"/>
      <c r="F4665" s="19"/>
      <c r="G4665" s="14"/>
      <c r="H4665" s="13"/>
    </row>
    <row r="4666" spans="1:8" x14ac:dyDescent="0.25">
      <c r="A4666" s="13"/>
      <c r="B4666" s="21"/>
      <c r="C4666" s="13"/>
      <c r="D4666" s="764"/>
      <c r="E4666" s="22"/>
      <c r="F4666" s="19"/>
      <c r="G4666" s="14"/>
      <c r="H4666" s="13"/>
    </row>
    <row r="4667" spans="1:8" x14ac:dyDescent="0.25">
      <c r="A4667" s="13"/>
      <c r="B4667" s="21"/>
      <c r="C4667" s="13"/>
      <c r="D4667" s="764"/>
      <c r="E4667" s="22"/>
      <c r="F4667" s="19"/>
      <c r="G4667" s="14"/>
      <c r="H4667" s="13"/>
    </row>
    <row r="4668" spans="1:8" x14ac:dyDescent="0.25">
      <c r="A4668" s="13"/>
      <c r="B4668" s="21"/>
      <c r="C4668" s="13"/>
      <c r="D4668" s="764"/>
      <c r="E4668" s="22"/>
      <c r="F4668" s="19"/>
      <c r="G4668" s="14"/>
      <c r="H4668" s="13"/>
    </row>
    <row r="4669" spans="1:8" x14ac:dyDescent="0.25">
      <c r="A4669" s="13"/>
      <c r="B4669" s="21"/>
      <c r="C4669" s="13"/>
      <c r="D4669" s="764"/>
      <c r="E4669" s="22"/>
      <c r="F4669" s="19"/>
      <c r="G4669" s="14"/>
      <c r="H4669" s="13"/>
    </row>
    <row r="4670" spans="1:8" x14ac:dyDescent="0.25">
      <c r="A4670" s="13"/>
      <c r="B4670" s="21"/>
      <c r="C4670" s="13"/>
      <c r="D4670" s="764"/>
      <c r="E4670" s="22"/>
      <c r="F4670" s="19"/>
      <c r="G4670" s="14"/>
      <c r="H4670" s="13"/>
    </row>
    <row r="4671" spans="1:8" x14ac:dyDescent="0.25">
      <c r="A4671" s="13"/>
      <c r="B4671" s="21"/>
      <c r="C4671" s="13"/>
      <c r="D4671" s="764"/>
      <c r="E4671" s="22"/>
      <c r="F4671" s="19"/>
      <c r="G4671" s="14"/>
      <c r="H4671" s="13"/>
    </row>
    <row r="4672" spans="1:8" x14ac:dyDescent="0.25">
      <c r="A4672" s="13"/>
      <c r="B4672" s="21"/>
      <c r="C4672" s="13"/>
      <c r="D4672" s="764"/>
      <c r="E4672" s="22"/>
      <c r="F4672" s="19"/>
      <c r="G4672" s="14"/>
      <c r="H4672" s="13"/>
    </row>
    <row r="4673" spans="1:8" x14ac:dyDescent="0.25">
      <c r="A4673" s="13"/>
      <c r="B4673" s="21"/>
      <c r="C4673" s="13"/>
      <c r="D4673" s="764"/>
      <c r="E4673" s="22"/>
      <c r="F4673" s="19"/>
      <c r="G4673" s="14"/>
      <c r="H4673" s="13"/>
    </row>
  </sheetData>
  <autoFilter ref="A1:XFC4586" xr:uid="{00000000-0009-0000-0000-000003000000}"/>
  <sortState ref="A2328:H2412">
    <sortCondition ref="A2328:A2412"/>
  </sortState>
  <mergeCells count="180">
    <mergeCell ref="H4573:H4576"/>
    <mergeCell ref="H4546:H4550"/>
    <mergeCell ref="D4153:D4154"/>
    <mergeCell ref="H4153:H415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686:H3687"/>
    <mergeCell ref="H4332:H4336"/>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3716:H3722"/>
    <mergeCell ref="H3559:H3560"/>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223:H2224"/>
    <mergeCell ref="H2266:H2273"/>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49:H2252"/>
    <mergeCell ref="H2286:H2288"/>
    <mergeCell ref="H3023:H3028"/>
    <mergeCell ref="H4306:H4308"/>
    <mergeCell ref="H3513:H3515"/>
    <mergeCell ref="H3492:H3495"/>
    <mergeCell ref="H4207:H4220"/>
    <mergeCell ref="H3947:H3948"/>
    <mergeCell ref="H3973:H3980"/>
    <mergeCell ref="H4189:H4194"/>
    <mergeCell ref="H4148:H4149"/>
    <mergeCell ref="H4166:H4171"/>
    <mergeCell ref="H4163:H4164"/>
    <mergeCell ref="H4132:H4134"/>
    <mergeCell ref="H4060:H4062"/>
    <mergeCell ref="H4064:H4065"/>
    <mergeCell ref="H4003:H4008"/>
    <mergeCell ref="H4025:H4032"/>
    <mergeCell ref="H4096:H4097"/>
    <mergeCell ref="H3523:H3533"/>
    <mergeCell ref="H3507:H3508"/>
    <mergeCell ref="H4581:H4582"/>
    <mergeCell ref="H4579:H4580"/>
    <mergeCell ref="H2200:H2201"/>
    <mergeCell ref="H2304:H2307"/>
    <mergeCell ref="H2773:H2776"/>
    <mergeCell ref="H2915:H2916"/>
    <mergeCell ref="H4532:H4534"/>
    <mergeCell ref="H4368:H4378"/>
    <mergeCell ref="H4521:H4525"/>
    <mergeCell ref="H3875:H3884"/>
    <mergeCell ref="H4492:H4493"/>
    <mergeCell ref="H4453:H4459"/>
    <mergeCell ref="H4460:H4463"/>
    <mergeCell ref="H4464:H4476"/>
    <mergeCell ref="H4477:H4481"/>
    <mergeCell ref="H4221:H4227"/>
    <mergeCell ref="H4228:H4233"/>
    <mergeCell ref="H4379:H4383"/>
    <mergeCell ref="H4384:H4389"/>
    <mergeCell ref="H4344:H4347"/>
    <mergeCell ref="H4442:H4444"/>
    <mergeCell ref="H4448:H4449"/>
    <mergeCell ref="H4433:H4434"/>
    <mergeCell ref="H4415:H4417"/>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1"/>
  <sheetViews>
    <sheetView zoomScaleNormal="100" workbookViewId="0">
      <pane ySplit="1" topLeftCell="A5" activePane="bottomLeft" state="frozen"/>
      <selection activeCell="D26" sqref="D26"/>
      <selection pane="bottomLeft" activeCell="C33" sqref="C33"/>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72" t="s">
        <v>14568</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14" s="4" customFormat="1" x14ac:dyDescent="0.3">
      <c r="A3" s="1172" t="s">
        <v>15856</v>
      </c>
      <c r="B3" s="1017"/>
      <c r="C3" s="1063"/>
      <c r="D3" s="1017">
        <f t="shared" ref="D3:D5" si="6">C3*B3</f>
        <v>0</v>
      </c>
      <c r="E3" s="1017">
        <f t="shared" ref="E3:E5" si="7">B3-D3</f>
        <v>0</v>
      </c>
      <c r="F3" s="1018"/>
      <c r="G3" s="1018"/>
      <c r="H3" s="1018">
        <f t="shared" ref="H3:H5" si="8">G3+F3</f>
        <v>0</v>
      </c>
      <c r="I3" s="1017">
        <f t="shared" ref="I3:I5" si="9">H3*4.5%</f>
        <v>0</v>
      </c>
      <c r="J3" s="1017">
        <f t="shared" ref="J3:J5" si="10">I3+H3</f>
        <v>0</v>
      </c>
      <c r="K3" s="1018">
        <f ca="1">SUMIF(Posting!$B:$F,A3,Posting!$F:$F)</f>
        <v>0</v>
      </c>
      <c r="L3" s="1018">
        <f t="shared" ref="L3:L5" ca="1" si="11">J3-K3</f>
        <v>0</v>
      </c>
      <c r="N3" s="244"/>
    </row>
    <row r="4" spans="1:14" s="4" customFormat="1" x14ac:dyDescent="0.3">
      <c r="A4" s="1172" t="s">
        <v>15310</v>
      </c>
      <c r="B4" s="1017"/>
      <c r="C4" s="1063"/>
      <c r="D4" s="1017">
        <f t="shared" si="6"/>
        <v>0</v>
      </c>
      <c r="E4" s="1017">
        <f t="shared" si="7"/>
        <v>0</v>
      </c>
      <c r="F4" s="1018"/>
      <c r="G4" s="1018"/>
      <c r="H4" s="1018">
        <f t="shared" si="8"/>
        <v>0</v>
      </c>
      <c r="I4" s="1017">
        <f t="shared" si="9"/>
        <v>0</v>
      </c>
      <c r="J4" s="1017">
        <f t="shared" si="10"/>
        <v>0</v>
      </c>
      <c r="K4" s="1018">
        <f ca="1">SUMIF(Posting!$B:$F,A4,Posting!$F:$F)</f>
        <v>0</v>
      </c>
      <c r="L4" s="1018">
        <f t="shared" ca="1" si="11"/>
        <v>0</v>
      </c>
      <c r="N4" s="244"/>
    </row>
    <row r="5" spans="1:14" s="4" customFormat="1" x14ac:dyDescent="0.3">
      <c r="A5" s="1172" t="s">
        <v>15257</v>
      </c>
      <c r="B5" s="1017"/>
      <c r="C5" s="1063"/>
      <c r="D5" s="1017">
        <f t="shared" si="6"/>
        <v>0</v>
      </c>
      <c r="E5" s="1017">
        <f t="shared" si="7"/>
        <v>0</v>
      </c>
      <c r="F5" s="1018"/>
      <c r="G5" s="1018"/>
      <c r="H5" s="1018">
        <f t="shared" si="8"/>
        <v>0</v>
      </c>
      <c r="I5" s="1017">
        <f t="shared" si="9"/>
        <v>0</v>
      </c>
      <c r="J5" s="1017">
        <f t="shared" si="10"/>
        <v>0</v>
      </c>
      <c r="K5" s="1018">
        <f ca="1">SUMIF(Posting!$B:$F,A5,Posting!$F:$F)</f>
        <v>8508670</v>
      </c>
      <c r="L5" s="1018">
        <f t="shared" ca="1" si="11"/>
        <v>-8508670</v>
      </c>
      <c r="N5" s="244"/>
    </row>
    <row r="6" spans="1:14" s="4" customFormat="1" x14ac:dyDescent="0.3">
      <c r="A6" s="1051" t="s">
        <v>13297</v>
      </c>
      <c r="B6" s="1017">
        <v>2880705</v>
      </c>
      <c r="C6" s="1063">
        <v>7.0000000000000007E-2</v>
      </c>
      <c r="D6" s="1017">
        <f t="shared" ref="D6:D9" si="12">C6*B6</f>
        <v>201649.35</v>
      </c>
      <c r="E6" s="1017">
        <f t="shared" ref="E6" si="13">B6-D6</f>
        <v>2679055.65</v>
      </c>
      <c r="F6" s="1018"/>
      <c r="G6" s="1018"/>
      <c r="H6" s="1018">
        <f t="shared" ref="H6" si="14">G6+F6</f>
        <v>0</v>
      </c>
      <c r="I6" s="1017">
        <f t="shared" ref="I6" si="15">H6*4.5%</f>
        <v>0</v>
      </c>
      <c r="J6" s="1017">
        <f t="shared" ref="J6" si="16">I6+H6</f>
        <v>0</v>
      </c>
      <c r="K6" s="1018">
        <f ca="1">SUMIF(Posting!$B:$F,A6,Posting!$F:$F)</f>
        <v>2148981</v>
      </c>
      <c r="L6" s="1018">
        <f t="shared" ref="L6" ca="1" si="17">J6-K6</f>
        <v>-2148981</v>
      </c>
      <c r="N6" s="244"/>
    </row>
    <row r="7" spans="1:14" s="4" customFormat="1" x14ac:dyDescent="0.3">
      <c r="A7" s="1051" t="s">
        <v>13279</v>
      </c>
      <c r="B7" s="1017">
        <v>1884625</v>
      </c>
      <c r="C7" s="1063">
        <v>0.1</v>
      </c>
      <c r="D7" s="1017">
        <f t="shared" si="12"/>
        <v>188462.5</v>
      </c>
      <c r="E7" s="1017">
        <f t="shared" ref="E7" si="18">B7-D7</f>
        <v>1696162.5</v>
      </c>
      <c r="F7" s="1018"/>
      <c r="G7" s="1018"/>
      <c r="H7" s="1018">
        <f t="shared" ref="H7" si="19">G7+F7</f>
        <v>0</v>
      </c>
      <c r="I7" s="1017">
        <f t="shared" ref="I7" si="20">H7*4.5%</f>
        <v>0</v>
      </c>
      <c r="J7" s="1017">
        <f t="shared" ref="J7" si="21">I7+H7</f>
        <v>0</v>
      </c>
      <c r="K7" s="1018">
        <f ca="1">SUMIF(Posting!$B:$F,A7,Posting!$F:$F)</f>
        <v>1358848</v>
      </c>
      <c r="L7" s="1018">
        <f t="shared" ref="L7" ca="1" si="22">J7-K7</f>
        <v>-1358848</v>
      </c>
      <c r="N7" s="244"/>
    </row>
    <row r="8" spans="1:14" s="4" customFormat="1" x14ac:dyDescent="0.3">
      <c r="A8" s="1051" t="s">
        <v>13904</v>
      </c>
      <c r="B8" s="1017">
        <v>6181940</v>
      </c>
      <c r="C8" s="1063">
        <v>0.08</v>
      </c>
      <c r="D8" s="1017">
        <f t="shared" si="12"/>
        <v>494555.2</v>
      </c>
      <c r="E8" s="1017">
        <f t="shared" ref="E8" si="23">B8-D8</f>
        <v>5687384.7999999998</v>
      </c>
      <c r="F8" s="1018"/>
      <c r="G8" s="1018"/>
      <c r="H8" s="1018">
        <f t="shared" ref="H8" si="24">G8+F8</f>
        <v>0</v>
      </c>
      <c r="I8" s="1017">
        <f t="shared" ref="I8" si="25">H8*4.5%</f>
        <v>0</v>
      </c>
      <c r="J8" s="1017">
        <f t="shared" ref="J8" si="26">I8+H8</f>
        <v>0</v>
      </c>
      <c r="K8" s="1018">
        <f ca="1">SUMIF(Posting!$B:$F,A8,Posting!$F:$F)</f>
        <v>5645132</v>
      </c>
      <c r="L8" s="1018">
        <f t="shared" ref="L8" ca="1" si="27">J8-K8</f>
        <v>-5645132</v>
      </c>
      <c r="M8" s="4" t="s">
        <v>14195</v>
      </c>
      <c r="N8" s="244"/>
    </row>
    <row r="9" spans="1:14" s="4" customFormat="1" x14ac:dyDescent="0.3">
      <c r="A9" s="1051" t="s">
        <v>13213</v>
      </c>
      <c r="B9" s="1017">
        <v>47244460.5</v>
      </c>
      <c r="C9" s="1063">
        <v>0.08</v>
      </c>
      <c r="D9" s="1017">
        <f t="shared" si="12"/>
        <v>3779556.84</v>
      </c>
      <c r="E9" s="1017">
        <f t="shared" ref="E9" si="28">B9-D9</f>
        <v>43464903.659999996</v>
      </c>
      <c r="F9" s="1018"/>
      <c r="G9" s="1018"/>
      <c r="H9" s="1018">
        <f t="shared" ref="H9" si="29">G9+F9</f>
        <v>0</v>
      </c>
      <c r="I9" s="1017">
        <f t="shared" ref="I9" si="30">H9*4.5%</f>
        <v>0</v>
      </c>
      <c r="J9" s="1017">
        <f t="shared" ref="J9" si="31">I9+H9</f>
        <v>0</v>
      </c>
      <c r="K9" s="1018">
        <f ca="1">SUMIF(Posting!$B:$F,A9,Posting!$F:$F)</f>
        <v>27277412</v>
      </c>
      <c r="L9" s="1018">
        <f t="shared" ref="L9" ca="1" si="32">J9-K9</f>
        <v>-27277412</v>
      </c>
      <c r="M9" s="4" t="s">
        <v>14195</v>
      </c>
      <c r="N9" s="244"/>
    </row>
    <row r="10" spans="1:14" s="4" customFormat="1" x14ac:dyDescent="0.3">
      <c r="A10" s="1051" t="s">
        <v>13165</v>
      </c>
      <c r="B10" s="1017">
        <v>28834775</v>
      </c>
      <c r="C10" s="1064" t="s">
        <v>12639</v>
      </c>
      <c r="D10" s="1017">
        <f>B10-E10</f>
        <v>4334775</v>
      </c>
      <c r="E10" s="1017">
        <v>24500000</v>
      </c>
      <c r="F10" s="1018"/>
      <c r="G10" s="1018"/>
      <c r="H10" s="1018">
        <f t="shared" ref="H10" si="33">G10+F10</f>
        <v>0</v>
      </c>
      <c r="I10" s="1017">
        <f t="shared" ref="I10" si="34">H10*4.5%</f>
        <v>0</v>
      </c>
      <c r="J10" s="1017">
        <f t="shared" ref="J10" si="35">I10+H10</f>
        <v>0</v>
      </c>
      <c r="K10" s="1018">
        <f ca="1">SUMIF(Posting!$B:$F,A10,Posting!$F:$F)</f>
        <v>6001008</v>
      </c>
      <c r="L10" s="1018">
        <f t="shared" ref="L10" ca="1" si="36">J10-K10</f>
        <v>-6001008</v>
      </c>
      <c r="N10" s="244"/>
    </row>
    <row r="11" spans="1:14" s="4" customFormat="1" x14ac:dyDescent="0.3">
      <c r="A11" s="1051" t="s">
        <v>13240</v>
      </c>
      <c r="B11" s="1017">
        <v>18946080</v>
      </c>
      <c r="C11" s="1063">
        <v>0.15</v>
      </c>
      <c r="D11" s="1017">
        <f>C11*B11</f>
        <v>2841912</v>
      </c>
      <c r="E11" s="1017">
        <f t="shared" ref="E11" si="37">B11-D11</f>
        <v>16104168</v>
      </c>
      <c r="F11" s="1018"/>
      <c r="G11" s="1018"/>
      <c r="H11" s="1018">
        <f t="shared" ref="H11" si="38">G11+F11</f>
        <v>0</v>
      </c>
      <c r="I11" s="1017">
        <f t="shared" ref="I11" si="39">H11*4.5%</f>
        <v>0</v>
      </c>
      <c r="J11" s="1017">
        <f t="shared" ref="J11" si="40">I11+H11</f>
        <v>0</v>
      </c>
      <c r="K11" s="1018">
        <f ca="1">SUMIF(Posting!$B:$F,A11,Posting!$F:$F)</f>
        <v>8907586</v>
      </c>
      <c r="L11" s="1018">
        <f t="shared" ref="L11" ca="1" si="41">J11-K11</f>
        <v>-8907586</v>
      </c>
      <c r="M11" s="4" t="s">
        <v>14195</v>
      </c>
      <c r="N11" s="244"/>
    </row>
    <row r="12" spans="1:14" s="4" customFormat="1" x14ac:dyDescent="0.3">
      <c r="A12" s="1051" t="s">
        <v>14196</v>
      </c>
      <c r="B12" s="1017">
        <v>9488782</v>
      </c>
      <c r="C12" s="1064" t="s">
        <v>12639</v>
      </c>
      <c r="D12" s="1017">
        <f>B12-E12</f>
        <v>1688782</v>
      </c>
      <c r="E12" s="1017">
        <v>7800000</v>
      </c>
      <c r="F12" s="1018"/>
      <c r="G12" s="1018"/>
      <c r="H12" s="1018">
        <f t="shared" ref="H12:H13" si="42">G12+F12</f>
        <v>0</v>
      </c>
      <c r="I12" s="1017">
        <f t="shared" ref="I12:I13" si="43">H12*4.5%</f>
        <v>0</v>
      </c>
      <c r="J12" s="1017">
        <f t="shared" ref="J12:J13" si="44">I12+H12</f>
        <v>0</v>
      </c>
      <c r="K12" s="1018">
        <f ca="1">SUMIF(Posting!$B:$F,A12,Posting!$F:$F)</f>
        <v>9167409</v>
      </c>
      <c r="L12" s="1018">
        <f t="shared" ref="L12:L13" ca="1" si="45">J12-K12</f>
        <v>-9167409</v>
      </c>
      <c r="M12" s="4" t="s">
        <v>14195</v>
      </c>
      <c r="N12" s="244"/>
    </row>
    <row r="13" spans="1:14" s="4" customFormat="1" x14ac:dyDescent="0.3">
      <c r="A13" s="1051" t="s">
        <v>15257</v>
      </c>
      <c r="B13" s="1017"/>
      <c r="C13" s="1063">
        <v>0.1</v>
      </c>
      <c r="D13" s="1017">
        <f>C13*B13</f>
        <v>0</v>
      </c>
      <c r="E13" s="1017">
        <v>21222190.550000001</v>
      </c>
      <c r="F13" s="1018"/>
      <c r="G13" s="1018"/>
      <c r="H13" s="1018">
        <f t="shared" si="42"/>
        <v>0</v>
      </c>
      <c r="I13" s="1017">
        <f t="shared" si="43"/>
        <v>0</v>
      </c>
      <c r="J13" s="1017">
        <f t="shared" si="44"/>
        <v>0</v>
      </c>
      <c r="K13" s="1018">
        <f ca="1">SUMIF(Posting!$B:$F,A13,Posting!$F:$F)</f>
        <v>8508670</v>
      </c>
      <c r="L13" s="1018">
        <f t="shared" ca="1" si="45"/>
        <v>-8508670</v>
      </c>
      <c r="N13" s="244"/>
    </row>
    <row r="14" spans="1:14" s="4" customFormat="1" x14ac:dyDescent="0.3">
      <c r="A14" s="1051" t="s">
        <v>12388</v>
      </c>
      <c r="B14" s="1017"/>
      <c r="C14" s="1063">
        <v>0.1</v>
      </c>
      <c r="D14" s="1017">
        <f>C14*B14</f>
        <v>0</v>
      </c>
      <c r="E14" s="1017">
        <v>38954415.700000003</v>
      </c>
      <c r="F14" s="1018"/>
      <c r="G14" s="1018"/>
      <c r="H14" s="1018">
        <f t="shared" ref="H14:H29" si="46">G14+F14</f>
        <v>0</v>
      </c>
      <c r="I14" s="1017">
        <f t="shared" ref="I14:I29" si="47">H14*4.5%</f>
        <v>0</v>
      </c>
      <c r="J14" s="1017">
        <f t="shared" ref="J14:J27" si="48">I14+H14</f>
        <v>0</v>
      </c>
      <c r="K14" s="1018">
        <f ca="1">SUMIF(Posting!$B:$F,A14,Posting!$F:$F)</f>
        <v>12898454</v>
      </c>
      <c r="L14" s="1018">
        <f t="shared" ref="L14:L29" ca="1" si="49">J14-K14</f>
        <v>-12898454</v>
      </c>
      <c r="N14" s="244"/>
    </row>
    <row r="15" spans="1:14" s="4" customFormat="1" x14ac:dyDescent="0.3">
      <c r="A15" s="1051" t="s">
        <v>12742</v>
      </c>
      <c r="B15" s="1017"/>
      <c r="C15" s="1064"/>
      <c r="D15" s="1017"/>
      <c r="E15" s="1017"/>
      <c r="F15" s="1018"/>
      <c r="G15" s="1018"/>
      <c r="H15" s="1018">
        <f t="shared" si="46"/>
        <v>0</v>
      </c>
      <c r="I15" s="1017">
        <f t="shared" si="47"/>
        <v>0</v>
      </c>
      <c r="J15" s="1017">
        <f t="shared" si="48"/>
        <v>0</v>
      </c>
      <c r="K15" s="1018">
        <f ca="1">SUMIF(Posting!$B:$F,A15,Posting!$F:$F)</f>
        <v>0</v>
      </c>
      <c r="L15" s="1018">
        <f t="shared" ca="1" si="49"/>
        <v>0</v>
      </c>
      <c r="N15" s="244"/>
    </row>
    <row r="16" spans="1:14" s="4" customFormat="1" x14ac:dyDescent="0.3">
      <c r="A16" s="1051" t="s">
        <v>12583</v>
      </c>
      <c r="B16" s="1017"/>
      <c r="C16" s="1063"/>
      <c r="D16" s="1017"/>
      <c r="E16" s="1017">
        <f>B16-D16</f>
        <v>0</v>
      </c>
      <c r="F16" s="1018"/>
      <c r="G16" s="1018"/>
      <c r="H16" s="1018">
        <f>G16+F16</f>
        <v>0</v>
      </c>
      <c r="I16" s="1017">
        <f>H16*4.5%</f>
        <v>0</v>
      </c>
      <c r="J16" s="1017">
        <f>I16+H16</f>
        <v>0</v>
      </c>
      <c r="K16" s="1018">
        <f ca="1">SUMIF(Posting!$B:$F,A16,Posting!$F:$F)</f>
        <v>120000</v>
      </c>
      <c r="L16" s="1018">
        <f ca="1">J16-K16</f>
        <v>-120000</v>
      </c>
      <c r="N16" s="244"/>
    </row>
    <row r="17" spans="1:200" s="4" customFormat="1" x14ac:dyDescent="0.3">
      <c r="A17" s="1051" t="s">
        <v>13636</v>
      </c>
      <c r="B17" s="1017"/>
      <c r="C17" s="1063"/>
      <c r="D17" s="1017">
        <f>C17*B17</f>
        <v>0</v>
      </c>
      <c r="E17" s="1017">
        <f t="shared" ref="E17" si="50">B17-D17</f>
        <v>0</v>
      </c>
      <c r="F17" s="1018">
        <f>773710+395798</f>
        <v>1169508</v>
      </c>
      <c r="G17" s="1018">
        <v>391569</v>
      </c>
      <c r="H17" s="1018">
        <f t="shared" ref="H17" si="51">G17+F17</f>
        <v>1561077</v>
      </c>
      <c r="I17" s="1017">
        <f t="shared" ref="I17" si="52">H17*4.5%</f>
        <v>70248.464999999997</v>
      </c>
      <c r="J17" s="1017">
        <f t="shared" ref="J17" si="53">I17+H17</f>
        <v>1631325.4650000001</v>
      </c>
      <c r="K17" s="1018">
        <f ca="1">SUMIF(Posting!$B:$F,A17,Posting!$F:$F)</f>
        <v>0</v>
      </c>
      <c r="L17" s="1018">
        <f t="shared" ref="L17" ca="1" si="54">J17-K17</f>
        <v>1631325.4650000001</v>
      </c>
      <c r="N17" s="244"/>
    </row>
    <row r="18" spans="1:200" s="4" customFormat="1" x14ac:dyDescent="0.3">
      <c r="A18" s="1051" t="s">
        <v>14154</v>
      </c>
      <c r="B18" s="1017">
        <v>11500000</v>
      </c>
      <c r="C18" s="1063"/>
      <c r="D18" s="1017">
        <f>C18*B18</f>
        <v>0</v>
      </c>
      <c r="E18" s="1017">
        <f t="shared" ref="E18" si="55">B18-D18</f>
        <v>11500000</v>
      </c>
      <c r="F18" s="1018">
        <v>8507790</v>
      </c>
      <c r="G18" s="1018">
        <v>2067598</v>
      </c>
      <c r="H18" s="1018">
        <f t="shared" ref="H18" si="56">G18+F18</f>
        <v>10575388</v>
      </c>
      <c r="I18" s="1017">
        <f t="shared" ref="I18" si="57">H18*4.5%</f>
        <v>475892.45999999996</v>
      </c>
      <c r="J18" s="1017">
        <f t="shared" ref="J18" si="58">I18+H18</f>
        <v>11051280.460000001</v>
      </c>
      <c r="K18" s="1018">
        <f ca="1">SUMIF(Posting!$B:$F,A18,Posting!$F:$F)</f>
        <v>8097014</v>
      </c>
      <c r="L18" s="1018">
        <f t="shared" ref="L18" ca="1" si="59">J18-K18</f>
        <v>2954266.4600000009</v>
      </c>
      <c r="M18" s="4" t="s">
        <v>14195</v>
      </c>
      <c r="N18" s="244"/>
    </row>
    <row r="19" spans="1:200" s="4" customFormat="1" x14ac:dyDescent="0.3">
      <c r="A19" s="1172" t="s">
        <v>13213</v>
      </c>
      <c r="B19" s="1017">
        <v>47244460.5</v>
      </c>
      <c r="C19" s="1063">
        <v>0.08</v>
      </c>
      <c r="D19" s="1017">
        <f t="shared" ref="D19" si="60">C19*B19</f>
        <v>3779556.84</v>
      </c>
      <c r="E19" s="1017">
        <f t="shared" ref="E19" si="61">B19-D19</f>
        <v>43464903.659999996</v>
      </c>
      <c r="F19" s="1018">
        <v>43464904</v>
      </c>
      <c r="G19" s="1018">
        <v>1621492</v>
      </c>
      <c r="H19" s="1018">
        <f t="shared" ref="H19" si="62">G19+F19</f>
        <v>45086396</v>
      </c>
      <c r="I19" s="1017">
        <f t="shared" ref="I19" si="63">H19*4.5%</f>
        <v>2028887.8199999998</v>
      </c>
      <c r="J19" s="1017">
        <f t="shared" ref="J19" si="64">I19+H19</f>
        <v>47115283.82</v>
      </c>
      <c r="K19" s="1018">
        <f ca="1">SUMIF(Posting!$B:$F,A19,Posting!$F:$F)</f>
        <v>27277412</v>
      </c>
      <c r="L19" s="1018">
        <f t="shared" ref="L19" ca="1" si="65">J19-K19</f>
        <v>19837871.82</v>
      </c>
      <c r="M19" s="4" t="s">
        <v>14195</v>
      </c>
      <c r="N19" s="244"/>
    </row>
    <row r="20" spans="1:200" s="4" customFormat="1" x14ac:dyDescent="0.3">
      <c r="A20" s="1051" t="s">
        <v>11586</v>
      </c>
      <c r="B20" s="1017"/>
      <c r="C20" s="1063"/>
      <c r="D20" s="1017"/>
      <c r="E20" s="1017">
        <f>'[4]quotation 2'!$I$20</f>
        <v>11816000</v>
      </c>
      <c r="F20" s="1018">
        <v>5721872</v>
      </c>
      <c r="G20" s="1018">
        <v>11816000</v>
      </c>
      <c r="H20" s="1018">
        <f>G20+F20</f>
        <v>17537872</v>
      </c>
      <c r="I20" s="1017">
        <f>H20*4.5%</f>
        <v>789204.24</v>
      </c>
      <c r="J20" s="1017">
        <f>I20+H20</f>
        <v>18327076.239999998</v>
      </c>
      <c r="K20" s="1042">
        <f ca="1">SUMIF(Posting!$B:$F,A20,Posting!$F:$F)</f>
        <v>17854400</v>
      </c>
      <c r="L20" s="1018">
        <f ca="1">J20-K20</f>
        <v>472676.23999999836</v>
      </c>
      <c r="N20" s="244">
        <v>15354400</v>
      </c>
      <c r="O20" s="1023">
        <f ca="1">N20-K20</f>
        <v>-2500000</v>
      </c>
    </row>
    <row r="21" spans="1:200" s="1019" customFormat="1" x14ac:dyDescent="0.3">
      <c r="A21" s="1051" t="s">
        <v>11423</v>
      </c>
      <c r="B21" s="1017"/>
      <c r="C21" s="1063"/>
      <c r="D21" s="1017"/>
      <c r="E21" s="1017">
        <f>B21-D21</f>
        <v>0</v>
      </c>
      <c r="F21" s="1018">
        <v>11760000</v>
      </c>
      <c r="G21" s="1018">
        <v>111360</v>
      </c>
      <c r="H21" s="1018">
        <f>G21+F21</f>
        <v>11871360</v>
      </c>
      <c r="I21" s="1017">
        <f>H21*4.5%</f>
        <v>534211.19999999995</v>
      </c>
      <c r="J21" s="1017">
        <f>I21+H21</f>
        <v>12405571.199999999</v>
      </c>
      <c r="K21" s="1042">
        <f ca="1">SUMIF(Posting!$B:$F,A21,Posting!$F:$F)</f>
        <v>11253125</v>
      </c>
      <c r="L21" s="1018">
        <f ca="1">J21-K21</f>
        <v>1152446.1999999993</v>
      </c>
      <c r="M21" s="4" t="s">
        <v>14195</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4" customFormat="1" x14ac:dyDescent="0.3">
      <c r="A22" s="1171" t="s">
        <v>12585</v>
      </c>
      <c r="B22" s="1017">
        <v>5138700</v>
      </c>
      <c r="C22" s="1064" t="s">
        <v>12639</v>
      </c>
      <c r="D22" s="1017">
        <v>138700</v>
      </c>
      <c r="E22" s="1017">
        <f>B22-D22</f>
        <v>5000000</v>
      </c>
      <c r="F22" s="1018">
        <v>5000000</v>
      </c>
      <c r="G22" s="1018">
        <v>139008</v>
      </c>
      <c r="H22" s="1018">
        <f>G22+F22</f>
        <v>5139008</v>
      </c>
      <c r="I22" s="1017">
        <f>H22*4.5%</f>
        <v>231255.36</v>
      </c>
      <c r="J22" s="1017">
        <f>I22+H22</f>
        <v>5370263.3600000003</v>
      </c>
      <c r="K22" s="1042">
        <f ca="1">SUMIF(Posting!$B:$F,A22,Posting!$F:$F)</f>
        <v>2900094</v>
      </c>
      <c r="L22" s="1018">
        <f ca="1">J22-K22</f>
        <v>2470169.3600000003</v>
      </c>
      <c r="M22" s="4" t="s">
        <v>14195</v>
      </c>
      <c r="N22" s="244"/>
    </row>
    <row r="23" spans="1:200" s="4" customFormat="1" x14ac:dyDescent="0.3">
      <c r="A23" s="1171" t="s">
        <v>11864</v>
      </c>
      <c r="B23" s="1017">
        <v>76247089.599999994</v>
      </c>
      <c r="C23" s="1063">
        <v>0.12</v>
      </c>
      <c r="D23" s="1017">
        <f>C23*B23</f>
        <v>9149650.7519999985</v>
      </c>
      <c r="E23" s="1017">
        <f t="shared" ref="E23:E29" si="66">B23-D23</f>
        <v>67097438.847999997</v>
      </c>
      <c r="F23" s="1018"/>
      <c r="G23" s="1018"/>
      <c r="H23" s="1018">
        <f>E23</f>
        <v>67097438.847999997</v>
      </c>
      <c r="I23" s="1017">
        <f t="shared" si="47"/>
        <v>3019384.74816</v>
      </c>
      <c r="J23" s="1017">
        <f t="shared" si="48"/>
        <v>70116823.596159995</v>
      </c>
      <c r="K23" s="1042">
        <f ca="1">SUMIF(Posting!$B:$F,A23,Posting!$F:$F)</f>
        <v>62447124</v>
      </c>
      <c r="L23" s="1018">
        <f t="shared" ca="1" si="49"/>
        <v>7669699.5961599946</v>
      </c>
      <c r="M23" s="4" t="s">
        <v>14195</v>
      </c>
      <c r="N23" s="244"/>
    </row>
    <row r="24" spans="1:200" s="1019" customFormat="1" x14ac:dyDescent="0.3">
      <c r="A24" s="1171" t="s">
        <v>10326</v>
      </c>
      <c r="B24" s="1017"/>
      <c r="C24" s="1063"/>
      <c r="D24" s="1017"/>
      <c r="E24" s="1017">
        <v>9265000</v>
      </c>
      <c r="F24" s="1018">
        <v>9265000</v>
      </c>
      <c r="G24" s="1018">
        <v>1179300</v>
      </c>
      <c r="H24" s="1018">
        <f>G24+E24</f>
        <v>10444300</v>
      </c>
      <c r="I24" s="1017">
        <f t="shared" si="47"/>
        <v>469993.5</v>
      </c>
      <c r="J24" s="1017">
        <f t="shared" si="48"/>
        <v>10914293.5</v>
      </c>
      <c r="K24" s="1042">
        <f ca="1">SUMIF(Posting!$B:$F,A24,Posting!$F:$F)</f>
        <v>9632939</v>
      </c>
      <c r="L24" s="1018">
        <f t="shared" ca="1" si="49"/>
        <v>1281354.5</v>
      </c>
      <c r="M24" s="4"/>
      <c r="N24" s="244">
        <v>8801750</v>
      </c>
      <c r="O24" s="1023">
        <f ca="1">N24-K24</f>
        <v>-831189</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171" t="s">
        <v>9390</v>
      </c>
      <c r="B25" s="1017">
        <v>9435400</v>
      </c>
      <c r="C25" s="1063"/>
      <c r="D25" s="1017"/>
      <c r="E25" s="1017">
        <f t="shared" si="66"/>
        <v>9435400</v>
      </c>
      <c r="F25" s="1018">
        <v>7634180.5</v>
      </c>
      <c r="G25" s="1018">
        <v>1355781</v>
      </c>
      <c r="H25" s="1018">
        <f t="shared" si="46"/>
        <v>8989961.5</v>
      </c>
      <c r="I25" s="1017">
        <f t="shared" si="47"/>
        <v>404548.26749999996</v>
      </c>
      <c r="J25" s="1017">
        <f t="shared" si="48"/>
        <v>9394509.7675000001</v>
      </c>
      <c r="K25" s="1042">
        <f ca="1">SUMIF(Posting!$B:$F,A25,Posting!$F:$F)</f>
        <v>6590400</v>
      </c>
      <c r="L25" s="1018">
        <f t="shared" ca="1" si="49"/>
        <v>2804109.7675000001</v>
      </c>
      <c r="M25" s="4" t="s">
        <v>14195</v>
      </c>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171" t="s">
        <v>9495</v>
      </c>
      <c r="B26" s="1017">
        <f>[5]Summary!$C$14</f>
        <v>7767350</v>
      </c>
      <c r="C26" s="1063"/>
      <c r="D26" s="1017"/>
      <c r="E26" s="1017">
        <f t="shared" si="66"/>
        <v>7767350</v>
      </c>
      <c r="F26" s="1018">
        <v>4180000</v>
      </c>
      <c r="G26" s="1018">
        <v>657480</v>
      </c>
      <c r="H26" s="1018">
        <f t="shared" si="46"/>
        <v>4837480</v>
      </c>
      <c r="I26" s="1017">
        <f t="shared" si="47"/>
        <v>217686.6</v>
      </c>
      <c r="J26" s="1017">
        <f t="shared" si="48"/>
        <v>5055166.5999999996</v>
      </c>
      <c r="K26" s="1042">
        <f ca="1">SUMIF(Posting!$B:$F,A26,Posting!$F:$F)</f>
        <v>3185630</v>
      </c>
      <c r="L26" s="1018">
        <f t="shared" ca="1" si="49"/>
        <v>1869536.5999999996</v>
      </c>
      <c r="M26" s="4"/>
      <c r="N26" s="244">
        <v>3335630</v>
      </c>
      <c r="O26" s="1023">
        <f ca="1">N26-K26</f>
        <v>150000</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171" t="s">
        <v>8329</v>
      </c>
      <c r="B27" s="1017">
        <v>12161762</v>
      </c>
      <c r="C27" s="1063"/>
      <c r="D27" s="1017"/>
      <c r="E27" s="1017">
        <f t="shared" si="66"/>
        <v>12161762</v>
      </c>
      <c r="F27" s="1018">
        <v>12508883.5</v>
      </c>
      <c r="G27" s="1018">
        <f>[6]Sheet1!$C$26</f>
        <v>1879892</v>
      </c>
      <c r="H27" s="1018">
        <f t="shared" si="46"/>
        <v>14388775.5</v>
      </c>
      <c r="I27" s="1017">
        <f t="shared" si="47"/>
        <v>647494.89749999996</v>
      </c>
      <c r="J27" s="1017">
        <f t="shared" si="48"/>
        <v>15036270.397500001</v>
      </c>
      <c r="K27" s="1042">
        <f ca="1">SUMIF(Posting!$B:$F,A27,Posting!$F:$F)</f>
        <v>14204081</v>
      </c>
      <c r="L27" s="1018">
        <f t="shared" ca="1" si="49"/>
        <v>832189.39750000089</v>
      </c>
      <c r="M27" s="4" t="s">
        <v>14195</v>
      </c>
      <c r="N27" s="24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8034</v>
      </c>
      <c r="B28" s="1017">
        <v>24512695</v>
      </c>
      <c r="C28" s="1063"/>
      <c r="D28" s="1017"/>
      <c r="E28" s="1017">
        <f>B28-D28</f>
        <v>24512695</v>
      </c>
      <c r="F28" s="1018">
        <v>26121171.999999996</v>
      </c>
      <c r="G28" s="1018">
        <f>[7]Sheet1!$E$24</f>
        <v>3571369.0625</v>
      </c>
      <c r="H28" s="1018">
        <f t="shared" si="46"/>
        <v>29692541.062499996</v>
      </c>
      <c r="I28" s="1017">
        <f t="shared" si="47"/>
        <v>1336164.3478124999</v>
      </c>
      <c r="J28" s="1017">
        <f>I28+H28</f>
        <v>31028705.410312496</v>
      </c>
      <c r="K28" s="1042">
        <f ca="1">SUMIF(Posting!$B:$F,A28,Posting!$F:$F)-835500</f>
        <v>27744816</v>
      </c>
      <c r="L28" s="1018">
        <f t="shared" ca="1" si="49"/>
        <v>3283889.4103124961</v>
      </c>
      <c r="M28" s="1023"/>
      <c r="N28" s="244">
        <v>28204816</v>
      </c>
      <c r="O28" s="1023">
        <f ca="1">N28-K28</f>
        <v>460000</v>
      </c>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8856</v>
      </c>
      <c r="B29" s="1017">
        <v>5842450</v>
      </c>
      <c r="C29" s="1017"/>
      <c r="D29" s="1017">
        <v>188450</v>
      </c>
      <c r="E29" s="1017">
        <f t="shared" si="66"/>
        <v>5654000</v>
      </c>
      <c r="F29" s="1018">
        <v>5866320</v>
      </c>
      <c r="G29" s="1018">
        <f>[8]Sheet1!$C$23</f>
        <v>1099464.3999999999</v>
      </c>
      <c r="H29" s="1018">
        <f t="shared" si="46"/>
        <v>6965784.4000000004</v>
      </c>
      <c r="I29" s="1017">
        <f t="shared" si="47"/>
        <v>313460.29800000001</v>
      </c>
      <c r="J29" s="1017">
        <f>I29+H29</f>
        <v>7279244.6980000008</v>
      </c>
      <c r="K29" s="1042">
        <f ca="1">SUMIF(Posting!$B:$F,A29,Posting!$F:$F)</f>
        <v>6000000</v>
      </c>
      <c r="L29" s="1018">
        <f t="shared" ca="1" si="49"/>
        <v>1279244.6980000008</v>
      </c>
      <c r="M29" s="4" t="s">
        <v>14195</v>
      </c>
      <c r="N29" s="24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hidden="1" x14ac:dyDescent="0.3">
      <c r="A30" s="1171" t="s">
        <v>7914</v>
      </c>
      <c r="B30" s="1017">
        <v>22948040</v>
      </c>
      <c r="C30" s="1085">
        <v>6.3E-2</v>
      </c>
      <c r="D30" s="1017">
        <v>1445726.52</v>
      </c>
      <c r="E30" s="1017">
        <f>B30-D30</f>
        <v>21502313.48</v>
      </c>
      <c r="F30" s="1018">
        <v>22717925.745000001</v>
      </c>
      <c r="G30" s="1018">
        <v>1010566</v>
      </c>
      <c r="H30" s="1018">
        <f>G30+F30</f>
        <v>23728491.745000001</v>
      </c>
      <c r="I30" s="1017">
        <f>H30*4.5%</f>
        <v>1067782.1285250001</v>
      </c>
      <c r="J30" s="1017">
        <f>I30+H30</f>
        <v>24796273.873525001</v>
      </c>
      <c r="K30" s="1042">
        <f ca="1">SUMIF(Posting!$B:$F,A30,Posting!$F:$F)</f>
        <v>26037593</v>
      </c>
      <c r="L30" s="1018">
        <f ca="1">J30-K30</f>
        <v>-1241319.1264749989</v>
      </c>
      <c r="M30" s="4" t="s">
        <v>15246</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4" customFormat="1" hidden="1" x14ac:dyDescent="0.3">
      <c r="A31" s="1171" t="s">
        <v>9649</v>
      </c>
      <c r="B31" s="1017">
        <v>19265070</v>
      </c>
      <c r="C31" s="1063"/>
      <c r="D31" s="1017"/>
      <c r="E31" s="1017">
        <f>B31-D31</f>
        <v>19265070</v>
      </c>
      <c r="F31" s="1018">
        <f>10683425+1415450</f>
        <v>12098875</v>
      </c>
      <c r="G31" s="1018">
        <f>[9]Sheet1!$C$20</f>
        <v>553023</v>
      </c>
      <c r="H31" s="1018">
        <f>G31+F31</f>
        <v>12651898</v>
      </c>
      <c r="I31" s="1017">
        <f>H31*4.5%</f>
        <v>569335.41</v>
      </c>
      <c r="J31" s="1017">
        <f>I31+H31</f>
        <v>13221233.41</v>
      </c>
      <c r="K31" s="1042">
        <f ca="1">SUMIF(Posting!$B:$F,A31,Posting!$F:$F)</f>
        <v>13223436</v>
      </c>
      <c r="L31" s="1018">
        <f ca="1">J31-K31</f>
        <v>-2202.589999999851</v>
      </c>
      <c r="M31" s="4" t="s">
        <v>15246</v>
      </c>
      <c r="N31" s="244">
        <v>10000000</v>
      </c>
      <c r="O31" s="1023">
        <f ca="1">N31-K31</f>
        <v>-3223436</v>
      </c>
    </row>
    <row r="32" spans="1:200" s="1019" customFormat="1" hidden="1" x14ac:dyDescent="0.3">
      <c r="A32" s="1171" t="s">
        <v>8864</v>
      </c>
      <c r="B32" s="1017">
        <v>14110484</v>
      </c>
      <c r="C32" s="1063">
        <v>7.0000000000000007E-2</v>
      </c>
      <c r="D32" s="1017">
        <f>C32*B32</f>
        <v>987733.88000000012</v>
      </c>
      <c r="E32" s="1017">
        <f t="shared" ref="E32" si="67">B32-D32</f>
        <v>13122750.119999999</v>
      </c>
      <c r="F32" s="1018">
        <v>13470818.6</v>
      </c>
      <c r="G32" s="1018">
        <f>[10]Sheet1!$D$26+2273000</f>
        <v>5364025.32</v>
      </c>
      <c r="H32" s="1018">
        <f>G32+F32</f>
        <v>18834843.920000002</v>
      </c>
      <c r="I32" s="1017">
        <f>H32*4.5%</f>
        <v>847567.97640000004</v>
      </c>
      <c r="J32" s="1017">
        <f>I32+H32</f>
        <v>19682411.896400001</v>
      </c>
      <c r="K32" s="1042">
        <v>19682412</v>
      </c>
      <c r="L32" s="1018">
        <f>J32-K32</f>
        <v>-0.10359999909996986</v>
      </c>
      <c r="M32" s="4" t="s">
        <v>15246</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91" customFormat="1" ht="23.25" customHeight="1" x14ac:dyDescent="0.25">
      <c r="A33" s="1086"/>
      <c r="B33" s="1018"/>
      <c r="C33" s="1087"/>
      <c r="D33" s="1018"/>
      <c r="E33" s="1018"/>
      <c r="F33" s="1088"/>
      <c r="G33" s="1088"/>
      <c r="H33" s="1088"/>
      <c r="I33" s="1018"/>
      <c r="J33" s="1088">
        <f>SUM(J9:J29)</f>
        <v>244725814.51447254</v>
      </c>
      <c r="K33" s="1088">
        <f ca="1">SUM(K6:K29)</f>
        <v>279220535</v>
      </c>
      <c r="L33" s="1067">
        <f ca="1">SUM(L6:L32)</f>
        <v>-35738242.305602491</v>
      </c>
      <c r="M33" s="1089"/>
      <c r="N33" s="1101"/>
      <c r="O33" s="1090"/>
      <c r="P33" s="1090"/>
      <c r="Q33" s="1090"/>
      <c r="R33" s="1090"/>
      <c r="S33" s="1090"/>
      <c r="T33" s="1090"/>
      <c r="U33" s="1090"/>
      <c r="V33" s="1090"/>
      <c r="W33" s="1090"/>
      <c r="X33" s="1090"/>
      <c r="Y33" s="1090"/>
      <c r="Z33" s="1090"/>
      <c r="AA33" s="1090"/>
      <c r="AB33" s="1090"/>
      <c r="AC33" s="1090"/>
      <c r="AD33" s="1090"/>
      <c r="AE33" s="1090"/>
      <c r="AF33" s="1090"/>
      <c r="AG33" s="1090"/>
      <c r="AH33" s="1090"/>
      <c r="AI33" s="1090"/>
      <c r="AJ33" s="1090"/>
      <c r="AK33" s="1090"/>
      <c r="AL33" s="1090"/>
      <c r="AM33" s="1090"/>
      <c r="AN33" s="1090"/>
      <c r="AO33" s="1090"/>
      <c r="AP33" s="1090"/>
      <c r="AQ33" s="1090"/>
      <c r="AR33" s="1090"/>
      <c r="AS33" s="1090"/>
      <c r="AT33" s="1090"/>
      <c r="AU33" s="1090"/>
      <c r="AV33" s="1090"/>
      <c r="AW33" s="1090"/>
      <c r="AX33" s="1090"/>
      <c r="AY33" s="1090"/>
      <c r="AZ33" s="1090"/>
      <c r="BA33" s="1090"/>
      <c r="BB33" s="1090"/>
      <c r="BC33" s="1090"/>
      <c r="BD33" s="1090"/>
      <c r="BE33" s="1090"/>
      <c r="BF33" s="1090"/>
      <c r="BG33" s="1090"/>
      <c r="BH33" s="1090"/>
      <c r="BI33" s="1090"/>
      <c r="BJ33" s="1090"/>
      <c r="BK33" s="1090"/>
      <c r="BL33" s="1090"/>
      <c r="BM33" s="1090"/>
      <c r="BN33" s="1090"/>
      <c r="BO33" s="1090"/>
      <c r="BP33" s="1090"/>
      <c r="BQ33" s="1090"/>
      <c r="BR33" s="1090"/>
      <c r="BS33" s="1090"/>
      <c r="BT33" s="1090"/>
      <c r="BU33" s="1090"/>
      <c r="BV33" s="1090"/>
      <c r="BW33" s="1090"/>
      <c r="BX33" s="1090"/>
      <c r="BY33" s="1090"/>
      <c r="BZ33" s="1090"/>
      <c r="CA33" s="1090"/>
      <c r="CB33" s="1090"/>
      <c r="CC33" s="1090"/>
      <c r="CD33" s="1090"/>
      <c r="CE33" s="1090"/>
      <c r="CF33" s="1090"/>
      <c r="CG33" s="1090"/>
      <c r="CH33" s="1090"/>
      <c r="CI33" s="1090"/>
      <c r="CJ33" s="1090"/>
      <c r="CK33" s="1090"/>
      <c r="CL33" s="1090"/>
      <c r="CM33" s="1090"/>
      <c r="CN33" s="1090"/>
      <c r="CO33" s="1090"/>
      <c r="CP33" s="1090"/>
      <c r="CQ33" s="1090"/>
      <c r="CR33" s="1090"/>
      <c r="CS33" s="1090"/>
      <c r="CT33" s="1090"/>
      <c r="CU33" s="1090"/>
      <c r="CV33" s="1090"/>
      <c r="CW33" s="1090"/>
      <c r="CX33" s="1090"/>
      <c r="CY33" s="1090"/>
      <c r="CZ33" s="1090"/>
      <c r="DA33" s="1090"/>
      <c r="DB33" s="1090"/>
      <c r="DC33" s="1090"/>
      <c r="DD33" s="1090"/>
      <c r="DE33" s="1090"/>
      <c r="DF33" s="1090"/>
      <c r="DG33" s="1090"/>
      <c r="DH33" s="1090"/>
      <c r="DI33" s="1090"/>
      <c r="DJ33" s="1090"/>
      <c r="DK33" s="1090"/>
      <c r="DL33" s="1090"/>
      <c r="DM33" s="1090"/>
      <c r="DN33" s="1090"/>
      <c r="DO33" s="1090"/>
      <c r="DP33" s="1090"/>
      <c r="DQ33" s="1090"/>
      <c r="DR33" s="1090"/>
      <c r="DS33" s="1090"/>
      <c r="DT33" s="1090"/>
      <c r="DU33" s="1090"/>
      <c r="DV33" s="1090"/>
      <c r="DW33" s="1090"/>
      <c r="DX33" s="1090"/>
      <c r="DY33" s="1090"/>
      <c r="DZ33" s="1090"/>
      <c r="EA33" s="1090"/>
      <c r="EB33" s="1090"/>
      <c r="EC33" s="1090"/>
      <c r="ED33" s="1090"/>
      <c r="EE33" s="1090"/>
      <c r="EF33" s="1090"/>
      <c r="EG33" s="1090"/>
      <c r="EH33" s="1090"/>
      <c r="EI33" s="1090"/>
      <c r="EJ33" s="1090"/>
      <c r="EK33" s="1090"/>
      <c r="EL33" s="1090"/>
      <c r="EM33" s="1090"/>
      <c r="EN33" s="1090"/>
      <c r="EO33" s="1090"/>
      <c r="EP33" s="1090"/>
      <c r="EQ33" s="1090"/>
      <c r="ER33" s="1090"/>
      <c r="ES33" s="1090"/>
      <c r="ET33" s="1090"/>
      <c r="EU33" s="1090"/>
      <c r="EV33" s="1090"/>
      <c r="EW33" s="1090"/>
      <c r="EX33" s="1090"/>
      <c r="EY33" s="1090"/>
      <c r="EZ33" s="1090"/>
      <c r="FA33" s="1090"/>
      <c r="FB33" s="1090"/>
      <c r="FC33" s="1090"/>
      <c r="FD33" s="1090"/>
      <c r="FE33" s="1090"/>
      <c r="FF33" s="1090"/>
      <c r="FG33" s="1090"/>
      <c r="FH33" s="1090"/>
      <c r="FI33" s="1090"/>
      <c r="FJ33" s="1090"/>
      <c r="FK33" s="1090"/>
      <c r="FL33" s="1090"/>
      <c r="FM33" s="1090"/>
      <c r="FN33" s="1090"/>
      <c r="FO33" s="1090"/>
      <c r="FP33" s="1090"/>
      <c r="FQ33" s="1090"/>
      <c r="FR33" s="1090"/>
      <c r="FS33" s="1090"/>
      <c r="FT33" s="1090"/>
      <c r="FU33" s="1090"/>
      <c r="FV33" s="1090"/>
      <c r="FW33" s="1090"/>
      <c r="FX33" s="1090"/>
      <c r="FY33" s="1090"/>
      <c r="FZ33" s="1090"/>
      <c r="GA33" s="1090"/>
      <c r="GB33" s="1090"/>
      <c r="GC33" s="1090"/>
      <c r="GD33" s="1090"/>
      <c r="GE33" s="1090"/>
      <c r="GF33" s="1090"/>
      <c r="GG33" s="1090"/>
      <c r="GH33" s="1090"/>
      <c r="GI33" s="1090"/>
      <c r="GJ33" s="1090"/>
      <c r="GK33" s="1090"/>
      <c r="GL33" s="1090"/>
      <c r="GM33" s="1090"/>
      <c r="GN33" s="1090"/>
      <c r="GO33" s="1090"/>
      <c r="GP33" s="1090"/>
      <c r="GQ33" s="1090"/>
      <c r="GR33" s="1090"/>
    </row>
    <row r="34" spans="1:200" s="1019" customFormat="1" x14ac:dyDescent="0.3">
      <c r="A34" s="4"/>
      <c r="B34" s="1020"/>
      <c r="C34" s="1020"/>
      <c r="D34" s="1020"/>
      <c r="E34" s="1020"/>
      <c r="F34" s="1020"/>
      <c r="G34" s="1020"/>
      <c r="H34" s="1020"/>
      <c r="I34" s="1020"/>
      <c r="J34" s="1020"/>
      <c r="K34" s="1020"/>
      <c r="L34" s="1020"/>
      <c r="M34" s="4"/>
      <c r="N34" s="24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row r="43" spans="1:200" x14ac:dyDescent="0.3">
      <c r="B43" s="244" t="s">
        <v>15247</v>
      </c>
    </row>
    <row r="45" spans="1:200" x14ac:dyDescent="0.3">
      <c r="B45" s="244" t="s">
        <v>15248</v>
      </c>
    </row>
    <row r="46" spans="1:200" x14ac:dyDescent="0.3">
      <c r="B46" s="244" t="s">
        <v>15249</v>
      </c>
    </row>
    <row r="47" spans="1:200" x14ac:dyDescent="0.3">
      <c r="B47" s="244" t="s">
        <v>15250</v>
      </c>
    </row>
    <row r="48" spans="1:200" x14ac:dyDescent="0.3">
      <c r="B48" s="244" t="s">
        <v>15251</v>
      </c>
    </row>
    <row r="49" spans="2:2" x14ac:dyDescent="0.3">
      <c r="B49" s="244" t="s">
        <v>15252</v>
      </c>
    </row>
    <row r="50" spans="2:2" x14ac:dyDescent="0.3">
      <c r="B50" s="244" t="s">
        <v>15253</v>
      </c>
    </row>
    <row r="51" spans="2:2" x14ac:dyDescent="0.3">
      <c r="B51"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4"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9" sqref="A9"/>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168</v>
      </c>
      <c r="B6" s="1150">
        <v>37696645</v>
      </c>
      <c r="C6" s="1150">
        <v>32976558</v>
      </c>
      <c r="D6" s="1151">
        <v>4720087</v>
      </c>
    </row>
    <row r="7" spans="1:5" ht="23.25" x14ac:dyDescent="0.35">
      <c r="A7" s="1149" t="s">
        <v>180</v>
      </c>
      <c r="B7" s="1150">
        <v>30936004</v>
      </c>
      <c r="C7" s="1150">
        <v>27707612</v>
      </c>
      <c r="D7" s="1152">
        <v>3228392</v>
      </c>
    </row>
    <row r="8" spans="1:5" ht="23.25" x14ac:dyDescent="0.35">
      <c r="A8" s="1149" t="s">
        <v>7465</v>
      </c>
      <c r="B8" s="1153">
        <v>31932238</v>
      </c>
      <c r="C8" s="1153">
        <v>30119862</v>
      </c>
      <c r="D8" s="1151">
        <v>1812376</v>
      </c>
    </row>
    <row r="9" spans="1:5" ht="23.25" x14ac:dyDescent="0.35">
      <c r="A9" s="1149" t="s">
        <v>7240</v>
      </c>
      <c r="B9" s="1153">
        <v>17086848</v>
      </c>
      <c r="C9" s="1153">
        <v>15527287</v>
      </c>
      <c r="D9" s="1152">
        <v>1559561</v>
      </c>
    </row>
    <row r="10" spans="1:5" ht="23.25" x14ac:dyDescent="0.35">
      <c r="A10" s="1149" t="s">
        <v>8384</v>
      </c>
      <c r="B10" s="1153">
        <v>46895177</v>
      </c>
      <c r="C10" s="1153">
        <v>45397437</v>
      </c>
      <c r="D10" s="1151">
        <v>1497740</v>
      </c>
    </row>
    <row r="11" spans="1:5" ht="23.25" x14ac:dyDescent="0.35">
      <c r="A11" s="1149" t="s">
        <v>10472</v>
      </c>
      <c r="B11" s="1153">
        <v>8740383</v>
      </c>
      <c r="C11" s="1153">
        <v>7296500</v>
      </c>
      <c r="D11" s="1152">
        <v>1443883</v>
      </c>
    </row>
    <row r="12" spans="1:5" ht="23.25" x14ac:dyDescent="0.35">
      <c r="A12" s="1149" t="s">
        <v>12283</v>
      </c>
      <c r="B12" s="1153">
        <v>1067995</v>
      </c>
      <c r="C12" s="1153"/>
      <c r="D12" s="1151">
        <v>1067995</v>
      </c>
    </row>
    <row r="13" spans="1:5" ht="23.25" x14ac:dyDescent="0.35">
      <c r="A13" s="1149" t="s">
        <v>166</v>
      </c>
      <c r="B13" s="1150">
        <v>24652374</v>
      </c>
      <c r="C13" s="1150">
        <v>23705640</v>
      </c>
      <c r="D13" s="1151">
        <v>946734</v>
      </c>
    </row>
    <row r="14" spans="1:5" s="4" customFormat="1" ht="23.25" x14ac:dyDescent="0.35">
      <c r="A14" s="1149" t="s">
        <v>169</v>
      </c>
      <c r="B14" s="1150">
        <v>9472718</v>
      </c>
      <c r="C14" s="1150">
        <v>8818204</v>
      </c>
      <c r="D14" s="1152">
        <v>654514</v>
      </c>
    </row>
    <row r="15" spans="1:5" ht="23.25" x14ac:dyDescent="0.35">
      <c r="A15" s="1149" t="s">
        <v>7947</v>
      </c>
      <c r="B15" s="1153">
        <v>9497296</v>
      </c>
      <c r="C15" s="1153">
        <v>8850000</v>
      </c>
      <c r="D15" s="1152">
        <v>647296</v>
      </c>
    </row>
    <row r="16" spans="1:5" s="4" customFormat="1" ht="23.25" x14ac:dyDescent="0.35">
      <c r="A16" s="1149" t="s">
        <v>2195</v>
      </c>
      <c r="B16" s="1150">
        <v>4070377</v>
      </c>
      <c r="C16" s="1150">
        <v>3753108</v>
      </c>
      <c r="D16" s="1152">
        <v>317269</v>
      </c>
    </row>
    <row r="17" spans="1:5" ht="23.25" x14ac:dyDescent="0.35">
      <c r="A17" s="1149" t="s">
        <v>13116</v>
      </c>
      <c r="B17" s="1153">
        <v>3277771</v>
      </c>
      <c r="C17" s="1153">
        <v>3000000</v>
      </c>
      <c r="D17" s="1151">
        <v>277771</v>
      </c>
    </row>
    <row r="18" spans="1:5" ht="23.25" x14ac:dyDescent="0.35">
      <c r="A18" s="1149" t="s">
        <v>13276</v>
      </c>
      <c r="B18" s="1153">
        <v>2339423</v>
      </c>
      <c r="C18" s="1153">
        <v>2282000</v>
      </c>
      <c r="D18" s="1152">
        <v>57423</v>
      </c>
      <c r="E18" s="4"/>
    </row>
    <row r="19" spans="1:5" ht="23.25" x14ac:dyDescent="0.35">
      <c r="A19" s="1149" t="s">
        <v>12457</v>
      </c>
      <c r="B19" s="1153">
        <v>7193026</v>
      </c>
      <c r="C19" s="1153">
        <v>7150000</v>
      </c>
      <c r="D19" s="1152">
        <v>43026</v>
      </c>
    </row>
    <row r="20" spans="1:5" ht="23.25" x14ac:dyDescent="0.35">
      <c r="A20" s="1149" t="s">
        <v>1802</v>
      </c>
      <c r="B20" s="1150">
        <v>15297184</v>
      </c>
      <c r="C20" s="1150">
        <v>15268691</v>
      </c>
      <c r="D20" s="1151">
        <v>28493</v>
      </c>
    </row>
    <row r="21" spans="1:5" ht="23.25" x14ac:dyDescent="0.35">
      <c r="A21" s="1149" t="s">
        <v>2385</v>
      </c>
      <c r="B21" s="1150">
        <v>18551</v>
      </c>
      <c r="C21" s="1150"/>
      <c r="D21" s="1152">
        <v>18551</v>
      </c>
    </row>
    <row r="22" spans="1:5" s="4" customFormat="1" ht="23.25" x14ac:dyDescent="0.35">
      <c r="A22" s="1149" t="s">
        <v>164</v>
      </c>
      <c r="B22" s="1150">
        <v>6386502</v>
      </c>
      <c r="C22" s="1150">
        <v>6372737</v>
      </c>
      <c r="D22" s="1152">
        <v>13765</v>
      </c>
    </row>
    <row r="23" spans="1:5" ht="23.25" x14ac:dyDescent="0.35">
      <c r="A23" s="1149" t="s">
        <v>5680</v>
      </c>
      <c r="B23" s="1150">
        <v>5657224</v>
      </c>
      <c r="C23" s="1150">
        <v>5651680</v>
      </c>
      <c r="D23" s="1152">
        <v>5544</v>
      </c>
    </row>
    <row r="24" spans="1:5" s="4" customFormat="1" ht="23.25" x14ac:dyDescent="0.35">
      <c r="A24" s="1149" t="s">
        <v>5186</v>
      </c>
      <c r="B24" s="1153">
        <v>6857354.5</v>
      </c>
      <c r="C24" s="1153">
        <v>6857354.5</v>
      </c>
      <c r="D24" s="1152">
        <v>1.1641532182693481E-10</v>
      </c>
    </row>
    <row r="25" spans="1:5" ht="23.25" x14ac:dyDescent="0.35">
      <c r="A25" s="1149" t="s">
        <v>161</v>
      </c>
      <c r="B25" s="1150">
        <v>5122182</v>
      </c>
      <c r="C25" s="1150">
        <v>5122182</v>
      </c>
      <c r="D25" s="1152">
        <v>0</v>
      </c>
    </row>
    <row r="26" spans="1:5" s="4" customFormat="1" ht="23.25" x14ac:dyDescent="0.35">
      <c r="A26" s="1149" t="s">
        <v>12246</v>
      </c>
      <c r="B26" s="1153">
        <v>1600298</v>
      </c>
      <c r="C26" s="1153">
        <v>1600298</v>
      </c>
      <c r="D26" s="1152">
        <v>0</v>
      </c>
    </row>
    <row r="27" spans="1:5" ht="23.25" x14ac:dyDescent="0.35">
      <c r="A27" s="1149" t="s">
        <v>9068</v>
      </c>
      <c r="B27" s="1153">
        <v>885000</v>
      </c>
      <c r="C27" s="1153">
        <v>885000</v>
      </c>
      <c r="D27" s="1151">
        <v>0</v>
      </c>
    </row>
    <row r="28" spans="1:5" ht="23.25" x14ac:dyDescent="0.35">
      <c r="A28" s="1149" t="s">
        <v>162</v>
      </c>
      <c r="B28" s="1150">
        <v>1123152</v>
      </c>
      <c r="C28" s="1150">
        <v>1123152</v>
      </c>
      <c r="D28" s="1152">
        <v>0</v>
      </c>
    </row>
    <row r="29" spans="1:5" s="4" customFormat="1" ht="23.25" x14ac:dyDescent="0.35">
      <c r="A29" s="1149" t="s">
        <v>6845</v>
      </c>
      <c r="B29" s="1153">
        <v>903164</v>
      </c>
      <c r="C29" s="1153">
        <v>903164</v>
      </c>
      <c r="D29" s="1152">
        <v>0</v>
      </c>
    </row>
    <row r="30" spans="1:5" ht="23.25" x14ac:dyDescent="0.35">
      <c r="A30" s="1149" t="s">
        <v>8445</v>
      </c>
      <c r="B30" s="1153">
        <v>1063000</v>
      </c>
      <c r="C30" s="1153">
        <v>1063000</v>
      </c>
      <c r="D30" s="1151">
        <v>0</v>
      </c>
    </row>
    <row r="31" spans="1:5" s="4" customFormat="1" ht="23.25" x14ac:dyDescent="0.35">
      <c r="A31" s="1149" t="s">
        <v>11307</v>
      </c>
      <c r="B31" s="1153">
        <v>1061510</v>
      </c>
      <c r="C31" s="1153">
        <v>1061510</v>
      </c>
      <c r="D31" s="1151">
        <v>0</v>
      </c>
    </row>
    <row r="32" spans="1:5" ht="23.25" x14ac:dyDescent="0.35">
      <c r="A32" s="1149" t="s">
        <v>13922</v>
      </c>
      <c r="B32" s="1153">
        <v>100000</v>
      </c>
      <c r="C32" s="1153">
        <v>100000</v>
      </c>
      <c r="D32" s="1151">
        <v>0</v>
      </c>
    </row>
    <row r="33" spans="1:4" s="4" customFormat="1" ht="23.25" x14ac:dyDescent="0.35">
      <c r="A33" s="1149" t="s">
        <v>75</v>
      </c>
      <c r="B33" s="1150"/>
      <c r="C33" s="1150"/>
      <c r="D33" s="1152">
        <v>0</v>
      </c>
    </row>
    <row r="34" spans="1:4" ht="23.25" x14ac:dyDescent="0.35">
      <c r="A34" s="1149" t="s">
        <v>11302</v>
      </c>
      <c r="B34" s="1153">
        <v>4226000</v>
      </c>
      <c r="C34" s="1153">
        <v>4226000</v>
      </c>
      <c r="D34" s="1151">
        <v>0</v>
      </c>
    </row>
    <row r="35" spans="1:4" ht="23.25" x14ac:dyDescent="0.35">
      <c r="A35" s="1149" t="s">
        <v>4724</v>
      </c>
      <c r="B35" s="1153">
        <v>1680000</v>
      </c>
      <c r="C35" s="1153">
        <v>1680000</v>
      </c>
      <c r="D35" s="1152">
        <v>0</v>
      </c>
    </row>
    <row r="36" spans="1:4" s="4" customFormat="1" ht="23.25" x14ac:dyDescent="0.35">
      <c r="A36" s="1149" t="s">
        <v>437</v>
      </c>
      <c r="B36" s="1150">
        <v>2798262</v>
      </c>
      <c r="C36" s="1150">
        <v>2798262</v>
      </c>
      <c r="D36" s="1152">
        <v>0</v>
      </c>
    </row>
    <row r="37" spans="1:4" ht="23.25" x14ac:dyDescent="0.35">
      <c r="A37" s="1149" t="s">
        <v>3010</v>
      </c>
      <c r="B37" s="1150">
        <v>3121578</v>
      </c>
      <c r="C37" s="1150">
        <v>3121578</v>
      </c>
      <c r="D37" s="1152">
        <v>0</v>
      </c>
    </row>
    <row r="38" spans="1:4" ht="23.25" x14ac:dyDescent="0.35">
      <c r="A38" s="1149" t="s">
        <v>6765</v>
      </c>
      <c r="B38" s="1150">
        <v>137550</v>
      </c>
      <c r="C38" s="1150">
        <v>137550</v>
      </c>
      <c r="D38" s="1152">
        <v>0</v>
      </c>
    </row>
    <row r="39" spans="1:4" ht="23.25" x14ac:dyDescent="0.35">
      <c r="A39" s="1149" t="s">
        <v>1814</v>
      </c>
      <c r="B39" s="1150">
        <v>11639548</v>
      </c>
      <c r="C39" s="1150">
        <v>11639548</v>
      </c>
      <c r="D39" s="1152">
        <v>0</v>
      </c>
    </row>
    <row r="40" spans="1:4" s="4" customFormat="1" ht="23.25" x14ac:dyDescent="0.35">
      <c r="A40" s="1149" t="s">
        <v>8888</v>
      </c>
      <c r="B40" s="1153">
        <v>612552</v>
      </c>
      <c r="C40" s="1153">
        <v>612552</v>
      </c>
      <c r="D40" s="1152">
        <v>0</v>
      </c>
    </row>
    <row r="41" spans="1:4" ht="23.25" x14ac:dyDescent="0.35">
      <c r="A41" s="1149" t="s">
        <v>8696</v>
      </c>
      <c r="B41" s="1153">
        <v>300000</v>
      </c>
      <c r="C41" s="1153">
        <v>300000</v>
      </c>
      <c r="D41" s="1151">
        <v>0</v>
      </c>
    </row>
    <row r="42" spans="1:4" ht="24" thickBot="1" x14ac:dyDescent="0.4">
      <c r="A42" s="1149" t="s">
        <v>8082</v>
      </c>
      <c r="B42" s="1153">
        <v>11250000</v>
      </c>
      <c r="C42" s="1153">
        <v>11250000</v>
      </c>
      <c r="D42" s="1152">
        <v>0</v>
      </c>
    </row>
    <row r="43" spans="1:4" ht="19.5" thickBot="1" x14ac:dyDescent="0.35">
      <c r="A43" s="1154" t="s">
        <v>45</v>
      </c>
      <c r="B43" s="1155">
        <v>316698886.5</v>
      </c>
      <c r="C43" s="1156">
        <v>298358466.5</v>
      </c>
      <c r="D43" s="1157">
        <v>18340420</v>
      </c>
    </row>
    <row r="44" spans="1:4" s="4" customFormat="1" ht="18.75" x14ac:dyDescent="0.3">
      <c r="A44"/>
      <c r="B44"/>
      <c r="C44"/>
      <c r="D44"/>
    </row>
    <row r="45" spans="1:4" ht="23.25" x14ac:dyDescent="0.35">
      <c r="B45"/>
      <c r="C45"/>
      <c r="D45"/>
    </row>
    <row r="46" spans="1:4" ht="23.25" x14ac:dyDescent="0.35">
      <c r="B46"/>
      <c r="C46"/>
      <c r="D46"/>
    </row>
    <row r="47" spans="1:4" s="4" customFormat="1" ht="23.25" x14ac:dyDescent="0.35">
      <c r="A47"/>
      <c r="B47"/>
      <c r="C47"/>
      <c r="D47"/>
    </row>
    <row r="48" spans="1:4" ht="23.25" x14ac:dyDescent="0.35">
      <c r="B48"/>
      <c r="C48"/>
      <c r="D48"/>
    </row>
    <row r="49" spans="1:4" s="4" customFormat="1" ht="23.25" x14ac:dyDescent="0.35">
      <c r="A49"/>
      <c r="B49"/>
      <c r="C49"/>
      <c r="D49"/>
    </row>
    <row r="50" spans="1:4" ht="23.25" x14ac:dyDescent="0.35">
      <c r="B50"/>
      <c r="C50"/>
      <c r="D50"/>
    </row>
    <row r="51" spans="1:4" ht="23.25" x14ac:dyDescent="0.35">
      <c r="B51"/>
      <c r="C51"/>
      <c r="D51"/>
    </row>
    <row r="52" spans="1:4" ht="23.25" x14ac:dyDescent="0.35">
      <c r="B52"/>
      <c r="C52"/>
      <c r="D52"/>
    </row>
    <row r="53" spans="1:4" ht="23.25" x14ac:dyDescent="0.35">
      <c r="B53"/>
      <c r="C53"/>
      <c r="D53"/>
    </row>
    <row r="54" spans="1:4" ht="23.25" x14ac:dyDescent="0.35">
      <c r="B54"/>
      <c r="C54"/>
      <c r="D54"/>
    </row>
    <row r="55" spans="1:4" ht="23.25" x14ac:dyDescent="0.35">
      <c r="B55"/>
      <c r="C55"/>
      <c r="D55"/>
    </row>
    <row r="56" spans="1:4" s="4" customFormat="1" ht="23.25" x14ac:dyDescent="0.35">
      <c r="A56"/>
      <c r="B56"/>
      <c r="C56"/>
      <c r="D56"/>
    </row>
    <row r="57" spans="1:4" ht="23.25" x14ac:dyDescent="0.35">
      <c r="B57"/>
      <c r="C57"/>
      <c r="D57"/>
    </row>
    <row r="58" spans="1:4" ht="23.25" x14ac:dyDescent="0.35">
      <c r="B58"/>
      <c r="C58"/>
      <c r="D58"/>
    </row>
    <row r="59" spans="1:4" ht="23.25" x14ac:dyDescent="0.35">
      <c r="B59"/>
      <c r="C59"/>
      <c r="D59"/>
    </row>
    <row r="60" spans="1:4" ht="23.25" x14ac:dyDescent="0.35">
      <c r="B60"/>
      <c r="C60"/>
      <c r="D60"/>
    </row>
    <row r="61" spans="1:4" s="4" customFormat="1" ht="23.25" x14ac:dyDescent="0.35">
      <c r="A61"/>
      <c r="B61"/>
      <c r="C61"/>
      <c r="D61"/>
    </row>
    <row r="62" spans="1:4" ht="23.25" x14ac:dyDescent="0.35">
      <c r="B62"/>
      <c r="C62"/>
      <c r="D62"/>
    </row>
    <row r="63" spans="1:4" ht="23.25" x14ac:dyDescent="0.35">
      <c r="B63"/>
      <c r="C63"/>
      <c r="D63"/>
    </row>
    <row r="64" spans="1:4" s="4" customFormat="1" ht="24" thickBot="1" x14ac:dyDescent="0.4">
      <c r="A64"/>
      <c r="B64"/>
      <c r="C64"/>
      <c r="D64"/>
    </row>
    <row r="65" spans="1:11" ht="19.5" thickBot="1" x14ac:dyDescent="0.3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4720087</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4720087</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5382087</v>
      </c>
      <c r="K78" s="3"/>
    </row>
    <row r="79" spans="1:11" x14ac:dyDescent="0.25">
      <c r="B79"/>
      <c r="C79"/>
      <c r="D79"/>
    </row>
    <row r="80" spans="1:11" x14ac:dyDescent="0.25">
      <c r="B80"/>
      <c r="C80"/>
      <c r="D80"/>
      <c r="I80" s="3">
        <f ca="1">I78-155000</f>
        <v>5227087</v>
      </c>
    </row>
    <row r="81" spans="2:11" x14ac:dyDescent="0.25">
      <c r="B81"/>
      <c r="C81"/>
      <c r="D81"/>
    </row>
    <row r="82" spans="2:11" ht="23.25" x14ac:dyDescent="0.35">
      <c r="B82"/>
      <c r="C82"/>
      <c r="D82"/>
      <c r="K82" s="3"/>
    </row>
    <row r="83" spans="2:11" ht="23.25" x14ac:dyDescent="0.35">
      <c r="B83"/>
      <c r="C83"/>
      <c r="D83"/>
    </row>
    <row r="84" spans="2:11" ht="23.25" x14ac:dyDescent="0.35">
      <c r="B84"/>
      <c r="C84"/>
      <c r="D84"/>
    </row>
    <row r="85" spans="2:11" ht="23.25" x14ac:dyDescent="0.35">
      <c r="B85"/>
      <c r="C85"/>
      <c r="D85"/>
    </row>
    <row r="86" spans="2:11" ht="23.25" x14ac:dyDescent="0.35">
      <c r="B86"/>
      <c r="C86"/>
      <c r="D86"/>
    </row>
    <row r="87" spans="2:11" ht="23.25" x14ac:dyDescent="0.35">
      <c r="B87"/>
      <c r="C87"/>
      <c r="D87"/>
    </row>
    <row r="88" spans="2:11" ht="23.25" x14ac:dyDescent="0.35">
      <c r="B88"/>
      <c r="C88"/>
      <c r="D88"/>
    </row>
    <row r="89" spans="2:11" ht="23.25" x14ac:dyDescent="0.35">
      <c r="B89"/>
      <c r="C89"/>
      <c r="D89"/>
    </row>
    <row r="90" spans="2:11" ht="23.25" x14ac:dyDescent="0.35">
      <c r="B90"/>
      <c r="C90"/>
      <c r="D90"/>
    </row>
    <row r="91" spans="2:11" ht="23.25" x14ac:dyDescent="0.35">
      <c r="B91"/>
      <c r="C91"/>
      <c r="D91"/>
    </row>
    <row r="92" spans="2:11" ht="23.25" x14ac:dyDescent="0.35">
      <c r="B92"/>
      <c r="C92"/>
      <c r="D92"/>
    </row>
    <row r="93" spans="2:11" ht="23.25" x14ac:dyDescent="0.35">
      <c r="B93"/>
      <c r="C93"/>
      <c r="D93"/>
    </row>
    <row r="94" spans="2:11" ht="23.25" x14ac:dyDescent="0.35">
      <c r="B94"/>
      <c r="C94"/>
      <c r="D94"/>
    </row>
    <row r="95" spans="2:11" ht="23.25" x14ac:dyDescent="0.35">
      <c r="B95"/>
      <c r="C95"/>
      <c r="D95"/>
    </row>
    <row r="96" spans="2:11" ht="23.25" x14ac:dyDescent="0.35">
      <c r="B96"/>
      <c r="C96"/>
      <c r="D96"/>
    </row>
    <row r="97" spans="2:4" ht="23.25" x14ac:dyDescent="0.35">
      <c r="B97"/>
      <c r="C97"/>
      <c r="D97"/>
    </row>
    <row r="98" spans="2:4" ht="23.25" x14ac:dyDescent="0.35">
      <c r="B98"/>
      <c r="C98"/>
      <c r="D98"/>
    </row>
    <row r="99" spans="2:4" ht="23.25" x14ac:dyDescent="0.35">
      <c r="B99"/>
      <c r="C99"/>
      <c r="D99"/>
    </row>
    <row r="100" spans="2:4" ht="23.25" x14ac:dyDescent="0.35">
      <c r="B100"/>
      <c r="C100"/>
      <c r="D100"/>
    </row>
    <row r="101" spans="2:4" ht="23.25" x14ac:dyDescent="0.35">
      <c r="B101"/>
      <c r="C101"/>
      <c r="D101"/>
    </row>
    <row r="102" spans="2:4" ht="23.25" x14ac:dyDescent="0.35">
      <c r="B102"/>
      <c r="C102"/>
      <c r="D102"/>
    </row>
    <row r="103" spans="2:4" ht="23.25" x14ac:dyDescent="0.35">
      <c r="B103"/>
      <c r="C103"/>
      <c r="D103"/>
    </row>
    <row r="104" spans="2:4" ht="23.25" x14ac:dyDescent="0.35">
      <c r="B104"/>
      <c r="C104"/>
      <c r="D104"/>
    </row>
    <row r="105" spans="2:4" ht="24" thickBot="1" x14ac:dyDescent="0.4">
      <c r="B105"/>
      <c r="C105"/>
      <c r="D105"/>
    </row>
    <row r="106" spans="2:4" ht="19.5" thickBot="1" x14ac:dyDescent="0.3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ht="15.75" thickBot="1" x14ac:dyDescent="0.3">
      <c r="B118"/>
      <c r="C118"/>
      <c r="D118"/>
    </row>
    <row r="119" spans="2:4" ht="15.75" thickBot="1" x14ac:dyDescent="0.3">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ht="15.75" thickBot="1" x14ac:dyDescent="0.3">
      <c r="B128"/>
      <c r="C128"/>
      <c r="D128"/>
    </row>
    <row r="129" spans="2:4" ht="15.75" thickBot="1" x14ac:dyDescent="0.3">
      <c r="B129"/>
      <c r="C129"/>
      <c r="D129"/>
    </row>
    <row r="130" spans="2:4" x14ac:dyDescent="0.25">
      <c r="B130"/>
      <c r="C130"/>
      <c r="D130"/>
    </row>
    <row r="131" spans="2:4" x14ac:dyDescent="0.25">
      <c r="B131"/>
      <c r="C131"/>
      <c r="D131"/>
    </row>
    <row r="132" spans="2:4" ht="15.75" thickBot="1" x14ac:dyDescent="0.3">
      <c r="B132"/>
      <c r="C132"/>
      <c r="D132"/>
    </row>
    <row r="133" spans="2:4" ht="15.75" thickBot="1" x14ac:dyDescent="0.3">
      <c r="B133"/>
      <c r="C133"/>
      <c r="D133"/>
    </row>
    <row r="134" spans="2:4" x14ac:dyDescent="0.25">
      <c r="B134"/>
      <c r="C134"/>
      <c r="D134"/>
    </row>
    <row r="135" spans="2:4" x14ac:dyDescent="0.25">
      <c r="B135"/>
      <c r="C135"/>
      <c r="D135"/>
    </row>
    <row r="136" spans="2:4" x14ac:dyDescent="0.25">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78"/>
      <c r="I4" s="1178"/>
      <c r="J4" s="1178"/>
    </row>
    <row r="5" spans="1:10" ht="24" thickBot="1" x14ac:dyDescent="0.35">
      <c r="A5" s="286" t="s">
        <v>4136</v>
      </c>
      <c r="B5" s="287" t="s">
        <v>4133</v>
      </c>
      <c r="C5" s="287" t="s">
        <v>4134</v>
      </c>
      <c r="D5" s="287" t="s">
        <v>4135</v>
      </c>
      <c r="E5" s="1012" t="s">
        <v>10848</v>
      </c>
      <c r="H5" s="1178"/>
      <c r="I5" s="1178"/>
      <c r="J5" s="1178"/>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3430000</v>
      </c>
      <c r="C22" s="289"/>
      <c r="D22" s="289">
        <v>-3430000</v>
      </c>
    </row>
    <row r="23" spans="1:4" x14ac:dyDescent="0.3">
      <c r="A23" s="329" t="s">
        <v>10565</v>
      </c>
      <c r="B23" s="289">
        <v>3176000</v>
      </c>
      <c r="C23" s="289"/>
      <c r="D23" s="289">
        <v>-3176000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10589130</v>
      </c>
      <c r="C29" s="289"/>
      <c r="D29" s="289">
        <v>-10589130</v>
      </c>
    </row>
    <row r="30" spans="1:4" x14ac:dyDescent="0.3">
      <c r="A30" s="288" t="s">
        <v>45</v>
      </c>
      <c r="B30" s="289">
        <v>50833350</v>
      </c>
      <c r="C30" s="289"/>
      <c r="D30" s="289">
        <v>-50833350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14" workbookViewId="0">
      <selection activeCell="D10" sqref="D10"/>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14351</v>
      </c>
      <c r="B6" s="1159">
        <v>5628933</v>
      </c>
      <c r="C6" s="1159">
        <v>2128216</v>
      </c>
      <c r="D6" s="1005">
        <v>3500717</v>
      </c>
    </row>
    <row r="7" spans="1:6" x14ac:dyDescent="0.35">
      <c r="A7" s="995" t="s">
        <v>6503</v>
      </c>
      <c r="B7" s="1159">
        <v>2849112</v>
      </c>
      <c r="C7" s="1159">
        <v>770847</v>
      </c>
      <c r="D7" s="1005">
        <v>2078265</v>
      </c>
    </row>
    <row r="8" spans="1:6" x14ac:dyDescent="0.35">
      <c r="A8" s="995" t="s">
        <v>15033</v>
      </c>
      <c r="B8" s="1159">
        <v>1737377</v>
      </c>
      <c r="C8" s="1159">
        <v>160970</v>
      </c>
      <c r="D8" s="1005">
        <v>1576407</v>
      </c>
      <c r="F8" s="97"/>
    </row>
    <row r="9" spans="1:6" x14ac:dyDescent="0.35">
      <c r="A9" s="995" t="s">
        <v>15400</v>
      </c>
      <c r="B9" s="1159">
        <v>2610376</v>
      </c>
      <c r="C9" s="1159">
        <v>1088450</v>
      </c>
      <c r="D9" s="1005">
        <v>1521926</v>
      </c>
    </row>
    <row r="10" spans="1:6" x14ac:dyDescent="0.35">
      <c r="A10" s="995" t="s">
        <v>14232</v>
      </c>
      <c r="B10" s="1159">
        <v>3966017</v>
      </c>
      <c r="C10" s="1159">
        <v>2451204</v>
      </c>
      <c r="D10" s="1005">
        <v>1514813</v>
      </c>
    </row>
    <row r="11" spans="1:6" x14ac:dyDescent="0.35">
      <c r="A11" s="995" t="s">
        <v>15338</v>
      </c>
      <c r="B11" s="1159">
        <v>2989009</v>
      </c>
      <c r="C11" s="1159">
        <v>1550000</v>
      </c>
      <c r="D11" s="1005">
        <v>1439009</v>
      </c>
    </row>
    <row r="12" spans="1:6" x14ac:dyDescent="0.35">
      <c r="A12" s="995" t="s">
        <v>11068</v>
      </c>
      <c r="B12" s="1159">
        <v>17715936</v>
      </c>
      <c r="C12" s="1159">
        <v>16647930</v>
      </c>
      <c r="D12" s="1005">
        <v>1068006</v>
      </c>
    </row>
    <row r="13" spans="1:6" x14ac:dyDescent="0.35">
      <c r="A13" s="995" t="s">
        <v>10220</v>
      </c>
      <c r="B13" s="1159">
        <v>13668816</v>
      </c>
      <c r="C13" s="1159">
        <v>12621108</v>
      </c>
      <c r="D13" s="1005">
        <v>1047708</v>
      </c>
    </row>
    <row r="14" spans="1:6" x14ac:dyDescent="0.35">
      <c r="A14" s="995" t="s">
        <v>14539</v>
      </c>
      <c r="B14" s="1159">
        <v>3570302</v>
      </c>
      <c r="C14" s="1159">
        <v>2531833</v>
      </c>
      <c r="D14" s="1005">
        <v>1038469</v>
      </c>
    </row>
    <row r="15" spans="1:6" x14ac:dyDescent="0.35">
      <c r="A15" s="995" t="s">
        <v>13240</v>
      </c>
      <c r="B15" s="1159">
        <v>3462827</v>
      </c>
      <c r="C15" s="1159">
        <v>2724959</v>
      </c>
      <c r="D15" s="1005">
        <v>737868</v>
      </c>
    </row>
    <row r="16" spans="1:6" x14ac:dyDescent="0.35">
      <c r="A16" s="995" t="s">
        <v>12671</v>
      </c>
      <c r="B16" s="1159">
        <v>4414198</v>
      </c>
      <c r="C16" s="1159">
        <v>3709761</v>
      </c>
      <c r="D16" s="1005">
        <v>704437</v>
      </c>
    </row>
    <row r="17" spans="1:4" x14ac:dyDescent="0.35">
      <c r="A17" s="995" t="s">
        <v>12783</v>
      </c>
      <c r="B17" s="1159">
        <v>2400664</v>
      </c>
      <c r="C17" s="1159">
        <v>1836774</v>
      </c>
      <c r="D17" s="1005">
        <v>563890</v>
      </c>
    </row>
    <row r="18" spans="1:4" x14ac:dyDescent="0.35">
      <c r="A18" s="995" t="s">
        <v>13098</v>
      </c>
      <c r="B18" s="1159">
        <v>7220520</v>
      </c>
      <c r="C18" s="1159">
        <v>6703838</v>
      </c>
      <c r="D18" s="1005">
        <v>516682</v>
      </c>
    </row>
    <row r="19" spans="1:4" x14ac:dyDescent="0.35">
      <c r="A19" s="995" t="s">
        <v>7801</v>
      </c>
      <c r="B19" s="1159">
        <v>1446185</v>
      </c>
      <c r="C19" s="1159">
        <v>1072490</v>
      </c>
      <c r="D19" s="1005">
        <v>373695</v>
      </c>
    </row>
    <row r="20" spans="1:4" x14ac:dyDescent="0.35">
      <c r="A20" s="995" t="s">
        <v>15260</v>
      </c>
      <c r="B20" s="1159">
        <v>466269</v>
      </c>
      <c r="C20" s="1159">
        <v>200000</v>
      </c>
      <c r="D20" s="1005">
        <v>266269</v>
      </c>
    </row>
    <row r="21" spans="1:4" x14ac:dyDescent="0.35">
      <c r="A21" s="1092" t="s">
        <v>10472</v>
      </c>
      <c r="B21" s="1159">
        <v>198258</v>
      </c>
      <c r="C21" s="1159"/>
      <c r="D21" s="1005">
        <v>198258</v>
      </c>
    </row>
    <row r="22" spans="1:4" x14ac:dyDescent="0.35">
      <c r="A22" s="1092" t="s">
        <v>2195</v>
      </c>
      <c r="B22" s="1159">
        <v>35470</v>
      </c>
      <c r="C22" s="1159"/>
      <c r="D22" s="1005">
        <v>35470</v>
      </c>
    </row>
    <row r="23" spans="1:4" x14ac:dyDescent="0.35">
      <c r="A23" s="1092" t="s">
        <v>8384</v>
      </c>
      <c r="B23" s="1159">
        <v>230208</v>
      </c>
      <c r="C23" s="1159">
        <v>200000</v>
      </c>
      <c r="D23" s="1005">
        <v>30208</v>
      </c>
    </row>
    <row r="24" spans="1:4" x14ac:dyDescent="0.35">
      <c r="A24" s="1092" t="s">
        <v>164</v>
      </c>
      <c r="B24" s="1159">
        <v>2333</v>
      </c>
      <c r="C24" s="1159"/>
      <c r="D24" s="1005">
        <v>2333</v>
      </c>
    </row>
    <row r="25" spans="1:4" x14ac:dyDescent="0.35">
      <c r="A25" s="995" t="s">
        <v>15257</v>
      </c>
      <c r="B25" s="1159">
        <v>439540</v>
      </c>
      <c r="C25" s="1159">
        <v>190000</v>
      </c>
      <c r="D25" s="1005">
        <v>249540</v>
      </c>
    </row>
    <row r="26" spans="1:4" x14ac:dyDescent="0.35">
      <c r="A26" s="995" t="s">
        <v>13475</v>
      </c>
      <c r="B26" s="1159">
        <v>177451</v>
      </c>
      <c r="C26" s="1159">
        <v>77451</v>
      </c>
      <c r="D26" s="1005">
        <v>100000</v>
      </c>
    </row>
    <row r="27" spans="1:4" x14ac:dyDescent="0.35">
      <c r="A27" s="995" t="s">
        <v>13904</v>
      </c>
      <c r="B27" s="1159">
        <v>167500</v>
      </c>
      <c r="C27" s="1159">
        <v>69729</v>
      </c>
      <c r="D27" s="1005">
        <v>97771</v>
      </c>
    </row>
    <row r="28" spans="1:4" x14ac:dyDescent="0.35">
      <c r="A28" s="995" t="s">
        <v>15310</v>
      </c>
      <c r="B28" s="1159">
        <v>1043601</v>
      </c>
      <c r="C28" s="1159">
        <v>950000</v>
      </c>
      <c r="D28" s="1005">
        <v>93601</v>
      </c>
    </row>
    <row r="29" spans="1:4" x14ac:dyDescent="0.35">
      <c r="A29" s="995" t="s">
        <v>13213</v>
      </c>
      <c r="B29" s="1159">
        <v>9165250</v>
      </c>
      <c r="C29" s="1159">
        <v>9075437</v>
      </c>
      <c r="D29" s="1005">
        <v>89813</v>
      </c>
    </row>
    <row r="30" spans="1:4" x14ac:dyDescent="0.35">
      <c r="A30" s="995" t="s">
        <v>13278</v>
      </c>
      <c r="B30" s="1159">
        <v>413863</v>
      </c>
      <c r="C30" s="1159">
        <v>332310</v>
      </c>
      <c r="D30" s="1005">
        <v>81553</v>
      </c>
    </row>
    <row r="31" spans="1:4" x14ac:dyDescent="0.35">
      <c r="A31" s="995" t="s">
        <v>15100</v>
      </c>
      <c r="B31" s="1159">
        <v>427170</v>
      </c>
      <c r="C31" s="1159">
        <v>350000</v>
      </c>
      <c r="D31" s="1005">
        <v>77170</v>
      </c>
    </row>
    <row r="32" spans="1:4" x14ac:dyDescent="0.35">
      <c r="A32" s="1092" t="s">
        <v>8384</v>
      </c>
      <c r="B32" s="1159">
        <v>403900</v>
      </c>
      <c r="C32" s="1159">
        <v>350000</v>
      </c>
      <c r="D32" s="1005">
        <v>53900</v>
      </c>
    </row>
    <row r="33" spans="1:4" x14ac:dyDescent="0.35">
      <c r="A33" s="1092" t="s">
        <v>168</v>
      </c>
      <c r="B33" s="1159">
        <v>23270</v>
      </c>
      <c r="C33" s="1159"/>
      <c r="D33" s="1098">
        <v>23270</v>
      </c>
    </row>
    <row r="34" spans="1:4" hidden="1" x14ac:dyDescent="0.35">
      <c r="A34" s="995" t="s">
        <v>13417</v>
      </c>
      <c r="B34" s="1159">
        <v>1736281</v>
      </c>
      <c r="C34" s="1159">
        <v>1664658</v>
      </c>
      <c r="D34" s="1005">
        <v>71623</v>
      </c>
    </row>
    <row r="35" spans="1:4" hidden="1" x14ac:dyDescent="0.35">
      <c r="A35" s="995" t="s">
        <v>12594</v>
      </c>
      <c r="B35" s="1159">
        <v>478169</v>
      </c>
      <c r="C35" s="1159">
        <v>413362</v>
      </c>
      <c r="D35" s="1005">
        <v>64807</v>
      </c>
    </row>
    <row r="36" spans="1:4" hidden="1" x14ac:dyDescent="0.35">
      <c r="A36" s="995" t="s">
        <v>14596</v>
      </c>
      <c r="B36" s="1159">
        <v>263371</v>
      </c>
      <c r="C36" s="1159">
        <v>200000</v>
      </c>
      <c r="D36" s="1005">
        <v>63371</v>
      </c>
    </row>
    <row r="37" spans="1:4" hidden="1" x14ac:dyDescent="0.35">
      <c r="A37" s="1092" t="s">
        <v>8384</v>
      </c>
      <c r="B37" s="1159">
        <v>263371</v>
      </c>
      <c r="C37" s="1159">
        <v>200000</v>
      </c>
      <c r="D37" s="1005">
        <v>63371</v>
      </c>
    </row>
    <row r="38" spans="1:4" hidden="1" x14ac:dyDescent="0.35">
      <c r="A38" s="995" t="s">
        <v>13519</v>
      </c>
      <c r="B38" s="1159">
        <v>1192404</v>
      </c>
      <c r="C38" s="1159">
        <v>1143904</v>
      </c>
      <c r="D38" s="1005">
        <v>48500</v>
      </c>
    </row>
    <row r="39" spans="1:4" hidden="1" x14ac:dyDescent="0.35">
      <c r="A39" s="995" t="s">
        <v>10284</v>
      </c>
      <c r="B39" s="1159">
        <v>1585166</v>
      </c>
      <c r="C39" s="1159">
        <v>1556673</v>
      </c>
      <c r="D39" s="1005">
        <v>28493</v>
      </c>
    </row>
    <row r="40" spans="1:4" hidden="1" x14ac:dyDescent="0.35">
      <c r="A40" s="995" t="s">
        <v>11</v>
      </c>
      <c r="B40" s="1159">
        <v>190221</v>
      </c>
      <c r="C40" s="1159">
        <v>171670</v>
      </c>
      <c r="D40" s="1005">
        <v>18551</v>
      </c>
    </row>
    <row r="41" spans="1:4" hidden="1" x14ac:dyDescent="0.35">
      <c r="A41" s="995" t="s">
        <v>15004</v>
      </c>
      <c r="B41" s="1159">
        <v>53554</v>
      </c>
      <c r="C41" s="1159">
        <v>39000</v>
      </c>
      <c r="D41" s="1005">
        <v>14554</v>
      </c>
    </row>
    <row r="42" spans="1:4" hidden="1" x14ac:dyDescent="0.35">
      <c r="A42" s="995" t="s">
        <v>12171</v>
      </c>
      <c r="B42" s="1159">
        <v>4325162</v>
      </c>
      <c r="C42" s="1159">
        <v>4318307</v>
      </c>
      <c r="D42" s="1005">
        <v>6855</v>
      </c>
    </row>
    <row r="43" spans="1:4" hidden="1" x14ac:dyDescent="0.35">
      <c r="A43" s="995" t="s">
        <v>11423</v>
      </c>
      <c r="B43" s="1159">
        <v>1121427</v>
      </c>
      <c r="C43" s="1159">
        <v>1115883</v>
      </c>
      <c r="D43" s="1005">
        <v>5544</v>
      </c>
    </row>
    <row r="44" spans="1:4" hidden="1" x14ac:dyDescent="0.35">
      <c r="A44" s="995" t="s">
        <v>9344</v>
      </c>
      <c r="B44" s="1159">
        <v>4450511</v>
      </c>
      <c r="C44" s="1159">
        <v>4448561</v>
      </c>
      <c r="D44" s="1005">
        <v>1950</v>
      </c>
    </row>
    <row r="45" spans="1:4" hidden="1" x14ac:dyDescent="0.35">
      <c r="A45" s="995" t="s">
        <v>13165</v>
      </c>
      <c r="B45" s="1159">
        <v>4937023</v>
      </c>
      <c r="C45" s="1159">
        <v>4936334</v>
      </c>
      <c r="D45" s="1005">
        <v>689</v>
      </c>
    </row>
    <row r="46" spans="1:4" hidden="1" x14ac:dyDescent="0.35">
      <c r="A46" s="995" t="s">
        <v>12251</v>
      </c>
      <c r="B46" s="1159">
        <v>1278570</v>
      </c>
      <c r="C46" s="1159">
        <v>1278570</v>
      </c>
      <c r="D46" s="1005">
        <v>0</v>
      </c>
    </row>
    <row r="47" spans="1:4" hidden="1" x14ac:dyDescent="0.35">
      <c r="A47" s="995" t="s">
        <v>14</v>
      </c>
      <c r="B47" s="1159">
        <v>53258</v>
      </c>
      <c r="C47" s="1159">
        <v>53258</v>
      </c>
      <c r="D47" s="1005">
        <v>0</v>
      </c>
    </row>
    <row r="48" spans="1:4" hidden="1" x14ac:dyDescent="0.35">
      <c r="A48" s="995" t="s">
        <v>11685</v>
      </c>
      <c r="B48" s="1159">
        <v>62941</v>
      </c>
      <c r="C48" s="1159">
        <v>62941</v>
      </c>
      <c r="D48" s="1005">
        <v>0</v>
      </c>
    </row>
    <row r="49" spans="1:4" hidden="1" x14ac:dyDescent="0.35">
      <c r="A49" s="995" t="s">
        <v>1492</v>
      </c>
      <c r="B49" s="1159">
        <v>188750</v>
      </c>
      <c r="C49" s="1159">
        <v>188750</v>
      </c>
      <c r="D49" s="1005">
        <v>0</v>
      </c>
    </row>
    <row r="50" spans="1:4" hidden="1" x14ac:dyDescent="0.35">
      <c r="A50" s="995" t="s">
        <v>8645</v>
      </c>
      <c r="B50" s="1159">
        <v>11292323</v>
      </c>
      <c r="C50" s="1159">
        <v>11292323</v>
      </c>
      <c r="D50" s="1005">
        <v>0</v>
      </c>
    </row>
    <row r="51" spans="1:4" hidden="1" x14ac:dyDescent="0.35">
      <c r="A51" s="995" t="s">
        <v>33</v>
      </c>
      <c r="B51" s="1159">
        <v>569111</v>
      </c>
      <c r="C51" s="1159">
        <v>569111</v>
      </c>
      <c r="D51" s="1005">
        <v>0</v>
      </c>
    </row>
    <row r="52" spans="1:4" hidden="1" x14ac:dyDescent="0.35">
      <c r="A52" s="995" t="s">
        <v>464</v>
      </c>
      <c r="B52" s="1159">
        <v>3188510</v>
      </c>
      <c r="C52" s="1159">
        <v>3188510</v>
      </c>
      <c r="D52" s="1005">
        <v>0</v>
      </c>
    </row>
    <row r="53" spans="1:4" hidden="1" x14ac:dyDescent="0.35">
      <c r="A53" s="995" t="s">
        <v>1806</v>
      </c>
      <c r="B53" s="1159">
        <v>4800</v>
      </c>
      <c r="C53" s="1159">
        <v>4800</v>
      </c>
      <c r="D53" s="1005">
        <v>0</v>
      </c>
    </row>
    <row r="54" spans="1:4" hidden="1" x14ac:dyDescent="0.35">
      <c r="A54" s="995" t="s">
        <v>12774</v>
      </c>
      <c r="B54" s="1159">
        <v>285639</v>
      </c>
      <c r="C54" s="1159">
        <v>285639</v>
      </c>
      <c r="D54" s="1005">
        <v>0</v>
      </c>
    </row>
    <row r="55" spans="1:4" hidden="1" x14ac:dyDescent="0.35">
      <c r="A55" s="995" t="s">
        <v>1690</v>
      </c>
      <c r="B55" s="1159">
        <v>13508</v>
      </c>
      <c r="C55" s="1159">
        <v>13508</v>
      </c>
      <c r="D55" s="1005">
        <v>0</v>
      </c>
    </row>
    <row r="56" spans="1:4" hidden="1" x14ac:dyDescent="0.35">
      <c r="A56" s="995" t="s">
        <v>8068</v>
      </c>
      <c r="B56" s="1159">
        <v>142848</v>
      </c>
      <c r="C56" s="1159">
        <v>142848</v>
      </c>
      <c r="D56" s="1005">
        <v>0</v>
      </c>
    </row>
    <row r="57" spans="1:4" hidden="1" x14ac:dyDescent="0.35">
      <c r="A57" s="995" t="s">
        <v>2022</v>
      </c>
      <c r="B57" s="1159">
        <v>290962</v>
      </c>
      <c r="C57" s="1159">
        <v>290962</v>
      </c>
      <c r="D57" s="1005">
        <v>0</v>
      </c>
    </row>
    <row r="58" spans="1:4" hidden="1" x14ac:dyDescent="0.35">
      <c r="A58" s="995" t="s">
        <v>9495</v>
      </c>
      <c r="B58" s="1159">
        <v>69638</v>
      </c>
      <c r="C58" s="1159">
        <v>69638</v>
      </c>
      <c r="D58" s="1005">
        <v>0</v>
      </c>
    </row>
    <row r="59" spans="1:4" hidden="1" x14ac:dyDescent="0.35">
      <c r="A59" s="995" t="s">
        <v>32</v>
      </c>
      <c r="B59" s="1159">
        <v>327433</v>
      </c>
      <c r="C59" s="1159">
        <v>327433</v>
      </c>
      <c r="D59" s="1005">
        <v>0</v>
      </c>
    </row>
    <row r="60" spans="1:4" hidden="1" x14ac:dyDescent="0.35">
      <c r="A60" s="995" t="s">
        <v>10459</v>
      </c>
      <c r="B60" s="1159">
        <v>1683705</v>
      </c>
      <c r="C60" s="1159">
        <v>1683705</v>
      </c>
      <c r="D60" s="1005">
        <v>0</v>
      </c>
    </row>
    <row r="61" spans="1:4" hidden="1" x14ac:dyDescent="0.35">
      <c r="A61" s="995" t="s">
        <v>2042</v>
      </c>
      <c r="B61" s="1159">
        <v>91259</v>
      </c>
      <c r="C61" s="1159">
        <v>91259</v>
      </c>
      <c r="D61" s="1005">
        <v>0</v>
      </c>
    </row>
    <row r="62" spans="1:4" hidden="1" x14ac:dyDescent="0.35">
      <c r="A62" s="995" t="s">
        <v>10986</v>
      </c>
      <c r="B62" s="1159">
        <v>69890</v>
      </c>
      <c r="C62" s="1159">
        <v>69890</v>
      </c>
      <c r="D62" s="1005">
        <v>0</v>
      </c>
    </row>
    <row r="63" spans="1:4" hidden="1" x14ac:dyDescent="0.35">
      <c r="A63" s="995" t="s">
        <v>2262</v>
      </c>
      <c r="B63" s="1159">
        <v>81323</v>
      </c>
      <c r="C63" s="1159">
        <v>81323</v>
      </c>
      <c r="D63" s="1005">
        <v>0</v>
      </c>
    </row>
    <row r="64" spans="1:4" hidden="1" x14ac:dyDescent="0.35">
      <c r="A64" s="995" t="s">
        <v>10110</v>
      </c>
      <c r="B64" s="1159">
        <v>80000</v>
      </c>
      <c r="C64" s="1159">
        <v>80000</v>
      </c>
      <c r="D64" s="1005">
        <v>0</v>
      </c>
    </row>
    <row r="65" spans="1:4" hidden="1" x14ac:dyDescent="0.35">
      <c r="A65" s="995" t="s">
        <v>2403</v>
      </c>
      <c r="B65" s="1159">
        <v>907</v>
      </c>
      <c r="C65" s="1159">
        <v>907</v>
      </c>
      <c r="D65" s="1005">
        <v>0</v>
      </c>
    </row>
    <row r="66" spans="1:4" hidden="1" x14ac:dyDescent="0.35">
      <c r="A66" s="995" t="s">
        <v>1205</v>
      </c>
      <c r="B66" s="1159">
        <v>263340</v>
      </c>
      <c r="C66" s="1159">
        <v>263340</v>
      </c>
      <c r="D66" s="1005">
        <v>0</v>
      </c>
    </row>
    <row r="67" spans="1:4" hidden="1" x14ac:dyDescent="0.35">
      <c r="A67" s="995" t="s">
        <v>2547</v>
      </c>
      <c r="B67" s="1159">
        <v>42578</v>
      </c>
      <c r="C67" s="1159">
        <v>42578</v>
      </c>
      <c r="D67" s="1005">
        <v>0</v>
      </c>
    </row>
    <row r="68" spans="1:4" hidden="1" x14ac:dyDescent="0.35">
      <c r="A68" s="995" t="s">
        <v>7946</v>
      </c>
      <c r="B68" s="1159">
        <v>241139</v>
      </c>
      <c r="C68" s="1159">
        <v>241139</v>
      </c>
      <c r="D68" s="1005">
        <v>0</v>
      </c>
    </row>
    <row r="69" spans="1:4" hidden="1" x14ac:dyDescent="0.35">
      <c r="A69" s="995" t="s">
        <v>2651</v>
      </c>
      <c r="B69" s="1159">
        <v>9647104</v>
      </c>
      <c r="C69" s="1159">
        <v>9647104</v>
      </c>
      <c r="D69" s="1005">
        <v>0</v>
      </c>
    </row>
    <row r="70" spans="1:4" hidden="1" x14ac:dyDescent="0.35">
      <c r="A70" s="995" t="s">
        <v>8547</v>
      </c>
      <c r="B70" s="1159">
        <v>2892546</v>
      </c>
      <c r="C70" s="1159">
        <v>2892546</v>
      </c>
      <c r="D70" s="1005">
        <v>0</v>
      </c>
    </row>
    <row r="71" spans="1:4" hidden="1" x14ac:dyDescent="0.35">
      <c r="A71" s="995" t="s">
        <v>2318</v>
      </c>
      <c r="B71" s="1159">
        <v>39773</v>
      </c>
      <c r="C71" s="1159">
        <v>39773</v>
      </c>
      <c r="D71" s="1005">
        <v>0</v>
      </c>
    </row>
    <row r="72" spans="1:4" hidden="1" x14ac:dyDescent="0.35">
      <c r="A72" s="995" t="s">
        <v>8864</v>
      </c>
      <c r="B72" s="1159">
        <v>2901296</v>
      </c>
      <c r="C72" s="1159">
        <v>2901296</v>
      </c>
      <c r="D72" s="1005">
        <v>0</v>
      </c>
    </row>
    <row r="73" spans="1:4" hidden="1" x14ac:dyDescent="0.35">
      <c r="A73" s="995" t="s">
        <v>3383</v>
      </c>
      <c r="B73" s="1159">
        <v>4145</v>
      </c>
      <c r="C73" s="1159">
        <v>4145</v>
      </c>
      <c r="D73" s="1005">
        <v>0</v>
      </c>
    </row>
    <row r="74" spans="1:4" s="1006" customFormat="1" hidden="1" x14ac:dyDescent="0.35">
      <c r="A74" s="995" t="s">
        <v>9757</v>
      </c>
      <c r="B74" s="1159">
        <v>6398047</v>
      </c>
      <c r="C74" s="1159">
        <v>6398047</v>
      </c>
      <c r="D74" s="1005">
        <v>0</v>
      </c>
    </row>
    <row r="75" spans="1:4" hidden="1" x14ac:dyDescent="0.35">
      <c r="A75" s="995" t="s">
        <v>3400</v>
      </c>
      <c r="B75" s="1159">
        <v>25920</v>
      </c>
      <c r="C75" s="1159">
        <v>25920</v>
      </c>
      <c r="D75" s="1005">
        <v>0</v>
      </c>
    </row>
    <row r="76" spans="1:4" hidden="1" x14ac:dyDescent="0.35">
      <c r="A76" s="995" t="s">
        <v>2648</v>
      </c>
      <c r="B76" s="1159">
        <v>202856</v>
      </c>
      <c r="C76" s="1159">
        <v>202856</v>
      </c>
      <c r="D76" s="1005">
        <v>0</v>
      </c>
    </row>
    <row r="77" spans="1:4" hidden="1" x14ac:dyDescent="0.35">
      <c r="A77" s="995" t="s">
        <v>3621</v>
      </c>
      <c r="B77" s="1159">
        <v>1205380</v>
      </c>
      <c r="C77" s="1159">
        <v>1205380</v>
      </c>
      <c r="D77" s="1005">
        <v>0</v>
      </c>
    </row>
    <row r="78" spans="1:4" hidden="1" x14ac:dyDescent="0.35">
      <c r="A78" s="995" t="s">
        <v>10559</v>
      </c>
      <c r="B78" s="1159">
        <v>1846282</v>
      </c>
      <c r="C78" s="1159">
        <v>1846282</v>
      </c>
      <c r="D78" s="1005">
        <v>0</v>
      </c>
    </row>
    <row r="79" spans="1:4" hidden="1" x14ac:dyDescent="0.35">
      <c r="A79" s="995" t="s">
        <v>1675</v>
      </c>
      <c r="B79" s="1159">
        <v>155133</v>
      </c>
      <c r="C79" s="1159">
        <v>155133</v>
      </c>
      <c r="D79" s="1005">
        <v>0</v>
      </c>
    </row>
    <row r="80" spans="1:4" hidden="1" x14ac:dyDescent="0.35">
      <c r="A80" s="995" t="s">
        <v>10564</v>
      </c>
      <c r="B80" s="1159">
        <v>21004486</v>
      </c>
      <c r="C80" s="1159">
        <v>21004486</v>
      </c>
      <c r="D80" s="1005">
        <v>0</v>
      </c>
    </row>
    <row r="81" spans="1:4" hidden="1" x14ac:dyDescent="0.35">
      <c r="A81" s="995" t="s">
        <v>18</v>
      </c>
      <c r="B81" s="1159">
        <v>150590</v>
      </c>
      <c r="C81" s="1159">
        <v>150590</v>
      </c>
      <c r="D81" s="1005">
        <v>0</v>
      </c>
    </row>
    <row r="82" spans="1:4" hidden="1" x14ac:dyDescent="0.35">
      <c r="A82" s="995" t="s">
        <v>768</v>
      </c>
      <c r="B82" s="1159">
        <v>190145</v>
      </c>
      <c r="C82" s="1159">
        <v>190145</v>
      </c>
      <c r="D82" s="1005">
        <v>0</v>
      </c>
    </row>
    <row r="83" spans="1:4" hidden="1" x14ac:dyDescent="0.35">
      <c r="A83" s="995" t="s">
        <v>4720</v>
      </c>
      <c r="B83" s="1159">
        <v>644100</v>
      </c>
      <c r="C83" s="1159">
        <v>644100</v>
      </c>
      <c r="D83" s="1005">
        <v>0</v>
      </c>
    </row>
    <row r="84" spans="1:4" hidden="1" x14ac:dyDescent="0.35">
      <c r="A84" s="995" t="s">
        <v>11488</v>
      </c>
      <c r="B84" s="1159">
        <v>576715</v>
      </c>
      <c r="C84" s="1159">
        <v>576715</v>
      </c>
      <c r="D84" s="1005">
        <v>0</v>
      </c>
    </row>
    <row r="85" spans="1:4" hidden="1" x14ac:dyDescent="0.35">
      <c r="A85" s="995" t="s">
        <v>4883</v>
      </c>
      <c r="B85" s="1159">
        <v>262657</v>
      </c>
      <c r="C85" s="1159">
        <v>262657</v>
      </c>
      <c r="D85" s="1005">
        <v>0</v>
      </c>
    </row>
    <row r="86" spans="1:4" hidden="1" x14ac:dyDescent="0.35">
      <c r="A86" s="995" t="s">
        <v>1086</v>
      </c>
      <c r="B86" s="1159">
        <v>88730</v>
      </c>
      <c r="C86" s="1159">
        <v>88730</v>
      </c>
      <c r="D86" s="1005">
        <v>0</v>
      </c>
    </row>
    <row r="87" spans="1:4" hidden="1" x14ac:dyDescent="0.35">
      <c r="A87" s="995" t="s">
        <v>2093</v>
      </c>
      <c r="B87" s="1159">
        <v>148869</v>
      </c>
      <c r="C87" s="1159">
        <v>148869</v>
      </c>
      <c r="D87" s="1005">
        <v>0</v>
      </c>
    </row>
    <row r="88" spans="1:4" hidden="1" x14ac:dyDescent="0.35">
      <c r="A88" s="995" t="s">
        <v>1399</v>
      </c>
      <c r="B88" s="1159">
        <v>26199453</v>
      </c>
      <c r="C88" s="1159">
        <v>26199453</v>
      </c>
      <c r="D88" s="1005">
        <v>0</v>
      </c>
    </row>
    <row r="89" spans="1:4" hidden="1" x14ac:dyDescent="0.35">
      <c r="A89" s="995" t="s">
        <v>82</v>
      </c>
      <c r="B89" s="1159">
        <v>732794</v>
      </c>
      <c r="C89" s="1159">
        <v>732794</v>
      </c>
      <c r="D89" s="1005">
        <v>0</v>
      </c>
    </row>
    <row r="90" spans="1:4" hidden="1" x14ac:dyDescent="0.35">
      <c r="A90" s="995" t="s">
        <v>171</v>
      </c>
      <c r="B90" s="1159">
        <v>46541</v>
      </c>
      <c r="C90" s="1159">
        <v>46541</v>
      </c>
      <c r="D90" s="1005">
        <v>0</v>
      </c>
    </row>
    <row r="91" spans="1:4" hidden="1" x14ac:dyDescent="0.35">
      <c r="A91" s="995" t="s">
        <v>5051</v>
      </c>
      <c r="B91" s="1159">
        <v>206944</v>
      </c>
      <c r="C91" s="1159">
        <v>206944</v>
      </c>
      <c r="D91" s="1005">
        <v>0</v>
      </c>
    </row>
    <row r="92" spans="1:4" hidden="1" x14ac:dyDescent="0.35">
      <c r="A92" s="995" t="s">
        <v>13279</v>
      </c>
      <c r="B92" s="1159">
        <v>168000</v>
      </c>
      <c r="C92" s="1159">
        <v>168000</v>
      </c>
      <c r="D92" s="1005">
        <v>0</v>
      </c>
    </row>
    <row r="93" spans="1:4" hidden="1" x14ac:dyDescent="0.35">
      <c r="A93" s="995" t="s">
        <v>4813</v>
      </c>
      <c r="B93" s="1159">
        <v>15712</v>
      </c>
      <c r="C93" s="1159">
        <v>15712</v>
      </c>
      <c r="D93" s="1005">
        <v>0</v>
      </c>
    </row>
    <row r="94" spans="1:4" hidden="1" x14ac:dyDescent="0.35">
      <c r="A94" s="995" t="s">
        <v>1804</v>
      </c>
      <c r="B94" s="1159">
        <v>236720</v>
      </c>
      <c r="C94" s="1159">
        <v>236720</v>
      </c>
      <c r="D94" s="1005">
        <v>0</v>
      </c>
    </row>
    <row r="95" spans="1:4" hidden="1" x14ac:dyDescent="0.35">
      <c r="A95" s="995" t="s">
        <v>5226</v>
      </c>
      <c r="B95" s="1159">
        <v>862774</v>
      </c>
      <c r="C95" s="1159">
        <v>862774</v>
      </c>
      <c r="D95" s="1005">
        <v>0</v>
      </c>
    </row>
    <row r="96" spans="1:4" hidden="1" x14ac:dyDescent="0.35">
      <c r="A96" s="995" t="s">
        <v>3944</v>
      </c>
      <c r="B96" s="1159">
        <v>5200</v>
      </c>
      <c r="C96" s="1159">
        <v>5200</v>
      </c>
      <c r="D96" s="1005">
        <v>0</v>
      </c>
    </row>
    <row r="97" spans="1:4" hidden="1" x14ac:dyDescent="0.35">
      <c r="A97" s="995" t="s">
        <v>5319</v>
      </c>
      <c r="B97" s="1159">
        <v>52679</v>
      </c>
      <c r="C97" s="1159">
        <v>52679</v>
      </c>
      <c r="D97" s="1005">
        <v>0</v>
      </c>
    </row>
    <row r="98" spans="1:4" hidden="1" x14ac:dyDescent="0.35">
      <c r="A98" s="995" t="s">
        <v>8034</v>
      </c>
      <c r="B98" s="1159">
        <v>11932427</v>
      </c>
      <c r="C98" s="1159">
        <v>11932427</v>
      </c>
      <c r="D98" s="1005">
        <v>0</v>
      </c>
    </row>
    <row r="99" spans="1:4" hidden="1" x14ac:dyDescent="0.35">
      <c r="A99" s="995" t="s">
        <v>5547</v>
      </c>
      <c r="B99" s="1159">
        <v>202398</v>
      </c>
      <c r="C99" s="1159">
        <v>202398</v>
      </c>
      <c r="D99" s="1005">
        <v>0</v>
      </c>
    </row>
    <row r="100" spans="1:4" hidden="1" x14ac:dyDescent="0.35">
      <c r="A100" s="995" t="s">
        <v>8329</v>
      </c>
      <c r="B100" s="1159">
        <v>6661900</v>
      </c>
      <c r="C100" s="1159">
        <v>6661900</v>
      </c>
      <c r="D100" s="1005">
        <v>0</v>
      </c>
    </row>
    <row r="101" spans="1:4" hidden="1" x14ac:dyDescent="0.35">
      <c r="A101" s="995" t="s">
        <v>5708</v>
      </c>
      <c r="B101" s="1159">
        <v>189460</v>
      </c>
      <c r="C101" s="1159">
        <v>189460</v>
      </c>
      <c r="D101" s="1005">
        <v>0</v>
      </c>
    </row>
    <row r="102" spans="1:4" hidden="1" x14ac:dyDescent="0.35">
      <c r="A102" s="995" t="s">
        <v>8521</v>
      </c>
      <c r="B102" s="1159">
        <v>235522</v>
      </c>
      <c r="C102" s="1159">
        <v>235522</v>
      </c>
      <c r="D102" s="1005">
        <v>0</v>
      </c>
    </row>
    <row r="103" spans="1:4" hidden="1" x14ac:dyDescent="0.35">
      <c r="A103" s="995" t="s">
        <v>5719</v>
      </c>
      <c r="B103" s="1159">
        <v>271758</v>
      </c>
      <c r="C103" s="1159">
        <v>271758</v>
      </c>
      <c r="D103" s="1005">
        <v>0</v>
      </c>
    </row>
    <row r="104" spans="1:4" hidden="1" x14ac:dyDescent="0.35">
      <c r="A104" s="995" t="s">
        <v>8856</v>
      </c>
      <c r="B104" s="1159">
        <v>1899307</v>
      </c>
      <c r="C104" s="1159">
        <v>1899307</v>
      </c>
      <c r="D104" s="1005">
        <v>0</v>
      </c>
    </row>
    <row r="105" spans="1:4" hidden="1" x14ac:dyDescent="0.35">
      <c r="A105" s="995" t="s">
        <v>5728</v>
      </c>
      <c r="B105" s="1159">
        <v>20800</v>
      </c>
      <c r="C105" s="1159">
        <v>20800</v>
      </c>
      <c r="D105" s="1005">
        <v>0</v>
      </c>
    </row>
    <row r="106" spans="1:4" hidden="1" x14ac:dyDescent="0.35">
      <c r="A106" s="995" t="s">
        <v>9397</v>
      </c>
      <c r="B106" s="1159">
        <v>1080276</v>
      </c>
      <c r="C106" s="1159">
        <v>1080276</v>
      </c>
      <c r="D106" s="1005">
        <v>0</v>
      </c>
    </row>
    <row r="107" spans="1:4" hidden="1" x14ac:dyDescent="0.35">
      <c r="A107" s="995" t="s">
        <v>5810</v>
      </c>
      <c r="B107" s="1159">
        <v>317719</v>
      </c>
      <c r="C107" s="1159">
        <v>317719</v>
      </c>
      <c r="D107" s="1005">
        <v>0</v>
      </c>
    </row>
    <row r="108" spans="1:4" hidden="1" x14ac:dyDescent="0.35">
      <c r="A108" s="995" t="s">
        <v>9649</v>
      </c>
      <c r="B108" s="1159">
        <v>2984053</v>
      </c>
      <c r="C108" s="1159">
        <v>2984053</v>
      </c>
      <c r="D108" s="1005">
        <v>0</v>
      </c>
    </row>
    <row r="109" spans="1:4" hidden="1" x14ac:dyDescent="0.35">
      <c r="A109" s="995" t="s">
        <v>6102</v>
      </c>
      <c r="B109" s="1159">
        <v>126398</v>
      </c>
      <c r="C109" s="1159">
        <v>126398</v>
      </c>
      <c r="D109" s="1005">
        <v>0</v>
      </c>
    </row>
    <row r="110" spans="1:4" hidden="1" x14ac:dyDescent="0.35">
      <c r="A110" s="995" t="s">
        <v>9955</v>
      </c>
      <c r="B110" s="1159">
        <v>385571</v>
      </c>
      <c r="C110" s="1159">
        <v>385571</v>
      </c>
      <c r="D110" s="1005">
        <v>0</v>
      </c>
    </row>
    <row r="111" spans="1:4" hidden="1" x14ac:dyDescent="0.35">
      <c r="A111" s="995" t="s">
        <v>6247</v>
      </c>
      <c r="B111" s="1159">
        <v>64600</v>
      </c>
      <c r="C111" s="1159">
        <v>64600</v>
      </c>
      <c r="D111" s="1005">
        <v>0</v>
      </c>
    </row>
    <row r="112" spans="1:4" hidden="1" x14ac:dyDescent="0.35">
      <c r="A112" s="995" t="s">
        <v>10139</v>
      </c>
      <c r="B112" s="1159">
        <v>2384019</v>
      </c>
      <c r="C112" s="1159">
        <v>2384019</v>
      </c>
      <c r="D112" s="1005">
        <v>0</v>
      </c>
    </row>
    <row r="113" spans="1:4" hidden="1" x14ac:dyDescent="0.35">
      <c r="A113" s="995" t="s">
        <v>6407</v>
      </c>
      <c r="B113" s="1159">
        <v>959942</v>
      </c>
      <c r="C113" s="1159">
        <v>959942</v>
      </c>
      <c r="D113" s="1005">
        <v>0</v>
      </c>
    </row>
    <row r="114" spans="1:4" hidden="1" x14ac:dyDescent="0.35">
      <c r="A114" s="995" t="s">
        <v>394</v>
      </c>
      <c r="B114" s="1159">
        <v>51141</v>
      </c>
      <c r="C114" s="1159">
        <v>51141</v>
      </c>
      <c r="D114" s="1005">
        <v>0</v>
      </c>
    </row>
    <row r="115" spans="1:4" hidden="1" x14ac:dyDescent="0.35">
      <c r="A115" s="995" t="s">
        <v>6505</v>
      </c>
      <c r="B115" s="1159">
        <v>74613</v>
      </c>
      <c r="C115" s="1159">
        <v>74613</v>
      </c>
      <c r="D115" s="1005">
        <v>0</v>
      </c>
    </row>
    <row r="116" spans="1:4" hidden="1" x14ac:dyDescent="0.35">
      <c r="A116" s="995" t="s">
        <v>2270</v>
      </c>
      <c r="B116" s="1159">
        <v>166908</v>
      </c>
      <c r="C116" s="1159">
        <v>166908</v>
      </c>
      <c r="D116" s="1005">
        <v>0</v>
      </c>
    </row>
    <row r="117" spans="1:4" hidden="1" x14ac:dyDescent="0.35">
      <c r="A117" s="995" t="s">
        <v>6506</v>
      </c>
      <c r="B117" s="1159">
        <v>798186</v>
      </c>
      <c r="C117" s="1159">
        <v>798186</v>
      </c>
      <c r="D117" s="1005">
        <v>0</v>
      </c>
    </row>
    <row r="118" spans="1:4" hidden="1" x14ac:dyDescent="0.35">
      <c r="A118" s="995" t="s">
        <v>2786</v>
      </c>
      <c r="B118" s="1159">
        <v>4910436</v>
      </c>
      <c r="C118" s="1159">
        <v>4910436</v>
      </c>
      <c r="D118" s="1005">
        <v>0</v>
      </c>
    </row>
    <row r="119" spans="1:4" hidden="1" x14ac:dyDescent="0.35">
      <c r="A119" s="995" t="s">
        <v>6509</v>
      </c>
      <c r="B119" s="1159">
        <v>1741940</v>
      </c>
      <c r="C119" s="1159">
        <v>1741940</v>
      </c>
      <c r="D119" s="1005">
        <v>0</v>
      </c>
    </row>
    <row r="120" spans="1:4" x14ac:dyDescent="0.35">
      <c r="A120" s="995" t="s">
        <v>10892</v>
      </c>
      <c r="B120" s="1159">
        <v>79935</v>
      </c>
      <c r="C120" s="1159">
        <v>79935</v>
      </c>
      <c r="D120" s="1005">
        <v>0</v>
      </c>
    </row>
    <row r="121" spans="1:4" x14ac:dyDescent="0.35">
      <c r="A121" s="995" t="s">
        <v>6718</v>
      </c>
      <c r="B121" s="1159">
        <v>270400</v>
      </c>
      <c r="C121" s="1159">
        <v>270400</v>
      </c>
      <c r="D121" s="1005">
        <v>0</v>
      </c>
    </row>
    <row r="122" spans="1:4" x14ac:dyDescent="0.35">
      <c r="A122" s="995" t="s">
        <v>10367</v>
      </c>
      <c r="B122" s="1159">
        <v>1329980</v>
      </c>
      <c r="C122" s="1159">
        <v>1329980</v>
      </c>
      <c r="D122" s="1005">
        <v>0</v>
      </c>
    </row>
    <row r="123" spans="1:4" x14ac:dyDescent="0.35">
      <c r="A123" s="995" t="s">
        <v>6953</v>
      </c>
      <c r="B123" s="1159">
        <v>975613</v>
      </c>
      <c r="C123" s="1159">
        <v>975613</v>
      </c>
      <c r="D123" s="1005">
        <v>0</v>
      </c>
    </row>
    <row r="124" spans="1:4" x14ac:dyDescent="0.35">
      <c r="A124" s="995" t="s">
        <v>11054</v>
      </c>
      <c r="B124" s="1159">
        <v>900642</v>
      </c>
      <c r="C124" s="1159">
        <v>900642</v>
      </c>
      <c r="D124" s="1005">
        <v>0</v>
      </c>
    </row>
    <row r="125" spans="1:4" x14ac:dyDescent="0.35">
      <c r="A125" s="995" t="s">
        <v>3945</v>
      </c>
      <c r="B125" s="1159">
        <v>514945</v>
      </c>
      <c r="C125" s="1159">
        <v>514945</v>
      </c>
      <c r="D125" s="1005">
        <v>0</v>
      </c>
    </row>
    <row r="126" spans="1:4" x14ac:dyDescent="0.35">
      <c r="A126" s="995" t="s">
        <v>11249</v>
      </c>
      <c r="B126" s="1159">
        <v>34476</v>
      </c>
      <c r="C126" s="1159">
        <v>34476</v>
      </c>
      <c r="D126" s="1005">
        <v>0</v>
      </c>
    </row>
    <row r="127" spans="1:4" x14ac:dyDescent="0.35">
      <c r="A127" s="995" t="s">
        <v>7065</v>
      </c>
      <c r="B127" s="1159">
        <v>1567993</v>
      </c>
      <c r="C127" s="1159">
        <v>1567993</v>
      </c>
      <c r="D127" s="1005">
        <v>0</v>
      </c>
    </row>
    <row r="128" spans="1:4" x14ac:dyDescent="0.35">
      <c r="A128" s="995" t="s">
        <v>11586</v>
      </c>
      <c r="B128" s="1159">
        <v>1897732</v>
      </c>
      <c r="C128" s="1159">
        <v>1897732</v>
      </c>
      <c r="D128" s="1005">
        <v>0</v>
      </c>
    </row>
    <row r="129" spans="1:4" x14ac:dyDescent="0.35">
      <c r="A129" s="995" t="s">
        <v>12048</v>
      </c>
      <c r="B129" s="1159">
        <v>95402</v>
      </c>
      <c r="C129" s="1159">
        <v>95402</v>
      </c>
      <c r="D129" s="1005">
        <v>0</v>
      </c>
    </row>
    <row r="130" spans="1:4" x14ac:dyDescent="0.35">
      <c r="A130" s="995" t="s">
        <v>11864</v>
      </c>
      <c r="B130" s="1159">
        <v>19281345</v>
      </c>
      <c r="C130" s="1159">
        <v>19281345</v>
      </c>
      <c r="D130" s="1005">
        <v>0</v>
      </c>
    </row>
    <row r="131" spans="1:4" x14ac:dyDescent="0.35">
      <c r="A131" s="995" t="s">
        <v>2932</v>
      </c>
      <c r="B131" s="1159">
        <v>6628809</v>
      </c>
      <c r="C131" s="1159">
        <v>6628809</v>
      </c>
      <c r="D131" s="1005">
        <v>0</v>
      </c>
    </row>
    <row r="132" spans="1:4" x14ac:dyDescent="0.35">
      <c r="A132" s="995" t="s">
        <v>12211</v>
      </c>
      <c r="B132" s="1159">
        <v>110000</v>
      </c>
      <c r="C132" s="1159">
        <v>110000</v>
      </c>
      <c r="D132" s="1005">
        <v>0</v>
      </c>
    </row>
    <row r="133" spans="1:4" x14ac:dyDescent="0.35">
      <c r="A133" s="995" t="s">
        <v>7655</v>
      </c>
      <c r="B133" s="1159">
        <v>1303060</v>
      </c>
      <c r="C133" s="1159">
        <v>1303060</v>
      </c>
      <c r="D133" s="1005">
        <v>0</v>
      </c>
    </row>
    <row r="134" spans="1:4" x14ac:dyDescent="0.35">
      <c r="A134" s="995" t="s">
        <v>38</v>
      </c>
      <c r="B134" s="1159">
        <v>110704</v>
      </c>
      <c r="C134" s="1159">
        <v>110704</v>
      </c>
      <c r="D134" s="1005">
        <v>0</v>
      </c>
    </row>
    <row r="135" spans="1:4" x14ac:dyDescent="0.35">
      <c r="A135" s="995" t="s">
        <v>130</v>
      </c>
      <c r="B135" s="1159">
        <v>624947</v>
      </c>
      <c r="C135" s="1159">
        <v>624947</v>
      </c>
      <c r="D135" s="1005">
        <v>0</v>
      </c>
    </row>
    <row r="136" spans="1:4" x14ac:dyDescent="0.35">
      <c r="A136" s="995" t="s">
        <v>40</v>
      </c>
      <c r="B136" s="1159">
        <v>4949540</v>
      </c>
      <c r="C136" s="1159">
        <v>4949540</v>
      </c>
      <c r="D136" s="1005">
        <v>0</v>
      </c>
    </row>
    <row r="137" spans="1:4" x14ac:dyDescent="0.35">
      <c r="A137" s="995" t="s">
        <v>44</v>
      </c>
      <c r="B137" s="1159">
        <v>10000</v>
      </c>
      <c r="C137" s="1159">
        <v>10000</v>
      </c>
      <c r="D137" s="1005">
        <v>0</v>
      </c>
    </row>
    <row r="138" spans="1:4" x14ac:dyDescent="0.35">
      <c r="A138" s="995" t="s">
        <v>2226</v>
      </c>
      <c r="B138" s="1159">
        <v>381380</v>
      </c>
      <c r="C138" s="1159">
        <v>381380</v>
      </c>
      <c r="D138" s="1005">
        <v>0</v>
      </c>
    </row>
    <row r="139" spans="1:4" x14ac:dyDescent="0.35">
      <c r="A139" s="995" t="s">
        <v>3732</v>
      </c>
      <c r="B139" s="1159">
        <v>633124</v>
      </c>
      <c r="C139" s="1159">
        <v>633124</v>
      </c>
      <c r="D139" s="1005">
        <v>0</v>
      </c>
    </row>
    <row r="140" spans="1:4" x14ac:dyDescent="0.35">
      <c r="A140" s="995" t="s">
        <v>160</v>
      </c>
      <c r="B140" s="1159">
        <v>7375</v>
      </c>
      <c r="C140" s="1159">
        <v>7375</v>
      </c>
      <c r="D140" s="1005">
        <v>0</v>
      </c>
    </row>
    <row r="141" spans="1:4" x14ac:dyDescent="0.35">
      <c r="A141" s="995" t="s">
        <v>6516</v>
      </c>
      <c r="B141" s="1159">
        <v>1058091</v>
      </c>
      <c r="C141" s="1159">
        <v>1058091</v>
      </c>
      <c r="D141" s="1005">
        <v>0</v>
      </c>
    </row>
    <row r="142" spans="1:4" x14ac:dyDescent="0.35">
      <c r="A142" s="995" t="s">
        <v>13453</v>
      </c>
      <c r="B142" s="1159">
        <v>260520</v>
      </c>
      <c r="C142" s="1159">
        <v>260520</v>
      </c>
      <c r="D142" s="1005">
        <v>0</v>
      </c>
    </row>
    <row r="143" spans="1:4" x14ac:dyDescent="0.35">
      <c r="A143" s="1092" t="s">
        <v>8384</v>
      </c>
      <c r="B143" s="1159">
        <v>260520</v>
      </c>
      <c r="C143" s="1159">
        <v>260520</v>
      </c>
      <c r="D143" s="1005">
        <v>0</v>
      </c>
    </row>
    <row r="144" spans="1:4" x14ac:dyDescent="0.35">
      <c r="A144" s="995" t="s">
        <v>14329</v>
      </c>
      <c r="B144" s="1159">
        <v>5871</v>
      </c>
      <c r="C144" s="1159">
        <v>5871</v>
      </c>
      <c r="D144" s="1005">
        <v>0</v>
      </c>
    </row>
    <row r="145" spans="1:4" x14ac:dyDescent="0.35">
      <c r="A145" s="1092" t="s">
        <v>166</v>
      </c>
      <c r="B145" s="1159">
        <v>5871</v>
      </c>
      <c r="C145" s="1159">
        <v>5871</v>
      </c>
      <c r="D145" s="1098">
        <v>0</v>
      </c>
    </row>
    <row r="146" spans="1:4" x14ac:dyDescent="0.35">
      <c r="A146" s="995" t="s">
        <v>36</v>
      </c>
      <c r="B146" s="1159">
        <v>11281</v>
      </c>
      <c r="C146" s="1159">
        <v>11281</v>
      </c>
      <c r="D146" s="1005">
        <v>0</v>
      </c>
    </row>
    <row r="147" spans="1:4" x14ac:dyDescent="0.35">
      <c r="A147" s="995" t="s">
        <v>154</v>
      </c>
      <c r="B147" s="1159">
        <v>252400</v>
      </c>
      <c r="C147" s="1159">
        <v>252400</v>
      </c>
      <c r="D147" s="1005">
        <v>0</v>
      </c>
    </row>
    <row r="148" spans="1:4" x14ac:dyDescent="0.35">
      <c r="A148" s="995" t="s">
        <v>13636</v>
      </c>
      <c r="B148" s="1159">
        <v>69559</v>
      </c>
      <c r="C148" s="1159">
        <v>69559</v>
      </c>
      <c r="D148" s="1005">
        <v>0</v>
      </c>
    </row>
    <row r="149" spans="1:4" x14ac:dyDescent="0.35">
      <c r="A149" s="995" t="s">
        <v>13935</v>
      </c>
      <c r="B149" s="1159">
        <v>9340</v>
      </c>
      <c r="C149" s="1159">
        <v>9340</v>
      </c>
      <c r="D149" s="1005">
        <v>0</v>
      </c>
    </row>
    <row r="150" spans="1:4" x14ac:dyDescent="0.35">
      <c r="A150" s="1092" t="s">
        <v>8384</v>
      </c>
      <c r="B150" s="1159">
        <v>9340</v>
      </c>
      <c r="C150" s="1159">
        <v>9340</v>
      </c>
      <c r="D150" s="1005">
        <v>0</v>
      </c>
    </row>
    <row r="151" spans="1:4" x14ac:dyDescent="0.35">
      <c r="A151" s="995" t="s">
        <v>672</v>
      </c>
      <c r="B151" s="1159">
        <v>629934</v>
      </c>
      <c r="C151" s="1159">
        <v>629934</v>
      </c>
      <c r="D151" s="1005">
        <v>0</v>
      </c>
    </row>
    <row r="152" spans="1:4" x14ac:dyDescent="0.35">
      <c r="A152" s="995" t="s">
        <v>13297</v>
      </c>
      <c r="B152" s="1159">
        <v>194222</v>
      </c>
      <c r="C152" s="1159">
        <v>194222</v>
      </c>
      <c r="D152" s="1005">
        <v>0</v>
      </c>
    </row>
    <row r="153" spans="1:4" x14ac:dyDescent="0.35">
      <c r="A153" s="1092" t="s">
        <v>13116</v>
      </c>
      <c r="B153" s="1159">
        <v>7000</v>
      </c>
      <c r="C153" s="1159">
        <v>7000</v>
      </c>
      <c r="D153" s="1005">
        <v>0</v>
      </c>
    </row>
    <row r="154" spans="1:4" x14ac:dyDescent="0.35">
      <c r="A154" s="1092" t="s">
        <v>10472</v>
      </c>
      <c r="B154" s="1159">
        <v>187222</v>
      </c>
      <c r="C154" s="1159">
        <v>187222</v>
      </c>
      <c r="D154" s="1005">
        <v>0</v>
      </c>
    </row>
    <row r="155" spans="1:4" x14ac:dyDescent="0.35">
      <c r="A155" s="995" t="s">
        <v>129</v>
      </c>
      <c r="B155" s="1159">
        <v>276956</v>
      </c>
      <c r="C155" s="1159">
        <v>276956</v>
      </c>
      <c r="D155" s="1005">
        <v>0</v>
      </c>
    </row>
    <row r="156" spans="1:4" x14ac:dyDescent="0.35">
      <c r="A156" s="995" t="s">
        <v>39</v>
      </c>
      <c r="B156" s="1159">
        <v>65000</v>
      </c>
      <c r="C156" s="1159">
        <v>65000</v>
      </c>
      <c r="D156" s="1005">
        <v>0</v>
      </c>
    </row>
    <row r="157" spans="1:4" x14ac:dyDescent="0.35">
      <c r="A157" s="995" t="s">
        <v>1396</v>
      </c>
      <c r="B157" s="1159">
        <v>3227014</v>
      </c>
      <c r="C157" s="1159">
        <v>3227014</v>
      </c>
      <c r="D157" s="1005">
        <v>0</v>
      </c>
    </row>
    <row r="158" spans="1:4" x14ac:dyDescent="0.35">
      <c r="A158" s="995" t="s">
        <v>1398</v>
      </c>
      <c r="B158" s="1159">
        <v>54635</v>
      </c>
      <c r="C158" s="1159">
        <v>54635</v>
      </c>
      <c r="D158" s="1005">
        <v>0</v>
      </c>
    </row>
    <row r="159" spans="1:4" x14ac:dyDescent="0.35">
      <c r="A159" s="995" t="s">
        <v>2088</v>
      </c>
      <c r="B159" s="1159">
        <v>64441</v>
      </c>
      <c r="C159" s="1159">
        <v>64441</v>
      </c>
      <c r="D159" s="1005">
        <v>0</v>
      </c>
    </row>
    <row r="160" spans="1:4" x14ac:dyDescent="0.35">
      <c r="A160" s="995" t="s">
        <v>7810</v>
      </c>
      <c r="B160" s="1159">
        <v>136445</v>
      </c>
      <c r="C160" s="1159">
        <v>136445</v>
      </c>
      <c r="D160" s="1005">
        <v>0</v>
      </c>
    </row>
    <row r="161" spans="1:4" x14ac:dyDescent="0.35">
      <c r="A161" s="995" t="s">
        <v>7914</v>
      </c>
      <c r="B161" s="1159">
        <v>3715694</v>
      </c>
      <c r="C161" s="1159">
        <v>3715694</v>
      </c>
      <c r="D161" s="1005">
        <v>0</v>
      </c>
    </row>
    <row r="162" spans="1:4" x14ac:dyDescent="0.35">
      <c r="A162" s="995" t="s">
        <v>7124</v>
      </c>
      <c r="B162" s="1159"/>
      <c r="C162" s="1159"/>
      <c r="D162" s="1005">
        <v>0</v>
      </c>
    </row>
    <row r="163" spans="1:4" x14ac:dyDescent="0.35">
      <c r="A163" s="995" t="s">
        <v>962</v>
      </c>
      <c r="B163" s="1159">
        <v>144342</v>
      </c>
      <c r="C163" s="1159">
        <v>144342</v>
      </c>
      <c r="D163" s="1005">
        <v>0</v>
      </c>
    </row>
    <row r="164" spans="1:4" x14ac:dyDescent="0.35">
      <c r="A164" s="995" t="s">
        <v>6645</v>
      </c>
      <c r="B164" s="1159"/>
      <c r="C164" s="1159"/>
      <c r="D164" s="1005">
        <v>0</v>
      </c>
    </row>
    <row r="165" spans="1:4" x14ac:dyDescent="0.35">
      <c r="A165" s="995" t="s">
        <v>1202</v>
      </c>
      <c r="B165" s="1159">
        <v>59350</v>
      </c>
      <c r="C165" s="1159">
        <v>59350</v>
      </c>
      <c r="D165" s="1005">
        <v>0</v>
      </c>
    </row>
    <row r="166" spans="1:4" x14ac:dyDescent="0.35">
      <c r="A166" s="995" t="s">
        <v>7728</v>
      </c>
      <c r="B166" s="1159">
        <v>221361</v>
      </c>
      <c r="C166" s="1159">
        <v>221361</v>
      </c>
      <c r="D166" s="1005">
        <v>0</v>
      </c>
    </row>
    <row r="167" spans="1:4" x14ac:dyDescent="0.35">
      <c r="A167" s="995" t="s">
        <v>1214</v>
      </c>
      <c r="B167" s="1159">
        <v>258956</v>
      </c>
      <c r="C167" s="1159">
        <v>258956</v>
      </c>
      <c r="D167" s="1005">
        <v>0</v>
      </c>
    </row>
    <row r="168" spans="1:4" x14ac:dyDescent="0.35">
      <c r="A168" s="995" t="s">
        <v>7741</v>
      </c>
      <c r="B168" s="1159">
        <v>319499</v>
      </c>
      <c r="C168" s="1159">
        <v>319499</v>
      </c>
      <c r="D168" s="1005">
        <v>0</v>
      </c>
    </row>
    <row r="169" spans="1:4" x14ac:dyDescent="0.35">
      <c r="A169" s="995" t="s">
        <v>37</v>
      </c>
      <c r="B169" s="1159">
        <v>74360</v>
      </c>
      <c r="C169" s="1159">
        <v>74360</v>
      </c>
      <c r="D169" s="1005">
        <v>0</v>
      </c>
    </row>
    <row r="170" spans="1:4" x14ac:dyDescent="0.35">
      <c r="A170" s="995" t="s">
        <v>7110</v>
      </c>
      <c r="B170" s="1159">
        <v>565282</v>
      </c>
      <c r="C170" s="1159">
        <v>565282</v>
      </c>
      <c r="D170" s="1005">
        <v>0</v>
      </c>
    </row>
    <row r="171" spans="1:4" x14ac:dyDescent="0.35">
      <c r="A171" s="995" t="s">
        <v>7553</v>
      </c>
      <c r="B171" s="1159">
        <v>1012779</v>
      </c>
      <c r="C171" s="1159">
        <v>1012779</v>
      </c>
      <c r="D171" s="1005">
        <v>0</v>
      </c>
    </row>
    <row r="172" spans="1:4" x14ac:dyDescent="0.35">
      <c r="A172" s="995" t="s">
        <v>75</v>
      </c>
      <c r="B172" s="1159">
        <v>38675</v>
      </c>
      <c r="C172" s="1159">
        <v>163918</v>
      </c>
      <c r="D172" s="1005">
        <v>-125243</v>
      </c>
    </row>
    <row r="173" spans="1:4" x14ac:dyDescent="0.35">
      <c r="A173" s="995" t="s">
        <v>10890</v>
      </c>
      <c r="B173" s="1159">
        <v>14713197.5</v>
      </c>
      <c r="C173" s="1159">
        <v>14985375.5</v>
      </c>
      <c r="D173" s="1005">
        <v>-272178</v>
      </c>
    </row>
    <row r="174" spans="1:4" ht="24" thickBot="1" x14ac:dyDescent="0.4">
      <c r="A174" s="995" t="s">
        <v>12388</v>
      </c>
      <c r="B174" s="1159">
        <v>6544678</v>
      </c>
      <c r="C174" s="1159">
        <v>6869383</v>
      </c>
      <c r="D174" s="1005">
        <v>-324705</v>
      </c>
    </row>
    <row r="175" spans="1:4" ht="24" thickBot="1" x14ac:dyDescent="0.4">
      <c r="A175" s="1007" t="s">
        <v>45</v>
      </c>
      <c r="B175" s="1008">
        <v>316698886.5</v>
      </c>
      <c r="C175" s="1009">
        <v>298358466.5</v>
      </c>
      <c r="D175" s="1010">
        <v>18340420</v>
      </c>
    </row>
    <row r="176" spans="1:4" x14ac:dyDescent="0.35">
      <c r="A176"/>
      <c r="B176"/>
      <c r="C176"/>
      <c r="D176"/>
    </row>
    <row r="177" spans="1:4" ht="24" thickBot="1" x14ac:dyDescent="0.4">
      <c r="A177"/>
      <c r="B177"/>
      <c r="C177"/>
      <c r="D177"/>
    </row>
    <row r="178" spans="1:4" x14ac:dyDescent="0.35">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4" sqref="B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03" t="s">
        <v>13367</v>
      </c>
      <c r="B4" s="1304"/>
      <c r="C4" s="1305"/>
      <c r="E4" s="1303" t="s">
        <v>10302</v>
      </c>
      <c r="F4" s="1304"/>
      <c r="G4" s="1305"/>
      <c r="I4" s="1303" t="s">
        <v>8015</v>
      </c>
      <c r="J4" s="1304"/>
      <c r="K4" s="1305"/>
      <c r="M4" s="1303" t="s">
        <v>7086</v>
      </c>
      <c r="N4" s="1304"/>
      <c r="O4" s="1305"/>
      <c r="Q4" s="1303" t="s">
        <v>6016</v>
      </c>
      <c r="R4" s="1304"/>
      <c r="S4" s="1305"/>
      <c r="U4" s="1303" t="s">
        <v>5068</v>
      </c>
      <c r="V4" s="1304"/>
      <c r="W4" s="1305"/>
      <c r="Y4" s="1303" t="s">
        <v>3662</v>
      </c>
      <c r="Z4" s="1304"/>
      <c r="AA4" s="1305"/>
      <c r="AC4" s="1303" t="s">
        <v>2639</v>
      </c>
      <c r="AD4" s="1304"/>
      <c r="AE4" s="1305"/>
      <c r="AG4" s="1316" t="s">
        <v>6018</v>
      </c>
      <c r="AH4" s="1317"/>
      <c r="AI4" s="1318"/>
      <c r="AK4" s="1299" t="s">
        <v>1084</v>
      </c>
      <c r="AL4" s="1300"/>
      <c r="AM4" s="1301"/>
    </row>
    <row r="5" spans="1:46" ht="21" customHeight="1" x14ac:dyDescent="0.25">
      <c r="A5" s="1306"/>
      <c r="B5" s="1307"/>
      <c r="C5" s="1308"/>
      <c r="E5" s="1306"/>
      <c r="F5" s="1307"/>
      <c r="G5" s="1308"/>
      <c r="I5" s="1306"/>
      <c r="J5" s="1307"/>
      <c r="K5" s="1308"/>
      <c r="M5" s="1306"/>
      <c r="N5" s="1307"/>
      <c r="O5" s="1308"/>
      <c r="Q5" s="1306"/>
      <c r="R5" s="1307"/>
      <c r="S5" s="1308"/>
      <c r="U5" s="1306"/>
      <c r="V5" s="1307"/>
      <c r="W5" s="1308"/>
      <c r="Y5" s="1306"/>
      <c r="Z5" s="1307"/>
      <c r="AA5" s="1308"/>
      <c r="AC5" s="1306"/>
      <c r="AD5" s="1307"/>
      <c r="AE5" s="1308"/>
      <c r="AF5" s="3"/>
      <c r="AG5" s="1319"/>
      <c r="AH5" s="1320"/>
      <c r="AI5" s="1321"/>
      <c r="AK5" s="1299"/>
      <c r="AL5" s="1300"/>
      <c r="AM5" s="1301"/>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SUM(Posting!E22550:E22971)</f>
        <v>28960495</v>
      </c>
      <c r="C13" s="275">
        <f>SUM(Posting!F22550:F22971)</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SUM(Posting!E22972:E93094)</f>
        <v>12063898.758064516</v>
      </c>
      <c r="C14" s="275">
        <f>SUM(Posting!F22972:F93094)</f>
        <v>1823874</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SUM(Posting!B19640:B19938)</f>
        <v>0</v>
      </c>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227272568.22451612</v>
      </c>
      <c r="C19" s="278">
        <f>SUM(C7:C18)</f>
        <v>221366680.93799999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-5905887.28651613</v>
      </c>
      <c r="G21" s="698">
        <f>G19-F19</f>
        <v>75935584.385159969</v>
      </c>
      <c r="K21" s="698">
        <f>K19-J19</f>
        <v>46800541.815737337</v>
      </c>
      <c r="O21" s="698">
        <f>O19-N19</f>
        <v>15703108.030833334</v>
      </c>
      <c r="S21" s="3">
        <f>S19-R19</f>
        <v>12408423.384024575</v>
      </c>
      <c r="AD21" s="3"/>
    </row>
    <row r="22" spans="1:41" ht="15.75" x14ac:dyDescent="0.25">
      <c r="A22" s="1302"/>
      <c r="B22" s="1302"/>
      <c r="C22" s="1"/>
      <c r="E22" s="1302"/>
      <c r="F22" s="1302"/>
      <c r="G22" s="1"/>
      <c r="K22" s="698"/>
      <c r="M22" s="1302" t="s">
        <v>7703</v>
      </c>
      <c r="N22" s="1302"/>
      <c r="O22" s="1">
        <v>2831635</v>
      </c>
      <c r="U22" s="3">
        <f>S19-R19</f>
        <v>12408423.384024575</v>
      </c>
      <c r="Y22" s="3"/>
      <c r="Z22" s="3"/>
      <c r="AC22" s="3"/>
      <c r="AG22" s="3"/>
      <c r="AK22" s="3"/>
    </row>
    <row r="23" spans="1:41" ht="15.75" customHeight="1" x14ac:dyDescent="0.3">
      <c r="A23" s="1309" t="s">
        <v>11384</v>
      </c>
      <c r="B23" s="1309"/>
      <c r="C23" s="1309"/>
      <c r="E23" s="1309" t="s">
        <v>11384</v>
      </c>
      <c r="F23" s="1309"/>
      <c r="G23" s="1309"/>
      <c r="I23" s="1309" t="s">
        <v>11384</v>
      </c>
      <c r="J23" s="1309"/>
      <c r="K23" s="1309"/>
      <c r="M23" s="1302" t="s">
        <v>7704</v>
      </c>
      <c r="N23" s="1302"/>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02" t="s">
        <v>8171</v>
      </c>
      <c r="N24" s="1302"/>
      <c r="O24" s="1">
        <v>2434251</v>
      </c>
    </row>
    <row r="25" spans="1:41" ht="18.75" x14ac:dyDescent="0.25">
      <c r="A25" s="2" t="s">
        <v>11386</v>
      </c>
      <c r="B25" s="1018">
        <f ca="1">Profit!P5</f>
        <v>12882335.629032258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2307891.935483871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212082340.66</v>
      </c>
      <c r="C28" s="278">
        <f ca="1">C19-C25-C26</f>
        <v>197089645.93799999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-14992694.722000003</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90" t="s">
        <v>2640</v>
      </c>
      <c r="AK38" s="1291"/>
      <c r="AL38" s="1291"/>
      <c r="AM38" s="1291"/>
      <c r="AN38" s="1291"/>
      <c r="AO38" s="1291"/>
      <c r="AP38" s="1291"/>
      <c r="AQ38" s="1291"/>
      <c r="AR38" s="1291"/>
      <c r="AS38" s="1291"/>
      <c r="AT38" s="1292"/>
    </row>
    <row r="39" spans="2:46" ht="15" customHeight="1" x14ac:dyDescent="0.25">
      <c r="AJ39" s="1293"/>
      <c r="AK39" s="1294"/>
      <c r="AL39" s="1294"/>
      <c r="AM39" s="1294"/>
      <c r="AN39" s="1294"/>
      <c r="AO39" s="1294"/>
      <c r="AP39" s="1294"/>
      <c r="AQ39" s="1294"/>
      <c r="AR39" s="1294"/>
      <c r="AS39" s="1294"/>
      <c r="AT39" s="1295"/>
    </row>
    <row r="40" spans="2:46" ht="15.75" thickBot="1" x14ac:dyDescent="0.3">
      <c r="AJ40" s="1296"/>
      <c r="AK40" s="1297"/>
      <c r="AL40" s="1297"/>
      <c r="AM40" s="1297"/>
      <c r="AN40" s="1297"/>
      <c r="AO40" s="1297"/>
      <c r="AP40" s="1297"/>
      <c r="AQ40" s="1297"/>
      <c r="AR40" s="1297"/>
      <c r="AS40" s="1297"/>
      <c r="AT40" s="1298"/>
    </row>
    <row r="41" spans="2:46" ht="14.45" customHeight="1" x14ac:dyDescent="0.25">
      <c r="AR41" s="1288" t="s">
        <v>2639</v>
      </c>
      <c r="AS41" s="1288"/>
      <c r="AT41" s="1288"/>
    </row>
    <row r="42" spans="2:46" ht="26.25" customHeight="1" x14ac:dyDescent="0.25">
      <c r="AR42" s="1289"/>
      <c r="AS42" s="1289"/>
      <c r="AT42" s="1289"/>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10" t="s">
        <v>1200</v>
      </c>
      <c r="AK58" s="1311"/>
      <c r="AL58" s="1312"/>
    </row>
    <row r="59" spans="36:46" ht="15" hidden="1" customHeight="1" x14ac:dyDescent="0.25">
      <c r="AJ59" s="1313"/>
      <c r="AK59" s="1314"/>
      <c r="AL59" s="1315"/>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73"/>
  <sheetViews>
    <sheetView topLeftCell="A150" workbookViewId="0">
      <selection activeCell="N172" sqref="N172"/>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44" t="s">
        <v>1766</v>
      </c>
      <c r="B1" s="1344"/>
      <c r="C1" s="1344"/>
      <c r="D1" s="1344"/>
      <c r="E1" s="1344"/>
      <c r="F1" s="1344"/>
      <c r="G1" s="1344"/>
      <c r="H1" s="1344"/>
      <c r="I1" s="1344"/>
      <c r="J1" s="1344"/>
      <c r="K1" s="1344"/>
      <c r="L1" s="1344"/>
      <c r="M1" s="1344"/>
      <c r="N1" s="1344"/>
    </row>
    <row r="2" spans="1:14" ht="14.45" customHeight="1" x14ac:dyDescent="0.25">
      <c r="A2" s="1344"/>
      <c r="B2" s="1344"/>
      <c r="C2" s="1344"/>
      <c r="D2" s="1344"/>
      <c r="E2" s="1344"/>
      <c r="F2" s="1344"/>
      <c r="G2" s="1344"/>
      <c r="H2" s="1344"/>
      <c r="I2" s="1344"/>
      <c r="J2" s="1344"/>
      <c r="K2" s="1344"/>
      <c r="L2" s="1344"/>
      <c r="M2" s="1344"/>
      <c r="N2" s="1344"/>
    </row>
    <row r="3" spans="1:14" ht="14.45" customHeight="1" x14ac:dyDescent="0.25">
      <c r="A3" s="1345" t="s">
        <v>4712</v>
      </c>
      <c r="B3" s="1345"/>
      <c r="C3" s="1345"/>
      <c r="D3" s="1345"/>
      <c r="E3" s="1345"/>
      <c r="F3" s="1345"/>
      <c r="G3" s="1345"/>
      <c r="H3" s="1345"/>
      <c r="I3" s="1345"/>
      <c r="J3" s="1345"/>
      <c r="K3" s="1345"/>
      <c r="L3" s="1345"/>
      <c r="M3" s="1345"/>
      <c r="N3" s="1345"/>
    </row>
    <row r="4" spans="1:14" ht="14.45" customHeight="1" x14ac:dyDescent="0.25">
      <c r="A4" s="1345"/>
      <c r="B4" s="1345"/>
      <c r="C4" s="1345"/>
      <c r="D4" s="1345"/>
      <c r="E4" s="1345"/>
      <c r="F4" s="1345"/>
      <c r="G4" s="1345"/>
      <c r="H4" s="1345"/>
      <c r="I4" s="1345"/>
      <c r="J4" s="1345"/>
      <c r="K4" s="1345"/>
      <c r="L4" s="1345"/>
      <c r="M4" s="1345"/>
      <c r="N4" s="1345"/>
    </row>
    <row r="6" spans="1:14" x14ac:dyDescent="0.25">
      <c r="A6" s="1331" t="s">
        <v>5989</v>
      </c>
      <c r="B6" s="1331"/>
      <c r="C6" s="1331"/>
      <c r="D6" s="1331"/>
      <c r="E6" s="1331"/>
      <c r="F6" s="1331"/>
      <c r="G6" s="1331"/>
      <c r="H6" s="1331"/>
      <c r="I6" s="1331"/>
      <c r="J6" s="1331"/>
      <c r="K6" s="1331"/>
      <c r="L6" s="1331"/>
      <c r="M6" s="1331"/>
      <c r="N6" s="1331"/>
    </row>
    <row r="7" spans="1:14" x14ac:dyDescent="0.25">
      <c r="A7" s="1331"/>
      <c r="B7" s="1331"/>
      <c r="C7" s="1331"/>
      <c r="D7" s="1331"/>
      <c r="E7" s="1331"/>
      <c r="F7" s="1331"/>
      <c r="G7" s="1331"/>
      <c r="H7" s="1331"/>
      <c r="I7" s="1331"/>
      <c r="J7" s="1331"/>
      <c r="K7" s="1331"/>
      <c r="L7" s="1331"/>
      <c r="M7" s="1331"/>
      <c r="N7" s="1331"/>
    </row>
    <row r="8" spans="1:14" x14ac:dyDescent="0.25">
      <c r="A8" s="1332" t="s">
        <v>6020</v>
      </c>
      <c r="B8" s="1332"/>
      <c r="C8" s="1332"/>
      <c r="D8" s="1332"/>
      <c r="E8" s="1332"/>
      <c r="F8" s="1332"/>
      <c r="G8" s="1332"/>
      <c r="H8" s="1332"/>
      <c r="I8" s="1332"/>
      <c r="J8" s="1332"/>
      <c r="K8" s="1332"/>
      <c r="L8" s="1332"/>
      <c r="M8" s="1332"/>
      <c r="N8" s="1332"/>
    </row>
    <row r="9" spans="1:14" x14ac:dyDescent="0.25">
      <c r="A9" s="1332"/>
      <c r="B9" s="1332"/>
      <c r="C9" s="1332"/>
      <c r="D9" s="1332"/>
      <c r="E9" s="1332"/>
      <c r="F9" s="1332"/>
      <c r="G9" s="1332"/>
      <c r="H9" s="1332"/>
      <c r="I9" s="1332"/>
      <c r="J9" s="1332"/>
      <c r="K9" s="1332"/>
      <c r="L9" s="1332"/>
      <c r="M9" s="1332"/>
      <c r="N9" s="1332"/>
    </row>
    <row r="10" spans="1:14" ht="14.45" customHeight="1" x14ac:dyDescent="0.25">
      <c r="A10" s="1333" t="s">
        <v>1893</v>
      </c>
      <c r="B10" s="1334"/>
      <c r="C10" s="1334"/>
      <c r="D10" s="1335"/>
      <c r="E10" s="462"/>
      <c r="F10" s="1342" t="s">
        <v>4750</v>
      </c>
      <c r="G10" s="1342"/>
      <c r="H10" s="1342"/>
      <c r="I10" s="1342"/>
      <c r="K10" s="1343" t="s">
        <v>1201</v>
      </c>
      <c r="L10" s="1343"/>
      <c r="M10" s="1343"/>
      <c r="N10" s="1343"/>
    </row>
    <row r="11" spans="1:14" ht="14.45" customHeight="1" x14ac:dyDescent="0.25">
      <c r="A11" s="1336"/>
      <c r="B11" s="1337"/>
      <c r="C11" s="1337"/>
      <c r="D11" s="1338"/>
      <c r="E11" s="463"/>
      <c r="F11" s="1342"/>
      <c r="G11" s="1342"/>
      <c r="H11" s="1342"/>
      <c r="I11" s="1342"/>
      <c r="K11" s="1343"/>
      <c r="L11" s="1343"/>
      <c r="M11" s="1343"/>
      <c r="N11" s="1343"/>
    </row>
    <row r="12" spans="1:14" ht="14.45" customHeight="1" x14ac:dyDescent="0.25">
      <c r="A12" s="1339"/>
      <c r="B12" s="1340"/>
      <c r="C12" s="1340"/>
      <c r="D12" s="1341"/>
      <c r="E12" s="464"/>
      <c r="F12" s="1342"/>
      <c r="G12" s="1342"/>
      <c r="H12" s="1342"/>
      <c r="I12" s="1342"/>
      <c r="K12" s="1343"/>
      <c r="L12" s="1343"/>
      <c r="M12" s="1343"/>
      <c r="N12" s="1343"/>
    </row>
    <row r="13" spans="1:14" ht="27" thickBot="1" x14ac:dyDescent="0.3">
      <c r="A13" s="1322" t="s">
        <v>4589</v>
      </c>
      <c r="B13" s="1323"/>
      <c r="C13" s="1323"/>
      <c r="D13" s="1324"/>
      <c r="E13" s="465"/>
      <c r="F13" s="1325" t="s">
        <v>4589</v>
      </c>
      <c r="G13" s="1326"/>
      <c r="H13" s="1326"/>
      <c r="I13" s="1327"/>
      <c r="K13" s="1325" t="s">
        <v>4589</v>
      </c>
      <c r="L13" s="1326"/>
      <c r="M13" s="1326"/>
      <c r="N13" s="1327"/>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28" t="s">
        <v>4595</v>
      </c>
      <c r="B39" s="1328"/>
      <c r="C39" s="1328"/>
      <c r="D39" s="204">
        <f>SUM(D15:D38)</f>
        <v>6567291</v>
      </c>
      <c r="E39" s="471"/>
      <c r="F39" s="1329" t="s">
        <v>4595</v>
      </c>
      <c r="G39" s="1329"/>
      <c r="H39" s="1330"/>
      <c r="I39" s="428">
        <f>SUM(I15:I38)</f>
        <v>6374135</v>
      </c>
      <c r="K39" s="1329" t="s">
        <v>4595</v>
      </c>
      <c r="L39" s="1329"/>
      <c r="M39" s="1330"/>
      <c r="N39" s="428">
        <f>SUM(N15:N38)</f>
        <v>6374135</v>
      </c>
    </row>
    <row r="40" spans="1:14" x14ac:dyDescent="0.25">
      <c r="D40" s="49"/>
      <c r="E40" s="471"/>
      <c r="I40" s="49"/>
    </row>
    <row r="41" spans="1:14" x14ac:dyDescent="0.25">
      <c r="D41" s="49"/>
      <c r="E41" s="471"/>
      <c r="I41" s="49"/>
    </row>
    <row r="42" spans="1:14" x14ac:dyDescent="0.25">
      <c r="A42" s="1331" t="s">
        <v>6136</v>
      </c>
      <c r="B42" s="1331"/>
      <c r="C42" s="1331"/>
      <c r="D42" s="1331"/>
      <c r="E42" s="1331"/>
      <c r="F42" s="1331"/>
      <c r="G42" s="1331"/>
      <c r="H42" s="1331"/>
      <c r="I42" s="1331"/>
      <c r="J42" s="1331"/>
      <c r="K42" s="1331"/>
      <c r="L42" s="1331"/>
      <c r="M42" s="1331"/>
      <c r="N42" s="1331"/>
    </row>
    <row r="43" spans="1:14" x14ac:dyDescent="0.25">
      <c r="A43" s="1331"/>
      <c r="B43" s="1331"/>
      <c r="C43" s="1331"/>
      <c r="D43" s="1331"/>
      <c r="E43" s="1331"/>
      <c r="F43" s="1331"/>
      <c r="G43" s="1331"/>
      <c r="H43" s="1331"/>
      <c r="I43" s="1331"/>
      <c r="J43" s="1331"/>
      <c r="K43" s="1331"/>
      <c r="L43" s="1331"/>
      <c r="M43" s="1331"/>
      <c r="N43" s="1331"/>
    </row>
    <row r="44" spans="1:14" x14ac:dyDescent="0.25">
      <c r="A44" s="1332" t="s">
        <v>6137</v>
      </c>
      <c r="B44" s="1332"/>
      <c r="C44" s="1332"/>
      <c r="D44" s="1332"/>
      <c r="E44" s="1332"/>
      <c r="F44" s="1332"/>
      <c r="G44" s="1332"/>
      <c r="H44" s="1332"/>
      <c r="I44" s="1332"/>
      <c r="J44" s="1332"/>
      <c r="K44" s="1332"/>
      <c r="L44" s="1332"/>
      <c r="M44" s="1332"/>
      <c r="N44" s="1332"/>
    </row>
    <row r="45" spans="1:14" x14ac:dyDescent="0.25">
      <c r="A45" s="1332"/>
      <c r="B45" s="1332"/>
      <c r="C45" s="1332"/>
      <c r="D45" s="1332"/>
      <c r="E45" s="1332"/>
      <c r="F45" s="1332"/>
      <c r="G45" s="1332"/>
      <c r="H45" s="1332"/>
      <c r="I45" s="1332"/>
      <c r="J45" s="1332"/>
      <c r="K45" s="1332"/>
      <c r="L45" s="1332"/>
      <c r="M45" s="1332"/>
      <c r="N45" s="1332"/>
    </row>
    <row r="46" spans="1:14" ht="14.45" customHeight="1" x14ac:dyDescent="0.25">
      <c r="A46" s="1333" t="s">
        <v>1893</v>
      </c>
      <c r="B46" s="1334"/>
      <c r="C46" s="1334"/>
      <c r="D46" s="1335"/>
      <c r="E46" s="462"/>
      <c r="F46" s="1342" t="s">
        <v>4750</v>
      </c>
      <c r="G46" s="1342"/>
      <c r="H46" s="1342"/>
      <c r="I46" s="1342"/>
      <c r="K46" s="1343" t="s">
        <v>1201</v>
      </c>
      <c r="L46" s="1343"/>
      <c r="M46" s="1343"/>
      <c r="N46" s="1343"/>
    </row>
    <row r="47" spans="1:14" ht="14.45" customHeight="1" x14ac:dyDescent="0.25">
      <c r="A47" s="1336"/>
      <c r="B47" s="1337"/>
      <c r="C47" s="1337"/>
      <c r="D47" s="1338"/>
      <c r="E47" s="463"/>
      <c r="F47" s="1342"/>
      <c r="G47" s="1342"/>
      <c r="H47" s="1342"/>
      <c r="I47" s="1342"/>
      <c r="K47" s="1343"/>
      <c r="L47" s="1343"/>
      <c r="M47" s="1343"/>
      <c r="N47" s="1343"/>
    </row>
    <row r="48" spans="1:14" ht="14.45" customHeight="1" x14ac:dyDescent="0.25">
      <c r="A48" s="1339"/>
      <c r="B48" s="1340"/>
      <c r="C48" s="1340"/>
      <c r="D48" s="1341"/>
      <c r="E48" s="464"/>
      <c r="F48" s="1342"/>
      <c r="G48" s="1342"/>
      <c r="H48" s="1342"/>
      <c r="I48" s="1342"/>
      <c r="K48" s="1343"/>
      <c r="L48" s="1343"/>
      <c r="M48" s="1343"/>
      <c r="N48" s="1343"/>
    </row>
    <row r="49" spans="1:14" ht="27" thickBot="1" x14ac:dyDescent="0.3">
      <c r="A49" s="1322" t="s">
        <v>4589</v>
      </c>
      <c r="B49" s="1323"/>
      <c r="C49" s="1323"/>
      <c r="D49" s="1324"/>
      <c r="E49" s="465"/>
      <c r="F49" s="1325" t="s">
        <v>4589</v>
      </c>
      <c r="G49" s="1326"/>
      <c r="H49" s="1326"/>
      <c r="I49" s="1327"/>
      <c r="K49" s="1325" t="s">
        <v>4589</v>
      </c>
      <c r="L49" s="1326"/>
      <c r="M49" s="1326"/>
      <c r="N49" s="1327"/>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28" t="s">
        <v>4595</v>
      </c>
      <c r="B79" s="1328"/>
      <c r="C79" s="1328"/>
      <c r="D79" s="204">
        <f>SUM(D51:D78)</f>
        <v>4135000</v>
      </c>
      <c r="E79" s="471"/>
      <c r="F79" s="1329" t="s">
        <v>4595</v>
      </c>
      <c r="G79" s="1329"/>
      <c r="H79" s="1330"/>
      <c r="I79" s="204">
        <f>SUM(I51:I78)</f>
        <v>4012280</v>
      </c>
      <c r="K79" s="1329" t="s">
        <v>4595</v>
      </c>
      <c r="L79" s="1329"/>
      <c r="M79" s="1330"/>
      <c r="N79" s="204">
        <f>SUM(N51:N78)</f>
        <v>4012280</v>
      </c>
    </row>
    <row r="82" spans="1:14" ht="27.75" customHeight="1" x14ac:dyDescent="0.25">
      <c r="A82" s="1331" t="s">
        <v>7089</v>
      </c>
      <c r="B82" s="1331"/>
      <c r="C82" s="1331"/>
      <c r="D82" s="1331"/>
      <c r="E82" s="1331"/>
      <c r="F82" s="1331"/>
      <c r="G82" s="1331"/>
      <c r="H82" s="1331"/>
      <c r="I82" s="1331"/>
      <c r="J82" s="1331"/>
      <c r="K82" s="1331"/>
      <c r="L82" s="1331"/>
      <c r="M82" s="1331"/>
      <c r="N82" s="1331"/>
    </row>
    <row r="83" spans="1:14" ht="15" customHeight="1" x14ac:dyDescent="0.25">
      <c r="A83" s="1332" t="s">
        <v>7090</v>
      </c>
      <c r="B83" s="1332"/>
      <c r="C83" s="1332"/>
      <c r="D83" s="1332"/>
      <c r="E83" s="1332"/>
      <c r="F83" s="1332"/>
      <c r="G83" s="1332"/>
      <c r="H83" s="1332"/>
      <c r="I83" s="1332"/>
      <c r="J83" s="1332"/>
      <c r="K83" s="1332"/>
      <c r="L83" s="1332"/>
      <c r="M83" s="1332"/>
      <c r="N83" s="1332"/>
    </row>
    <row r="84" spans="1:14" ht="15" customHeight="1" x14ac:dyDescent="0.25">
      <c r="A84" s="1332"/>
      <c r="B84" s="1332"/>
      <c r="C84" s="1332"/>
      <c r="D84" s="1332"/>
      <c r="E84" s="1332"/>
      <c r="F84" s="1332"/>
      <c r="G84" s="1332"/>
      <c r="H84" s="1332"/>
      <c r="I84" s="1332"/>
      <c r="J84" s="1332"/>
      <c r="K84" s="1332"/>
      <c r="L84" s="1332"/>
      <c r="M84" s="1332"/>
      <c r="N84" s="1332"/>
    </row>
    <row r="85" spans="1:14" ht="14.45" customHeight="1" x14ac:dyDescent="0.25">
      <c r="A85" s="1333" t="s">
        <v>1893</v>
      </c>
      <c r="B85" s="1334"/>
      <c r="C85" s="1334"/>
      <c r="D85" s="1335"/>
      <c r="E85" s="462"/>
      <c r="F85" s="1342" t="s">
        <v>4750</v>
      </c>
      <c r="G85" s="1342"/>
      <c r="H85" s="1342"/>
      <c r="I85" s="1342"/>
      <c r="K85" s="1343" t="s">
        <v>1201</v>
      </c>
      <c r="L85" s="1343"/>
      <c r="M85" s="1343"/>
      <c r="N85" s="1343"/>
    </row>
    <row r="86" spans="1:14" ht="14.45" customHeight="1" x14ac:dyDescent="0.25">
      <c r="A86" s="1336"/>
      <c r="B86" s="1337"/>
      <c r="C86" s="1337"/>
      <c r="D86" s="1338"/>
      <c r="E86" s="463"/>
      <c r="F86" s="1342"/>
      <c r="G86" s="1342"/>
      <c r="H86" s="1342"/>
      <c r="I86" s="1342"/>
      <c r="K86" s="1343"/>
      <c r="L86" s="1343"/>
      <c r="M86" s="1343"/>
      <c r="N86" s="1343"/>
    </row>
    <row r="87" spans="1:14" ht="14.45" customHeight="1" x14ac:dyDescent="0.25">
      <c r="A87" s="1339"/>
      <c r="B87" s="1340"/>
      <c r="C87" s="1340"/>
      <c r="D87" s="1341"/>
      <c r="E87" s="464"/>
      <c r="F87" s="1342"/>
      <c r="G87" s="1342"/>
      <c r="H87" s="1342"/>
      <c r="I87" s="1342"/>
      <c r="K87" s="1343"/>
      <c r="L87" s="1343"/>
      <c r="M87" s="1343"/>
      <c r="N87" s="1343"/>
    </row>
    <row r="88" spans="1:14" ht="27" thickBot="1" x14ac:dyDescent="0.3">
      <c r="A88" s="1322" t="s">
        <v>4589</v>
      </c>
      <c r="B88" s="1323"/>
      <c r="C88" s="1323"/>
      <c r="D88" s="1324"/>
      <c r="E88" s="465"/>
      <c r="F88" s="1325" t="s">
        <v>4589</v>
      </c>
      <c r="G88" s="1326"/>
      <c r="H88" s="1326"/>
      <c r="I88" s="1327"/>
      <c r="K88" s="1325" t="s">
        <v>4589</v>
      </c>
      <c r="L88" s="1326"/>
      <c r="M88" s="1326"/>
      <c r="N88" s="1327"/>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28" t="s">
        <v>4595</v>
      </c>
      <c r="B109" s="1328"/>
      <c r="C109" s="1328"/>
      <c r="D109" s="204">
        <f>SUM(D90:D108)</f>
        <v>4677000</v>
      </c>
      <c r="E109" s="471"/>
      <c r="F109" s="1329" t="s">
        <v>4595</v>
      </c>
      <c r="G109" s="1329"/>
      <c r="H109" s="1330"/>
      <c r="I109" s="428">
        <f>SUM(I90:I107)</f>
        <v>4531000</v>
      </c>
      <c r="K109" s="1329" t="s">
        <v>4595</v>
      </c>
      <c r="L109" s="1329"/>
      <c r="M109" s="1330"/>
      <c r="N109" s="428">
        <f>SUM(N90:N107)</f>
        <v>4531779</v>
      </c>
    </row>
    <row r="112" spans="1:14" ht="27.75" customHeight="1" x14ac:dyDescent="0.25">
      <c r="A112" s="1331" t="s">
        <v>10425</v>
      </c>
      <c r="B112" s="1331"/>
      <c r="C112" s="1331"/>
      <c r="D112" s="1331"/>
      <c r="E112" s="1331"/>
      <c r="F112" s="1331"/>
      <c r="G112" s="1331"/>
      <c r="H112" s="1331"/>
      <c r="I112" s="1331"/>
      <c r="J112" s="1331"/>
      <c r="K112" s="1331"/>
      <c r="L112" s="1331"/>
      <c r="M112" s="1331"/>
      <c r="N112" s="1331"/>
    </row>
    <row r="113" spans="1:14" ht="15" customHeight="1" x14ac:dyDescent="0.25">
      <c r="A113" s="1332" t="s">
        <v>10426</v>
      </c>
      <c r="B113" s="1332"/>
      <c r="C113" s="1332"/>
      <c r="D113" s="1332"/>
      <c r="E113" s="1332"/>
      <c r="F113" s="1332"/>
      <c r="G113" s="1332"/>
      <c r="H113" s="1332"/>
      <c r="I113" s="1332"/>
      <c r="J113" s="1332"/>
      <c r="K113" s="1332"/>
      <c r="L113" s="1332"/>
      <c r="M113" s="1332"/>
      <c r="N113" s="1332"/>
    </row>
    <row r="114" spans="1:14" ht="15" customHeight="1" x14ac:dyDescent="0.25">
      <c r="A114" s="1332"/>
      <c r="B114" s="1332"/>
      <c r="C114" s="1332"/>
      <c r="D114" s="1332"/>
      <c r="E114" s="1332"/>
      <c r="F114" s="1332"/>
      <c r="G114" s="1332"/>
      <c r="H114" s="1332"/>
      <c r="I114" s="1332"/>
      <c r="J114" s="1332"/>
      <c r="K114" s="1332"/>
      <c r="L114" s="1332"/>
      <c r="M114" s="1332"/>
      <c r="N114" s="1332"/>
    </row>
    <row r="115" spans="1:14" ht="14.45" customHeight="1" x14ac:dyDescent="0.25">
      <c r="A115" s="1333" t="s">
        <v>1893</v>
      </c>
      <c r="B115" s="1334"/>
      <c r="C115" s="1334"/>
      <c r="D115" s="1335"/>
      <c r="E115" s="462"/>
      <c r="F115" s="1342" t="s">
        <v>4750</v>
      </c>
      <c r="G115" s="1342"/>
      <c r="H115" s="1342"/>
      <c r="I115" s="1342"/>
      <c r="K115" s="1343" t="s">
        <v>1201</v>
      </c>
      <c r="L115" s="1343"/>
      <c r="M115" s="1343"/>
      <c r="N115" s="1343"/>
    </row>
    <row r="116" spans="1:14" ht="14.45" customHeight="1" x14ac:dyDescent="0.25">
      <c r="A116" s="1336"/>
      <c r="B116" s="1337"/>
      <c r="C116" s="1337"/>
      <c r="D116" s="1338"/>
      <c r="E116" s="463"/>
      <c r="F116" s="1342"/>
      <c r="G116" s="1342"/>
      <c r="H116" s="1342"/>
      <c r="I116" s="1342"/>
      <c r="K116" s="1343"/>
      <c r="L116" s="1343"/>
      <c r="M116" s="1343"/>
      <c r="N116" s="1343"/>
    </row>
    <row r="117" spans="1:14" ht="14.45" customHeight="1" x14ac:dyDescent="0.25">
      <c r="A117" s="1339"/>
      <c r="B117" s="1340"/>
      <c r="C117" s="1340"/>
      <c r="D117" s="1341"/>
      <c r="E117" s="464"/>
      <c r="F117" s="1342"/>
      <c r="G117" s="1342"/>
      <c r="H117" s="1342"/>
      <c r="I117" s="1342"/>
      <c r="K117" s="1343"/>
      <c r="L117" s="1343"/>
      <c r="M117" s="1343"/>
      <c r="N117" s="1343"/>
    </row>
    <row r="118" spans="1:14" ht="27" thickBot="1" x14ac:dyDescent="0.3">
      <c r="A118" s="1322" t="s">
        <v>4589</v>
      </c>
      <c r="B118" s="1323"/>
      <c r="C118" s="1323"/>
      <c r="D118" s="1324"/>
      <c r="E118" s="465"/>
      <c r="F118" s="1325" t="s">
        <v>4589</v>
      </c>
      <c r="G118" s="1326"/>
      <c r="H118" s="1326"/>
      <c r="I118" s="1327"/>
      <c r="K118" s="1325" t="s">
        <v>4589</v>
      </c>
      <c r="L118" s="1326"/>
      <c r="M118" s="1326"/>
      <c r="N118" s="1327"/>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28" t="s">
        <v>4595</v>
      </c>
      <c r="B139" s="1328"/>
      <c r="C139" s="1328"/>
      <c r="D139" s="204">
        <f>SUM(D120:D138)</f>
        <v>11965000</v>
      </c>
      <c r="E139" s="471"/>
      <c r="F139" s="1329" t="s">
        <v>4595</v>
      </c>
      <c r="G139" s="1329"/>
      <c r="H139" s="1330"/>
      <c r="I139" s="428">
        <f>SUM(I120:I137)</f>
        <v>11609683</v>
      </c>
      <c r="K139" s="1329" t="s">
        <v>4595</v>
      </c>
      <c r="L139" s="1329"/>
      <c r="M139" s="1330"/>
      <c r="N139" s="428">
        <f>SUM(N120:N137)</f>
        <v>11500000</v>
      </c>
    </row>
    <row r="142" spans="1:14" ht="27.75" customHeight="1" x14ac:dyDescent="0.25">
      <c r="A142" s="1331" t="s">
        <v>13516</v>
      </c>
      <c r="B142" s="1331"/>
      <c r="C142" s="1331"/>
      <c r="D142" s="1331"/>
      <c r="E142" s="1331"/>
      <c r="F142" s="1331"/>
      <c r="G142" s="1331"/>
      <c r="H142" s="1331"/>
      <c r="I142" s="1331"/>
      <c r="J142" s="1331"/>
      <c r="K142" s="1331"/>
      <c r="L142" s="1331"/>
      <c r="M142" s="1331"/>
      <c r="N142" s="1331"/>
    </row>
    <row r="143" spans="1:14" ht="15" customHeight="1" x14ac:dyDescent="0.25">
      <c r="A143" s="1332" t="s">
        <v>13517</v>
      </c>
      <c r="B143" s="1332"/>
      <c r="C143" s="1332"/>
      <c r="D143" s="1332"/>
      <c r="E143" s="1332"/>
      <c r="F143" s="1332"/>
      <c r="G143" s="1332"/>
      <c r="H143" s="1332"/>
      <c r="I143" s="1332"/>
      <c r="J143" s="1332"/>
      <c r="K143" s="1332"/>
      <c r="L143" s="1332"/>
      <c r="M143" s="1332"/>
      <c r="N143" s="1332"/>
    </row>
    <row r="144" spans="1:14" ht="15" customHeight="1" x14ac:dyDescent="0.25">
      <c r="A144" s="1332"/>
      <c r="B144" s="1332"/>
      <c r="C144" s="1332"/>
      <c r="D144" s="1332"/>
      <c r="E144" s="1332"/>
      <c r="F144" s="1332"/>
      <c r="G144" s="1332"/>
      <c r="H144" s="1332"/>
      <c r="I144" s="1332"/>
      <c r="J144" s="1332"/>
      <c r="K144" s="1332"/>
      <c r="L144" s="1332"/>
      <c r="M144" s="1332"/>
      <c r="N144" s="1332"/>
    </row>
    <row r="145" spans="1:14" ht="14.45" customHeight="1" x14ac:dyDescent="0.25">
      <c r="A145" s="1333" t="s">
        <v>1893</v>
      </c>
      <c r="B145" s="1334"/>
      <c r="C145" s="1334"/>
      <c r="D145" s="1335"/>
      <c r="E145" s="462"/>
      <c r="F145" s="1342" t="s">
        <v>4750</v>
      </c>
      <c r="G145" s="1342"/>
      <c r="H145" s="1342"/>
      <c r="I145" s="1342"/>
      <c r="K145" s="1343" t="s">
        <v>1201</v>
      </c>
      <c r="L145" s="1343"/>
      <c r="M145" s="1343"/>
      <c r="N145" s="1343"/>
    </row>
    <row r="146" spans="1:14" ht="14.45" customHeight="1" x14ac:dyDescent="0.25">
      <c r="A146" s="1336"/>
      <c r="B146" s="1337"/>
      <c r="C146" s="1337"/>
      <c r="D146" s="1338"/>
      <c r="E146" s="463"/>
      <c r="F146" s="1342"/>
      <c r="G146" s="1342"/>
      <c r="H146" s="1342"/>
      <c r="I146" s="1342"/>
      <c r="K146" s="1343"/>
      <c r="L146" s="1343"/>
      <c r="M146" s="1343"/>
      <c r="N146" s="1343"/>
    </row>
    <row r="147" spans="1:14" ht="14.45" customHeight="1" x14ac:dyDescent="0.25">
      <c r="A147" s="1339"/>
      <c r="B147" s="1340"/>
      <c r="C147" s="1340"/>
      <c r="D147" s="1341"/>
      <c r="E147" s="464"/>
      <c r="F147" s="1342"/>
      <c r="G147" s="1342"/>
      <c r="H147" s="1342"/>
      <c r="I147" s="1342"/>
      <c r="K147" s="1343"/>
      <c r="L147" s="1343"/>
      <c r="M147" s="1343"/>
      <c r="N147" s="1343"/>
    </row>
    <row r="148" spans="1:14" ht="27" thickBot="1" x14ac:dyDescent="0.3">
      <c r="A148" s="1322" t="s">
        <v>4589</v>
      </c>
      <c r="B148" s="1323"/>
      <c r="C148" s="1323"/>
      <c r="D148" s="1324"/>
      <c r="E148" s="465"/>
      <c r="F148" s="1325" t="s">
        <v>4589</v>
      </c>
      <c r="G148" s="1326"/>
      <c r="H148" s="1326"/>
      <c r="I148" s="1327"/>
      <c r="K148" s="1325" t="s">
        <v>4589</v>
      </c>
      <c r="L148" s="1326"/>
      <c r="M148" s="1326"/>
      <c r="N148" s="1327"/>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15816</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15816</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15852</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15852</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15962</v>
      </c>
      <c r="C159" s="304"/>
      <c r="D159" s="15">
        <v>300000</v>
      </c>
      <c r="E159" s="469"/>
      <c r="F159" s="429">
        <v>45610</v>
      </c>
      <c r="G159" s="118" t="s">
        <v>14913</v>
      </c>
      <c r="H159" s="304"/>
      <c r="I159" s="780">
        <v>1000000</v>
      </c>
      <c r="K159" s="429">
        <v>45686</v>
      </c>
      <c r="L159" s="712" t="s">
        <v>14705</v>
      </c>
      <c r="M159" s="757">
        <v>2007570431</v>
      </c>
      <c r="N159" s="119">
        <v>900000</v>
      </c>
    </row>
    <row r="160" spans="1:14" x14ac:dyDescent="0.25">
      <c r="A160" s="341"/>
      <c r="B160" s="98"/>
      <c r="C160" s="327"/>
      <c r="D160" s="780"/>
      <c r="E160" s="470"/>
      <c r="F160" s="429">
        <v>45610</v>
      </c>
      <c r="G160" s="712" t="s">
        <v>15081</v>
      </c>
      <c r="H160" s="327"/>
      <c r="I160" s="780">
        <v>80000</v>
      </c>
      <c r="K160" s="429">
        <v>45686</v>
      </c>
      <c r="L160" s="712" t="s">
        <v>14705</v>
      </c>
      <c r="M160" s="757">
        <v>2007570432</v>
      </c>
      <c r="N160" s="119">
        <v>900000</v>
      </c>
    </row>
    <row r="161" spans="1:15" x14ac:dyDescent="0.25">
      <c r="A161" s="341"/>
      <c r="B161" s="98"/>
      <c r="C161" s="15"/>
      <c r="D161" s="15"/>
      <c r="E161" s="470"/>
      <c r="F161" s="429">
        <v>45621</v>
      </c>
      <c r="G161" s="118" t="s">
        <v>14913</v>
      </c>
      <c r="H161" s="327"/>
      <c r="I161" s="780">
        <v>420000</v>
      </c>
      <c r="K161" s="429">
        <v>45686</v>
      </c>
      <c r="L161" s="712" t="s">
        <v>14705</v>
      </c>
      <c r="M161" s="757">
        <v>2007570433</v>
      </c>
      <c r="N161" s="119">
        <v>900000</v>
      </c>
    </row>
    <row r="162" spans="1:15" ht="17.25" customHeight="1" x14ac:dyDescent="0.25">
      <c r="A162" s="341"/>
      <c r="B162" s="98"/>
      <c r="C162" s="304"/>
      <c r="D162" s="15"/>
      <c r="E162" s="470"/>
      <c r="F162" s="429">
        <v>45642</v>
      </c>
      <c r="G162" s="98" t="s">
        <v>15262</v>
      </c>
      <c r="H162" s="327"/>
      <c r="I162" s="366">
        <v>850000</v>
      </c>
      <c r="K162" s="429">
        <v>45686</v>
      </c>
      <c r="L162" s="712" t="s">
        <v>14705</v>
      </c>
      <c r="M162" s="757">
        <v>2007570434</v>
      </c>
      <c r="N162" s="119">
        <v>900000</v>
      </c>
    </row>
    <row r="163" spans="1:15"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5"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5" x14ac:dyDescent="0.25">
      <c r="A165" s="341"/>
      <c r="B165" s="712"/>
      <c r="C165" s="15"/>
      <c r="D165" s="15"/>
      <c r="E165" s="470"/>
      <c r="F165" s="429"/>
      <c r="G165" s="98"/>
      <c r="H165" s="304"/>
      <c r="I165" s="15"/>
      <c r="K165" s="429">
        <v>45686</v>
      </c>
      <c r="L165" s="712" t="s">
        <v>14705</v>
      </c>
      <c r="M165" s="757">
        <v>2007570437</v>
      </c>
      <c r="N165" s="119">
        <v>900000</v>
      </c>
    </row>
    <row r="166" spans="1:15" x14ac:dyDescent="0.25">
      <c r="A166" s="341"/>
      <c r="B166" s="712"/>
      <c r="C166" s="15"/>
      <c r="D166" s="15"/>
      <c r="E166" s="470"/>
      <c r="F166" s="429"/>
      <c r="G166" s="98"/>
      <c r="H166" s="304"/>
      <c r="I166" s="15"/>
      <c r="K166" s="429">
        <v>45686</v>
      </c>
      <c r="L166" s="712" t="s">
        <v>14705</v>
      </c>
      <c r="M166" s="757">
        <v>2007570438</v>
      </c>
      <c r="N166" s="119">
        <v>900000</v>
      </c>
    </row>
    <row r="167" spans="1:15" x14ac:dyDescent="0.25">
      <c r="A167" s="341"/>
      <c r="B167" s="98"/>
      <c r="C167" s="15"/>
      <c r="D167" s="15"/>
      <c r="E167" s="470"/>
      <c r="F167" s="429"/>
      <c r="G167" s="712"/>
      <c r="H167" s="430"/>
      <c r="I167" s="366"/>
      <c r="K167" s="429">
        <v>45686</v>
      </c>
      <c r="L167" s="712" t="s">
        <v>14705</v>
      </c>
      <c r="M167" s="757">
        <v>2007570439</v>
      </c>
      <c r="N167" s="119">
        <v>900000</v>
      </c>
    </row>
    <row r="168" spans="1:15" x14ac:dyDescent="0.25">
      <c r="A168" s="341"/>
      <c r="B168" s="98"/>
      <c r="C168" s="15"/>
      <c r="D168" s="15"/>
      <c r="E168" s="470"/>
      <c r="F168" s="429"/>
      <c r="G168" s="712"/>
      <c r="H168" s="430"/>
      <c r="I168" s="366"/>
      <c r="K168" s="429">
        <v>45686</v>
      </c>
      <c r="L168" s="712" t="s">
        <v>14705</v>
      </c>
      <c r="M168" s="757">
        <v>2007570439</v>
      </c>
      <c r="N168" s="119">
        <v>900000</v>
      </c>
    </row>
    <row r="169" spans="1:15" x14ac:dyDescent="0.25">
      <c r="A169" s="341"/>
      <c r="B169" s="98"/>
      <c r="C169" s="15"/>
      <c r="D169" s="15"/>
      <c r="E169" s="470"/>
      <c r="F169" s="429"/>
      <c r="G169" s="712"/>
      <c r="H169" s="430"/>
      <c r="I169" s="366"/>
      <c r="K169" s="429"/>
      <c r="L169" s="98"/>
      <c r="M169" s="757"/>
      <c r="N169" s="15"/>
    </row>
    <row r="170" spans="1:15" x14ac:dyDescent="0.25">
      <c r="A170" s="341"/>
      <c r="B170" s="98"/>
      <c r="C170" s="15"/>
      <c r="D170" s="15"/>
      <c r="E170" s="470"/>
      <c r="F170" s="429"/>
      <c r="G170" s="712"/>
      <c r="H170" s="430"/>
      <c r="I170" s="366"/>
      <c r="K170" s="429"/>
      <c r="L170" s="98"/>
      <c r="M170" s="757"/>
      <c r="N170" s="15"/>
    </row>
    <row r="171" spans="1:15" x14ac:dyDescent="0.25">
      <c r="A171" s="341"/>
      <c r="B171" s="98"/>
      <c r="C171" s="15"/>
      <c r="D171" s="15"/>
      <c r="E171" s="470"/>
      <c r="F171" s="341"/>
      <c r="G171" s="98"/>
      <c r="H171" s="304"/>
      <c r="I171" s="15"/>
      <c r="K171" s="341"/>
      <c r="L171" s="98"/>
      <c r="M171" s="304"/>
      <c r="N171" s="15"/>
    </row>
    <row r="172" spans="1:15" ht="19.5" thickBot="1" x14ac:dyDescent="0.35">
      <c r="A172" s="1328" t="s">
        <v>4595</v>
      </c>
      <c r="B172" s="1328"/>
      <c r="C172" s="1328"/>
      <c r="D172" s="204">
        <f>SUM(D150:D171)</f>
        <v>1790000</v>
      </c>
      <c r="E172" s="471"/>
      <c r="F172" s="1329" t="s">
        <v>4595</v>
      </c>
      <c r="G172" s="1329"/>
      <c r="H172" s="1330"/>
      <c r="I172" s="428">
        <f>SUM(I150:I167)</f>
        <v>8541200</v>
      </c>
      <c r="K172" s="1329" t="s">
        <v>4595</v>
      </c>
      <c r="L172" s="1329"/>
      <c r="M172" s="1330"/>
      <c r="N172" s="428">
        <f>SUM(N150:N171)</f>
        <v>17612000</v>
      </c>
      <c r="O172" s="3"/>
    </row>
    <row r="173" spans="1:15" x14ac:dyDescent="0.25">
      <c r="I173"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72:C172"/>
    <mergeCell ref="F172:H172"/>
    <mergeCell ref="K172:M172"/>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I29" sqref="I29"/>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65" t="s">
        <v>9490</v>
      </c>
      <c r="C1" s="1366"/>
      <c r="D1" s="1366"/>
      <c r="E1" s="1367"/>
      <c r="G1" s="1365" t="s">
        <v>13770</v>
      </c>
      <c r="H1" s="1366"/>
      <c r="I1" s="1366"/>
      <c r="J1" s="1367"/>
      <c r="M1" s="1346" t="s">
        <v>11380</v>
      </c>
      <c r="N1" s="1347"/>
      <c r="O1" s="1347"/>
      <c r="P1" s="1348"/>
      <c r="R1" s="1346" t="s">
        <v>11380</v>
      </c>
      <c r="S1" s="1347"/>
      <c r="T1" s="1347"/>
      <c r="U1" s="1348"/>
      <c r="X1" s="1346" t="s">
        <v>11380</v>
      </c>
      <c r="Y1" s="1347"/>
      <c r="Z1" s="1347"/>
      <c r="AA1" s="1348"/>
      <c r="AC1" s="1373" t="s">
        <v>9490</v>
      </c>
      <c r="AD1" s="1374"/>
      <c r="AE1" s="1374"/>
      <c r="AF1" s="1375"/>
      <c r="AJ1" s="1365" t="s">
        <v>9490</v>
      </c>
      <c r="AK1" s="1366"/>
      <c r="AL1" s="1366"/>
      <c r="AM1" s="1367"/>
      <c r="AO1" s="996" t="s">
        <v>1766</v>
      </c>
    </row>
    <row r="2" spans="2:41" ht="21" x14ac:dyDescent="0.35">
      <c r="B2" s="1368" t="s">
        <v>13518</v>
      </c>
      <c r="C2" s="1369"/>
      <c r="D2" s="1369"/>
      <c r="E2" s="1370"/>
      <c r="G2" s="1368" t="s">
        <v>10389</v>
      </c>
      <c r="H2" s="1369"/>
      <c r="I2" s="1369"/>
      <c r="J2" s="1370"/>
      <c r="M2" s="1346" t="s">
        <v>13511</v>
      </c>
      <c r="N2" s="1347"/>
      <c r="O2" s="1347"/>
      <c r="P2" s="1348"/>
      <c r="R2" s="1346" t="s">
        <v>13510</v>
      </c>
      <c r="S2" s="1347"/>
      <c r="T2" s="1347"/>
      <c r="U2" s="1348"/>
      <c r="X2" s="1346" t="s">
        <v>13509</v>
      </c>
      <c r="Y2" s="1347"/>
      <c r="Z2" s="1347"/>
      <c r="AA2" s="1348"/>
      <c r="AC2" s="1368" t="s">
        <v>8155</v>
      </c>
      <c r="AD2" s="1369"/>
      <c r="AE2" s="1369"/>
      <c r="AF2" s="1370"/>
      <c r="AJ2" s="1368" t="s">
        <v>7168</v>
      </c>
      <c r="AK2" s="1369"/>
      <c r="AL2" s="1369"/>
      <c r="AM2" s="1370"/>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63" t="s">
        <v>9483</v>
      </c>
      <c r="C4" s="1364"/>
      <c r="D4" s="1364"/>
      <c r="E4" s="931">
        <f>'Main Summary'!B19</f>
        <v>227272568.22451612</v>
      </c>
      <c r="G4" s="1363" t="s">
        <v>9483</v>
      </c>
      <c r="H4" s="1364"/>
      <c r="I4" s="1364"/>
      <c r="J4" s="931">
        <f ca="1">'Main Summary'!F19-U5-U10</f>
        <v>289124037.18604004</v>
      </c>
      <c r="M4" s="1346" t="s">
        <v>11381</v>
      </c>
      <c r="N4" s="1347"/>
      <c r="O4" s="1347"/>
      <c r="P4" s="1348"/>
      <c r="R4" s="1346" t="s">
        <v>11381</v>
      </c>
      <c r="S4" s="1347"/>
      <c r="T4" s="1347"/>
      <c r="U4" s="1348"/>
      <c r="X4" s="1346" t="s">
        <v>11381</v>
      </c>
      <c r="Y4" s="1347"/>
      <c r="Z4" s="1347"/>
      <c r="AA4" s="1348"/>
      <c r="AC4" s="1363" t="s">
        <v>9483</v>
      </c>
      <c r="AD4" s="1364"/>
      <c r="AE4" s="1364"/>
      <c r="AF4" s="931">
        <f ca="1">'Main Summary'!J19-AA5-AA10</f>
        <v>137668700.60426268</v>
      </c>
      <c r="AJ4" s="1363" t="s">
        <v>9483</v>
      </c>
      <c r="AK4" s="1364"/>
      <c r="AL4" s="1364"/>
      <c r="AM4" s="931">
        <f>'Main Summary'!N19</f>
        <v>66512286.479166672</v>
      </c>
    </row>
    <row r="5" spans="2:41" ht="19.5" thickBot="1" x14ac:dyDescent="0.35">
      <c r="B5" s="1363" t="s">
        <v>9484</v>
      </c>
      <c r="C5" s="1364"/>
      <c r="D5" s="1364"/>
      <c r="E5" s="931">
        <f>'Main Summary'!C19</f>
        <v>221366680.93799999</v>
      </c>
      <c r="G5" s="1363" t="s">
        <v>9484</v>
      </c>
      <c r="H5" s="1364"/>
      <c r="I5" s="1364"/>
      <c r="J5" s="931">
        <f ca="1">'Main Summary'!G19-U6-U11</f>
        <v>374173213.57120001</v>
      </c>
      <c r="M5" s="1363" t="s">
        <v>9483</v>
      </c>
      <c r="N5" s="1364"/>
      <c r="O5" s="1364"/>
      <c r="P5" s="1021">
        <f ca="1">SUMIF(Posting!$B19940:$E52810,"Meezan Bank Head Office",Posting!$E19940:$E52810)</f>
        <v>12882335.629032258</v>
      </c>
      <c r="R5" s="1363" t="s">
        <v>9483</v>
      </c>
      <c r="S5" s="1364"/>
      <c r="T5" s="1364"/>
      <c r="U5" s="1021">
        <f ca="1">SUMIF(Posting!$B17317:$E19938,"Meezan Bank Head Office",Posting!$E17317:$E19938)</f>
        <v>19586377</v>
      </c>
      <c r="X5" s="1363" t="s">
        <v>9483</v>
      </c>
      <c r="Y5" s="1364"/>
      <c r="Z5" s="1364"/>
      <c r="AA5" s="1021">
        <f ca="1">SUMIF(Posting!$B1:$E17316,"Meezan Bank Head Office",Posting!$E1:$E17316)</f>
        <v>13034925</v>
      </c>
      <c r="AC5" s="1363" t="s">
        <v>9484</v>
      </c>
      <c r="AD5" s="1364"/>
      <c r="AE5" s="1364"/>
      <c r="AF5" s="931">
        <f ca="1">'Main Summary'!K19-AA6-AA11</f>
        <v>176831246.42000002</v>
      </c>
      <c r="AJ5" s="1363" t="s">
        <v>9484</v>
      </c>
      <c r="AK5" s="1364"/>
      <c r="AL5" s="1364"/>
      <c r="AM5" s="931">
        <f>'Main Summary'!O19</f>
        <v>82215394.510000005</v>
      </c>
    </row>
    <row r="6" spans="2:41" ht="18.75" x14ac:dyDescent="0.3">
      <c r="B6" s="1363" t="s">
        <v>2612</v>
      </c>
      <c r="C6" s="1364"/>
      <c r="D6" s="1364"/>
      <c r="E6" s="931">
        <f>E5-E4</f>
        <v>-5905887.28651613</v>
      </c>
      <c r="G6" s="1363" t="s">
        <v>2612</v>
      </c>
      <c r="H6" s="1364"/>
      <c r="I6" s="1364"/>
      <c r="J6" s="931">
        <f ca="1">J5-J4</f>
        <v>85049176.385159969</v>
      </c>
      <c r="M6" s="1363" t="s">
        <v>9484</v>
      </c>
      <c r="N6" s="1364"/>
      <c r="O6" s="1364"/>
      <c r="P6" s="1016">
        <f ca="1">SUMIF(Posting!$B19940:$F52810,"Meezan Bank Head Office",Posting!$F19940:$F52810)</f>
        <v>21277035</v>
      </c>
      <c r="R6" s="1363" t="s">
        <v>9484</v>
      </c>
      <c r="S6" s="1364"/>
      <c r="T6" s="1364"/>
      <c r="U6" s="1016">
        <f ca="1">SUMIF(Posting!$B17317:$F19938,"Meezan Bank Head Office",Posting!$F17317:$F19938)</f>
        <v>8936115</v>
      </c>
      <c r="X6" s="1363" t="s">
        <v>9484</v>
      </c>
      <c r="Y6" s="1364"/>
      <c r="Z6" s="1364"/>
      <c r="AA6" s="1016">
        <f ca="1">SUMIF(Posting!$B1:$F17316,"Meezan Bank Head Office",Posting!$F1:$F17316)</f>
        <v>19830000</v>
      </c>
      <c r="AC6" s="1363" t="s">
        <v>2612</v>
      </c>
      <c r="AD6" s="1364"/>
      <c r="AE6" s="1364"/>
      <c r="AF6" s="931">
        <f ca="1">AF5-AF4</f>
        <v>39162545.815737337</v>
      </c>
      <c r="AJ6" s="1363" t="s">
        <v>2612</v>
      </c>
      <c r="AK6" s="1364"/>
      <c r="AL6" s="1364"/>
      <c r="AM6" s="931">
        <f>AM5-AM4</f>
        <v>15703108.030833334</v>
      </c>
    </row>
    <row r="7" spans="2:41" ht="18.75" x14ac:dyDescent="0.3">
      <c r="B7" s="1363"/>
      <c r="C7" s="1364"/>
      <c r="D7" s="1364"/>
      <c r="E7" s="931"/>
      <c r="G7" s="1363"/>
      <c r="H7" s="1364"/>
      <c r="I7" s="1364"/>
      <c r="J7" s="931"/>
      <c r="M7" s="1363" t="s">
        <v>2612</v>
      </c>
      <c r="N7" s="1364"/>
      <c r="O7" s="1364"/>
      <c r="P7" s="931">
        <f ca="1">P6-P5</f>
        <v>8394699.3709677421</v>
      </c>
      <c r="R7" s="1363" t="s">
        <v>2612</v>
      </c>
      <c r="S7" s="1364"/>
      <c r="T7" s="1364"/>
      <c r="U7" s="931">
        <f ca="1">U6-U5</f>
        <v>-10650262</v>
      </c>
      <c r="X7" s="1363" t="s">
        <v>2612</v>
      </c>
      <c r="Y7" s="1364"/>
      <c r="Z7" s="1364"/>
      <c r="AA7" s="931">
        <f ca="1">AA6-AA5</f>
        <v>6795075</v>
      </c>
      <c r="AC7" s="1363"/>
      <c r="AD7" s="1364"/>
      <c r="AE7" s="1364"/>
      <c r="AF7" s="931"/>
      <c r="AJ7" s="1363"/>
      <c r="AK7" s="1364"/>
      <c r="AL7" s="1364"/>
      <c r="AM7" s="931"/>
    </row>
    <row r="8" spans="2:41" ht="19.5" thickBot="1" x14ac:dyDescent="0.35">
      <c r="B8" s="1349" t="s">
        <v>11029</v>
      </c>
      <c r="C8" s="1328"/>
      <c r="D8" s="1328"/>
      <c r="E8" s="931"/>
      <c r="G8" s="1349" t="s">
        <v>11029</v>
      </c>
      <c r="H8" s="1328"/>
      <c r="I8" s="1328"/>
      <c r="J8" s="931"/>
      <c r="M8" s="1363"/>
      <c r="N8" s="1364"/>
      <c r="O8" s="1364"/>
      <c r="P8" s="931"/>
      <c r="R8" s="1363"/>
      <c r="S8" s="1364"/>
      <c r="T8" s="1364"/>
      <c r="U8" s="931"/>
      <c r="X8" s="1363"/>
      <c r="Y8" s="1364"/>
      <c r="Z8" s="1364"/>
      <c r="AA8" s="931"/>
      <c r="AC8" s="1349" t="s">
        <v>11029</v>
      </c>
      <c r="AD8" s="1328"/>
      <c r="AE8" s="1328"/>
      <c r="AF8" s="931"/>
      <c r="AJ8" s="1363" t="s">
        <v>9485</v>
      </c>
      <c r="AK8" s="1364"/>
      <c r="AL8" s="1364"/>
      <c r="AM8" s="931">
        <v>300000</v>
      </c>
    </row>
    <row r="9" spans="2:41" ht="21.75" thickBot="1" x14ac:dyDescent="0.4">
      <c r="B9" s="1363" t="s">
        <v>9487</v>
      </c>
      <c r="C9" s="1364"/>
      <c r="D9" s="1364"/>
      <c r="E9" s="932">
        <v>820900</v>
      </c>
      <c r="G9" s="1363" t="s">
        <v>9487</v>
      </c>
      <c r="H9" s="1364"/>
      <c r="I9" s="1364"/>
      <c r="J9" s="932">
        <v>500000</v>
      </c>
      <c r="M9" s="1346" t="s">
        <v>11382</v>
      </c>
      <c r="N9" s="1347"/>
      <c r="O9" s="1347"/>
      <c r="P9" s="1348"/>
      <c r="R9" s="1346" t="s">
        <v>11382</v>
      </c>
      <c r="S9" s="1347"/>
      <c r="T9" s="1347"/>
      <c r="U9" s="1348"/>
      <c r="X9" s="1346" t="s">
        <v>11382</v>
      </c>
      <c r="Y9" s="1347"/>
      <c r="Z9" s="1347"/>
      <c r="AA9" s="1348"/>
      <c r="AC9" s="1363" t="s">
        <v>9487</v>
      </c>
      <c r="AD9" s="1364"/>
      <c r="AE9" s="1364"/>
      <c r="AF9" s="932">
        <v>526260</v>
      </c>
      <c r="AJ9" s="1363" t="s">
        <v>9486</v>
      </c>
      <c r="AK9" s="1364"/>
      <c r="AL9" s="1364"/>
      <c r="AM9" s="931">
        <v>526260</v>
      </c>
    </row>
    <row r="10" spans="2:41" s="928" customFormat="1" ht="19.5" thickBot="1" x14ac:dyDescent="0.35">
      <c r="B10" s="1363"/>
      <c r="C10" s="1364"/>
      <c r="D10" s="1364"/>
      <c r="E10" s="932"/>
      <c r="G10" s="1363"/>
      <c r="H10" s="1364"/>
      <c r="I10" s="1364"/>
      <c r="J10" s="932"/>
      <c r="M10" s="1363" t="s">
        <v>9483</v>
      </c>
      <c r="N10" s="1364"/>
      <c r="O10" s="1364"/>
      <c r="P10" s="1021">
        <f ca="1">SUMIF(Posting!$B19940:$E52810,"Saifee Hospital",Posting!$E19940:$E52810)</f>
        <v>2307891.935483871</v>
      </c>
      <c r="R10" s="1363" t="s">
        <v>9483</v>
      </c>
      <c r="S10" s="1364"/>
      <c r="T10" s="1364"/>
      <c r="U10" s="1021">
        <f ca="1">SUMIF(Posting!$B17317:$E19938,"Saifee Hospital",Posting!$E17317:$E19938)</f>
        <v>2187330</v>
      </c>
      <c r="X10" s="1363" t="s">
        <v>9483</v>
      </c>
      <c r="Y10" s="1364"/>
      <c r="Z10" s="1364"/>
      <c r="AA10" s="1021">
        <f ca="1">SUMIF(Posting!$B1:$E17316,"Saifee Hospital",Posting!$E1:$E17316)</f>
        <v>1591330</v>
      </c>
      <c r="AC10" s="1363"/>
      <c r="AD10" s="1364"/>
      <c r="AE10" s="1364"/>
      <c r="AF10" s="932"/>
      <c r="AJ10" s="1363" t="s">
        <v>9487</v>
      </c>
      <c r="AK10" s="1364"/>
      <c r="AL10" s="1364"/>
      <c r="AM10" s="932">
        <v>1314656</v>
      </c>
    </row>
    <row r="11" spans="2:41" ht="18.75" x14ac:dyDescent="0.3">
      <c r="B11" s="1349" t="s">
        <v>2612</v>
      </c>
      <c r="C11" s="1328"/>
      <c r="D11" s="1328"/>
      <c r="E11" s="931">
        <f>E9+E6</f>
        <v>-5084987.28651613</v>
      </c>
      <c r="G11" s="1349" t="s">
        <v>2612</v>
      </c>
      <c r="H11" s="1328"/>
      <c r="I11" s="1328"/>
      <c r="J11" s="931">
        <f ca="1">J9+J6</f>
        <v>85549176.385159969</v>
      </c>
      <c r="M11" s="1363" t="s">
        <v>9484</v>
      </c>
      <c r="N11" s="1364"/>
      <c r="O11" s="1364"/>
      <c r="P11" s="1016">
        <f ca="1">SUMIF(Posting!$B19940:$F52810,"Saifee Hospital",Posting!$F19940:$F52810)</f>
        <v>3000000</v>
      </c>
      <c r="R11" s="1363" t="s">
        <v>9484</v>
      </c>
      <c r="S11" s="1364"/>
      <c r="T11" s="1364"/>
      <c r="U11" s="1016">
        <f ca="1">SUMIF(Posting!$B17317:$F19938,"Saifee Hospital",Posting!$F17317:$F19938)</f>
        <v>3724000</v>
      </c>
      <c r="X11" s="1363" t="s">
        <v>9484</v>
      </c>
      <c r="Y11" s="1364"/>
      <c r="Z11" s="1364"/>
      <c r="AA11" s="1016">
        <f ca="1">SUMIF(Posting!$B1:$F17316,"Saifee Hospital",Posting!$F1:$F17316)</f>
        <v>2434251</v>
      </c>
      <c r="AC11" s="1349" t="s">
        <v>2612</v>
      </c>
      <c r="AD11" s="1328"/>
      <c r="AE11" s="1328"/>
      <c r="AF11" s="931">
        <f ca="1">AF9+AF6</f>
        <v>39688805.815737337</v>
      </c>
      <c r="AJ11" s="1363" t="s">
        <v>2614</v>
      </c>
      <c r="AK11" s="1364"/>
      <c r="AL11" s="1364"/>
      <c r="AM11" s="931">
        <f>AM6-AM8-AM9+AM10</f>
        <v>16191504.030833334</v>
      </c>
    </row>
    <row r="12" spans="2:41" ht="21" x14ac:dyDescent="0.35">
      <c r="B12" s="1357"/>
      <c r="C12" s="1358"/>
      <c r="D12" s="1359"/>
      <c r="E12" s="931"/>
      <c r="G12" s="1357"/>
      <c r="H12" s="1358"/>
      <c r="I12" s="1359"/>
      <c r="J12" s="931"/>
      <c r="M12" s="1363" t="s">
        <v>2612</v>
      </c>
      <c r="N12" s="1364"/>
      <c r="O12" s="1364"/>
      <c r="P12" s="931">
        <f ca="1">P11-P10</f>
        <v>692108.06451612897</v>
      </c>
      <c r="R12" s="1363" t="s">
        <v>2612</v>
      </c>
      <c r="S12" s="1364"/>
      <c r="T12" s="1364"/>
      <c r="U12" s="931">
        <f ca="1">U11-U10</f>
        <v>1536670</v>
      </c>
      <c r="X12" s="1363" t="s">
        <v>2612</v>
      </c>
      <c r="Y12" s="1364"/>
      <c r="Z12" s="1364"/>
      <c r="AA12" s="931">
        <f ca="1">AA11-AA10</f>
        <v>842921</v>
      </c>
      <c r="AC12" s="1357"/>
      <c r="AD12" s="1358"/>
      <c r="AE12" s="1359"/>
      <c r="AF12" s="931"/>
      <c r="AJ12" s="1371" t="s">
        <v>9488</v>
      </c>
      <c r="AK12" s="1372"/>
      <c r="AL12" s="1372"/>
      <c r="AM12" s="935">
        <v>2434251</v>
      </c>
    </row>
    <row r="13" spans="2:41" s="968" customFormat="1" ht="21.75" thickBot="1" x14ac:dyDescent="0.4">
      <c r="B13" s="1360" t="s">
        <v>11028</v>
      </c>
      <c r="C13" s="1361"/>
      <c r="D13" s="1362"/>
      <c r="E13" s="931"/>
      <c r="G13" s="1360" t="s">
        <v>11028</v>
      </c>
      <c r="H13" s="1361"/>
      <c r="I13" s="1362"/>
      <c r="J13" s="931"/>
      <c r="M13" s="1349"/>
      <c r="N13" s="1328"/>
      <c r="O13" s="1328"/>
      <c r="P13" s="931"/>
      <c r="R13" s="1349"/>
      <c r="S13" s="1328"/>
      <c r="T13" s="1328"/>
      <c r="U13" s="931"/>
      <c r="X13" s="1349"/>
      <c r="Y13" s="1328"/>
      <c r="Z13" s="1328"/>
      <c r="AA13" s="931"/>
      <c r="AC13" s="1360" t="s">
        <v>11028</v>
      </c>
      <c r="AD13" s="1361"/>
      <c r="AE13" s="1362"/>
      <c r="AF13" s="931"/>
      <c r="AJ13" s="1352" t="s">
        <v>2614</v>
      </c>
      <c r="AK13" s="1353"/>
      <c r="AL13" s="1353"/>
      <c r="AM13" s="967">
        <f>AM11-AM12</f>
        <v>13757253.030833334</v>
      </c>
    </row>
    <row r="14" spans="2:41" ht="18.75" x14ac:dyDescent="0.3">
      <c r="B14" s="1357" t="s">
        <v>9485</v>
      </c>
      <c r="C14" s="1358"/>
      <c r="D14" s="1359"/>
      <c r="E14" s="931">
        <v>600000</v>
      </c>
      <c r="G14" s="1357" t="s">
        <v>9485</v>
      </c>
      <c r="H14" s="1358"/>
      <c r="I14" s="1359"/>
      <c r="J14" s="931">
        <v>600000</v>
      </c>
      <c r="M14" s="1357"/>
      <c r="N14" s="1358"/>
      <c r="O14" s="1359"/>
      <c r="P14" s="931"/>
      <c r="R14" s="1357"/>
      <c r="S14" s="1358"/>
      <c r="T14" s="1359"/>
      <c r="U14" s="931"/>
      <c r="X14" s="1357"/>
      <c r="Y14" s="1358"/>
      <c r="Z14" s="1359"/>
      <c r="AA14" s="931"/>
      <c r="AC14" s="1357" t="s">
        <v>9485</v>
      </c>
      <c r="AD14" s="1358"/>
      <c r="AE14" s="1359"/>
      <c r="AF14" s="931">
        <v>300000</v>
      </c>
      <c r="AJ14" s="933"/>
      <c r="AK14" s="933"/>
      <c r="AL14" s="933"/>
      <c r="AM14" s="934"/>
    </row>
    <row r="15" spans="2:41" ht="18.75" x14ac:dyDescent="0.3">
      <c r="B15" s="1357" t="s">
        <v>9486</v>
      </c>
      <c r="C15" s="1358"/>
      <c r="D15" s="1359"/>
      <c r="E15" s="931"/>
      <c r="F15" s="301"/>
      <c r="G15" s="1357" t="s">
        <v>9486</v>
      </c>
      <c r="H15" s="1358"/>
      <c r="I15" s="1359"/>
      <c r="J15" s="931">
        <v>845422</v>
      </c>
      <c r="K15" s="301"/>
      <c r="L15" s="301"/>
      <c r="Q15" s="301"/>
      <c r="V15" s="301"/>
      <c r="W15" s="301"/>
      <c r="AB15" s="301"/>
      <c r="AC15" s="1357" t="s">
        <v>9486</v>
      </c>
      <c r="AD15" s="1358"/>
      <c r="AE15" s="1359"/>
      <c r="AF15" s="931">
        <v>500000</v>
      </c>
      <c r="AG15" s="301"/>
      <c r="AH15" s="301"/>
      <c r="AI15" s="301"/>
      <c r="AJ15" s="933"/>
      <c r="AK15" s="933"/>
      <c r="AL15" s="933"/>
      <c r="AM15" s="934"/>
    </row>
    <row r="16" spans="2:41" ht="18.75" x14ac:dyDescent="0.3">
      <c r="B16" s="1357" t="s">
        <v>12703</v>
      </c>
      <c r="C16" s="1358"/>
      <c r="D16" s="1359"/>
      <c r="E16" s="931"/>
      <c r="F16" s="301"/>
      <c r="G16" s="1357"/>
      <c r="H16" s="1358"/>
      <c r="I16" s="1359"/>
      <c r="J16" s="931"/>
      <c r="K16" s="301"/>
      <c r="L16" s="301"/>
      <c r="Q16" s="301"/>
      <c r="V16" s="301"/>
      <c r="W16" s="301"/>
      <c r="AB16" s="301"/>
      <c r="AC16" s="1357" t="s">
        <v>11031</v>
      </c>
      <c r="AD16" s="1358"/>
      <c r="AE16" s="1359"/>
      <c r="AF16" s="1046">
        <v>0</v>
      </c>
      <c r="AG16" s="301"/>
      <c r="AH16" s="301"/>
      <c r="AI16" s="301"/>
      <c r="AJ16" s="933"/>
      <c r="AK16" s="933"/>
      <c r="AL16" s="933"/>
      <c r="AM16" s="934"/>
    </row>
    <row r="17" spans="2:39" ht="21" x14ac:dyDescent="0.35">
      <c r="B17" s="1350"/>
      <c r="C17" s="1351"/>
      <c r="D17" s="1351"/>
      <c r="E17" s="1025"/>
      <c r="F17" s="301"/>
      <c r="G17" s="1350"/>
      <c r="H17" s="1351"/>
      <c r="I17" s="1351"/>
      <c r="J17" s="1025"/>
      <c r="K17" s="301"/>
      <c r="L17" s="301"/>
      <c r="P17" s="3">
        <f ca="1">P12+P7</f>
        <v>9086807.435483871</v>
      </c>
      <c r="Q17" s="301"/>
      <c r="U17" s="3">
        <f ca="1">U12+U7</f>
        <v>-9113592</v>
      </c>
      <c r="V17" s="301"/>
      <c r="W17" s="301"/>
      <c r="AA17" s="3">
        <f ca="1">AA12+AA7</f>
        <v>7637996</v>
      </c>
      <c r="AB17" s="301"/>
      <c r="AC17" s="1350" t="s">
        <v>11383</v>
      </c>
      <c r="AD17" s="1351"/>
      <c r="AE17" s="1351"/>
      <c r="AF17" s="1025">
        <v>3707947</v>
      </c>
      <c r="AG17" s="301"/>
      <c r="AH17" s="301"/>
      <c r="AI17" s="301"/>
      <c r="AJ17" s="1078"/>
      <c r="AK17" s="933"/>
      <c r="AL17" s="933"/>
      <c r="AM17" s="934"/>
    </row>
    <row r="18" spans="2:39" ht="21" x14ac:dyDescent="0.35">
      <c r="B18" s="1350"/>
      <c r="C18" s="1351"/>
      <c r="D18" s="1351"/>
      <c r="E18" s="1025"/>
      <c r="F18" s="301"/>
      <c r="G18" s="1350"/>
      <c r="H18" s="1351"/>
      <c r="I18" s="1351"/>
      <c r="J18" s="1025"/>
      <c r="K18" s="301"/>
      <c r="L18" s="301"/>
      <c r="M18" s="3"/>
      <c r="P18" s="3"/>
      <c r="Q18" s="301"/>
      <c r="R18" s="3"/>
      <c r="U18" s="3"/>
      <c r="V18" s="301"/>
      <c r="W18" s="301"/>
      <c r="AB18" s="301"/>
      <c r="AC18" s="1350"/>
      <c r="AD18" s="1351"/>
      <c r="AE18" s="1351"/>
      <c r="AF18" s="1025"/>
      <c r="AG18" s="301"/>
      <c r="AH18" s="301"/>
      <c r="AI18" s="301"/>
      <c r="AJ18" s="933"/>
      <c r="AK18" s="933"/>
      <c r="AL18" s="933"/>
      <c r="AM18" s="934"/>
    </row>
    <row r="19" spans="2:39" ht="19.5" thickBot="1" x14ac:dyDescent="0.35">
      <c r="B19" s="1349"/>
      <c r="C19" s="1328"/>
      <c r="D19" s="1328"/>
      <c r="E19" s="1026"/>
      <c r="F19" s="301"/>
      <c r="G19" s="1349"/>
      <c r="H19" s="1328"/>
      <c r="I19" s="1328"/>
      <c r="J19" s="1026"/>
      <c r="K19" s="301"/>
      <c r="L19" s="301"/>
      <c r="P19" s="3"/>
      <c r="Q19" s="301"/>
      <c r="U19" s="3"/>
      <c r="V19" s="301"/>
      <c r="W19" s="301"/>
      <c r="AB19" s="301"/>
      <c r="AC19" s="1349"/>
      <c r="AD19" s="1328"/>
      <c r="AE19" s="1328"/>
      <c r="AF19" s="1026"/>
      <c r="AG19" s="301"/>
      <c r="AH19" s="301"/>
      <c r="AI19" s="301"/>
      <c r="AJ19" s="933"/>
      <c r="AK19" s="933"/>
      <c r="AL19" s="933"/>
      <c r="AM19" s="934"/>
    </row>
    <row r="20" spans="2:39" ht="21" x14ac:dyDescent="0.35">
      <c r="B20" s="1349" t="s">
        <v>11030</v>
      </c>
      <c r="C20" s="1328"/>
      <c r="D20" s="1328"/>
      <c r="E20" s="1025">
        <f>SUM(E14:E19)</f>
        <v>600000</v>
      </c>
      <c r="G20" s="1349" t="s">
        <v>11030</v>
      </c>
      <c r="H20" s="1328"/>
      <c r="I20" s="1328"/>
      <c r="J20" s="1025">
        <f>SUM(J14:J19)</f>
        <v>1445422</v>
      </c>
      <c r="P20" s="3"/>
      <c r="U20" s="3">
        <f ca="1">AA17+U17+P17</f>
        <v>7611211.435483871</v>
      </c>
      <c r="AA20" s="3"/>
      <c r="AC20" s="1349" t="s">
        <v>11030</v>
      </c>
      <c r="AD20" s="1328"/>
      <c r="AE20" s="1328"/>
      <c r="AF20" s="1025">
        <f>SUM(AF14:AF19)</f>
        <v>4507947</v>
      </c>
      <c r="AJ20" s="1354" t="s">
        <v>9489</v>
      </c>
      <c r="AK20" s="1355"/>
      <c r="AL20" s="1355"/>
      <c r="AM20" s="1356"/>
    </row>
    <row r="21" spans="2:39" s="928" customFormat="1" ht="21" x14ac:dyDescent="0.35">
      <c r="B21" s="1350"/>
      <c r="C21" s="1351"/>
      <c r="D21" s="1351"/>
      <c r="E21" s="1025"/>
      <c r="G21" s="1350"/>
      <c r="H21" s="1351"/>
      <c r="I21" s="1351"/>
      <c r="J21" s="1025"/>
      <c r="M21"/>
      <c r="N21"/>
      <c r="O21"/>
      <c r="P21" s="3"/>
      <c r="R21"/>
      <c r="S21"/>
      <c r="T21"/>
      <c r="U21" s="3"/>
      <c r="X21"/>
      <c r="Y21"/>
      <c r="Z21"/>
      <c r="AA21"/>
      <c r="AC21" s="1350"/>
      <c r="AD21" s="1351"/>
      <c r="AE21" s="1351"/>
      <c r="AF21" s="1025"/>
      <c r="AJ21" s="969" t="s">
        <v>9491</v>
      </c>
      <c r="AK21" s="965" t="s">
        <v>4750</v>
      </c>
      <c r="AL21" s="965" t="s">
        <v>1201</v>
      </c>
      <c r="AM21" s="971" t="s">
        <v>1893</v>
      </c>
    </row>
    <row r="22" spans="2:39" s="928" customFormat="1" ht="21.75" thickBot="1" x14ac:dyDescent="0.4">
      <c r="B22" s="1352" t="s">
        <v>2614</v>
      </c>
      <c r="C22" s="1353"/>
      <c r="D22" s="1353"/>
      <c r="E22" s="967">
        <f>E11-E20</f>
        <v>-5684987.28651613</v>
      </c>
      <c r="G22" s="1352" t="s">
        <v>2614</v>
      </c>
      <c r="H22" s="1353"/>
      <c r="I22" s="1353"/>
      <c r="J22" s="967">
        <f ca="1">J11-J20</f>
        <v>84103754.385159969</v>
      </c>
      <c r="M22"/>
      <c r="N22"/>
      <c r="O22"/>
      <c r="P22"/>
      <c r="R22"/>
      <c r="S22"/>
      <c r="T22"/>
      <c r="U22"/>
      <c r="X22"/>
      <c r="Y22"/>
      <c r="Z22"/>
      <c r="AA22"/>
      <c r="AC22" s="1352" t="s">
        <v>2614</v>
      </c>
      <c r="AD22" s="1353"/>
      <c r="AE22" s="1353"/>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54" t="s">
        <v>9489</v>
      </c>
      <c r="C24" s="1355"/>
      <c r="D24" s="1355"/>
      <c r="E24" s="1356"/>
      <c r="G24" s="1354" t="s">
        <v>9489</v>
      </c>
      <c r="H24" s="1355"/>
      <c r="I24" s="1355"/>
      <c r="J24" s="1356"/>
      <c r="M24"/>
      <c r="N24"/>
      <c r="O24"/>
      <c r="P24"/>
      <c r="R24"/>
      <c r="S24"/>
      <c r="T24"/>
      <c r="U24"/>
      <c r="X24"/>
      <c r="Y24"/>
      <c r="Z24"/>
      <c r="AA24"/>
      <c r="AC24" s="1354" t="s">
        <v>9489</v>
      </c>
      <c r="AD24" s="1355"/>
      <c r="AE24" s="1355"/>
      <c r="AF24" s="1356"/>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-1876045.8045503229</v>
      </c>
      <c r="D27" s="939">
        <f>D26*E22</f>
        <v>-1876045.8045503229</v>
      </c>
      <c r="E27" s="932">
        <f>E26*E22</f>
        <v>-1932895.6774154843</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Receiving!I172</f>
        <v>8541200</v>
      </c>
      <c r="I28" s="940">
        <f>Receiving!N172</f>
        <v>17612000</v>
      </c>
      <c r="J28" s="941">
        <f>Receiving!D172</f>
        <v>1790000</v>
      </c>
      <c r="AC28" s="936" t="s">
        <v>9493</v>
      </c>
      <c r="AD28" s="940">
        <f>Receiving!I139</f>
        <v>11609683</v>
      </c>
      <c r="AE28" s="940">
        <f>Receiving!N139</f>
        <v>11500000</v>
      </c>
      <c r="AF28" s="941">
        <f>Receiving!D139</f>
        <v>11965000</v>
      </c>
    </row>
    <row r="29" spans="2:39" ht="38.25" thickBot="1" x14ac:dyDescent="0.3">
      <c r="B29" s="937" t="s">
        <v>9494</v>
      </c>
      <c r="C29" s="942">
        <f>C27-C28</f>
        <v>-1876045.8045503229</v>
      </c>
      <c r="D29" s="942">
        <f t="shared" ref="D29:E29" si="1">D27-D28</f>
        <v>-1876045.8045503229</v>
      </c>
      <c r="E29" s="943">
        <f t="shared" si="1"/>
        <v>-1932895.6774154843</v>
      </c>
      <c r="G29" s="937" t="s">
        <v>9494</v>
      </c>
      <c r="H29" s="942">
        <f ca="1">H27-H28</f>
        <v>19213038.947102793</v>
      </c>
      <c r="I29" s="942">
        <f t="shared" ref="I29:J29" ca="1" si="2">I27-I28</f>
        <v>10142238.947102793</v>
      </c>
      <c r="J29" s="943">
        <f t="shared" ca="1" si="2"/>
        <v>26805276.490954392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85" t="s">
        <v>5473</v>
      </c>
      <c r="B1" s="1385"/>
      <c r="C1" s="1385"/>
      <c r="D1" s="1385"/>
      <c r="E1" s="1385"/>
      <c r="F1" s="1385"/>
      <c r="G1" s="1385"/>
      <c r="H1" s="1385"/>
      <c r="I1" s="1385"/>
      <c r="J1" s="1385"/>
    </row>
    <row r="2" spans="1:13" x14ac:dyDescent="0.25">
      <c r="A2" s="1385"/>
      <c r="B2" s="1385"/>
      <c r="C2" s="1385"/>
      <c r="D2" s="1385"/>
      <c r="E2" s="1385"/>
      <c r="F2" s="1385"/>
      <c r="G2" s="1385"/>
      <c r="H2" s="1385"/>
      <c r="I2" s="1385"/>
      <c r="J2" s="1385"/>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84" t="s">
        <v>5482</v>
      </c>
      <c r="B11" s="1384"/>
      <c r="C11" s="1384"/>
      <c r="D11" s="1384"/>
    </row>
    <row r="12" spans="1:13" x14ac:dyDescent="0.25">
      <c r="A12" s="360" t="s">
        <v>5157</v>
      </c>
      <c r="B12" s="360" t="s">
        <v>938</v>
      </c>
      <c r="C12" s="360" t="s">
        <v>1201</v>
      </c>
      <c r="D12" s="360" t="s">
        <v>1893</v>
      </c>
      <c r="E12" s="3"/>
      <c r="G12" s="1386" t="s">
        <v>5483</v>
      </c>
      <c r="H12" s="1387"/>
      <c r="I12" s="1388"/>
      <c r="J12" s="370">
        <f>H9+I9+J9</f>
        <v>9658438.778794989</v>
      </c>
    </row>
    <row r="13" spans="1:13" x14ac:dyDescent="0.25">
      <c r="A13" s="2" t="s">
        <v>5158</v>
      </c>
      <c r="B13" s="15">
        <v>9323439</v>
      </c>
      <c r="C13" s="15">
        <v>9323439</v>
      </c>
      <c r="D13" s="15">
        <v>9605968</v>
      </c>
      <c r="G13" s="1386" t="s">
        <v>5484</v>
      </c>
      <c r="H13" s="1387"/>
      <c r="I13" s="1388"/>
      <c r="J13" s="370">
        <f>J31</f>
        <v>5549996</v>
      </c>
    </row>
    <row r="14" spans="1:13" x14ac:dyDescent="0.25">
      <c r="A14" s="2" t="s">
        <v>5159</v>
      </c>
      <c r="B14" s="15">
        <v>7575873</v>
      </c>
      <c r="C14" s="15">
        <v>7575873</v>
      </c>
      <c r="D14" s="15">
        <v>7805445</v>
      </c>
      <c r="G14" s="1386" t="s">
        <v>5485</v>
      </c>
      <c r="H14" s="1387"/>
      <c r="I14" s="1388"/>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89" t="s">
        <v>5486</v>
      </c>
      <c r="G18" s="1389"/>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84" t="s">
        <v>5490</v>
      </c>
      <c r="J22" s="1384"/>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90" t="s">
        <v>7870</v>
      </c>
      <c r="B40" s="1291"/>
      <c r="C40" s="1291"/>
      <c r="D40" s="1291"/>
      <c r="E40" s="1291"/>
      <c r="F40" s="1291"/>
      <c r="G40" s="1291"/>
      <c r="H40" s="1291"/>
      <c r="I40" s="1291"/>
      <c r="J40" s="1291"/>
      <c r="K40" s="1292"/>
    </row>
    <row r="41" spans="1:12" ht="15.75" thickBot="1" x14ac:dyDescent="0.3">
      <c r="A41" s="1296"/>
      <c r="B41" s="1297"/>
      <c r="C41" s="1297"/>
      <c r="D41" s="1297"/>
      <c r="E41" s="1297"/>
      <c r="F41" s="1297"/>
      <c r="G41" s="1297"/>
      <c r="H41" s="1297"/>
      <c r="I41" s="1297"/>
      <c r="J41" s="1297"/>
      <c r="K41" s="1298"/>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90" t="s">
        <v>7167</v>
      </c>
      <c r="B51" s="1291"/>
      <c r="C51" s="1291"/>
      <c r="D51" s="1291"/>
      <c r="E51" s="1291"/>
      <c r="F51" s="1291"/>
      <c r="G51" s="1291"/>
      <c r="H51" s="1291"/>
      <c r="I51" s="1291"/>
      <c r="J51" s="1291"/>
      <c r="K51" s="1292"/>
    </row>
    <row r="52" spans="1:14" ht="15.75" thickBot="1" x14ac:dyDescent="0.3">
      <c r="A52" s="1296"/>
      <c r="B52" s="1297"/>
      <c r="C52" s="1297"/>
      <c r="D52" s="1297"/>
      <c r="E52" s="1297"/>
      <c r="F52" s="1297"/>
      <c r="G52" s="1297"/>
      <c r="H52" s="1297"/>
      <c r="I52" s="1297"/>
      <c r="J52" s="1297"/>
      <c r="K52" s="1298"/>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93" t="s">
        <v>7168</v>
      </c>
      <c r="B59" s="1294"/>
      <c r="C59" s="1294"/>
      <c r="D59" s="1294"/>
      <c r="E59" s="1294"/>
      <c r="F59" s="1294"/>
      <c r="G59" s="1294"/>
      <c r="H59" s="1294"/>
      <c r="I59" s="1294"/>
      <c r="J59" s="1294"/>
      <c r="K59" s="1294"/>
      <c r="L59" s="964"/>
      <c r="M59" s="964"/>
    </row>
    <row r="60" spans="1:14" ht="15.75" customHeight="1" x14ac:dyDescent="0.25">
      <c r="A60" s="1382"/>
      <c r="B60" s="1383"/>
      <c r="C60" s="1383"/>
      <c r="D60" s="1383"/>
      <c r="E60" s="1383"/>
      <c r="F60" s="1383"/>
      <c r="G60" s="1383"/>
      <c r="H60" s="1383"/>
      <c r="I60" s="1383"/>
      <c r="J60" s="1383"/>
      <c r="K60" s="1383"/>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79" t="s">
        <v>10387</v>
      </c>
      <c r="F66" s="1380"/>
      <c r="G66" s="1381"/>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90" t="s">
        <v>8155</v>
      </c>
      <c r="B74" s="1291"/>
      <c r="C74" s="1291"/>
      <c r="D74" s="1291"/>
      <c r="E74" s="1291"/>
      <c r="F74" s="1291"/>
      <c r="G74" s="1291"/>
      <c r="H74" s="1291"/>
      <c r="I74" s="1291"/>
      <c r="J74" s="1291"/>
      <c r="K74" s="1291"/>
      <c r="L74" s="1292"/>
    </row>
    <row r="75" spans="1:20" ht="15.75" customHeight="1" thickBot="1" x14ac:dyDescent="0.3">
      <c r="A75" s="1296"/>
      <c r="B75" s="1297"/>
      <c r="C75" s="1297"/>
      <c r="D75" s="1297"/>
      <c r="E75" s="1297"/>
      <c r="F75" s="1297"/>
      <c r="G75" s="1297"/>
      <c r="H75" s="1297"/>
      <c r="I75" s="1297"/>
      <c r="J75" s="1297"/>
      <c r="K75" s="1297"/>
      <c r="L75" s="1298"/>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76" t="s">
        <v>10486</v>
      </c>
      <c r="D82" s="1377"/>
      <c r="E82" s="1377"/>
      <c r="F82" s="1377"/>
      <c r="G82" s="1377"/>
      <c r="H82" s="1378"/>
      <c r="I82" s="975"/>
      <c r="J82" s="975">
        <f>19830000/3</f>
        <v>6610000</v>
      </c>
      <c r="K82" s="975">
        <f>19830000/3</f>
        <v>6610000</v>
      </c>
      <c r="L82" s="975">
        <f>19830000/3</f>
        <v>6610000</v>
      </c>
      <c r="M82" s="947"/>
    </row>
    <row r="83" spans="1:17" x14ac:dyDescent="0.25">
      <c r="M83" s="3"/>
    </row>
    <row r="84" spans="1:17" s="928" customFormat="1" ht="26.25" customHeight="1" x14ac:dyDescent="0.25">
      <c r="C84" s="1376" t="s">
        <v>10524</v>
      </c>
      <c r="D84" s="1377"/>
      <c r="E84" s="1377"/>
      <c r="F84" s="1377"/>
      <c r="G84" s="1377"/>
      <c r="H84" s="1378"/>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90" t="s">
        <v>10389</v>
      </c>
      <c r="B89" s="1291"/>
      <c r="C89" s="1291"/>
      <c r="D89" s="1291"/>
      <c r="E89" s="1291"/>
      <c r="F89" s="1291"/>
      <c r="G89" s="1291"/>
      <c r="H89" s="1291"/>
      <c r="I89" s="1291"/>
      <c r="J89" s="1291"/>
      <c r="K89" s="1292"/>
      <c r="L89" s="3"/>
      <c r="M89" s="3"/>
    </row>
    <row r="90" spans="1:17" ht="15.75" thickBot="1" x14ac:dyDescent="0.3">
      <c r="A90" s="1296"/>
      <c r="B90" s="1297"/>
      <c r="C90" s="1297"/>
      <c r="D90" s="1297"/>
      <c r="E90" s="1297"/>
      <c r="F90" s="1297"/>
      <c r="G90" s="1297"/>
      <c r="H90" s="1297"/>
      <c r="I90" s="1297"/>
      <c r="J90" s="1297"/>
      <c r="K90" s="1298"/>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00" t="s">
        <v>2610</v>
      </c>
      <c r="B2" s="1400"/>
      <c r="C2" s="1400"/>
      <c r="D2" s="1400"/>
      <c r="E2" s="1400"/>
      <c r="F2" s="1400"/>
      <c r="G2" s="1400"/>
      <c r="H2" s="1400"/>
      <c r="I2" s="1400"/>
      <c r="J2" s="1400"/>
      <c r="K2" s="1400"/>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98">
        <v>28459027</v>
      </c>
      <c r="B4" s="1398">
        <v>35457479</v>
      </c>
      <c r="C4" s="1398">
        <f>B4-A4</f>
        <v>6998452</v>
      </c>
      <c r="D4" s="1398" t="s">
        <v>2618</v>
      </c>
      <c r="E4" s="225"/>
      <c r="F4" s="225"/>
      <c r="G4" s="225"/>
      <c r="H4" s="1398">
        <f>C4</f>
        <v>6998452</v>
      </c>
      <c r="I4" s="1398">
        <f>H4*25%</f>
        <v>1749613</v>
      </c>
      <c r="J4" s="1398">
        <f>H4*25%</f>
        <v>1749613</v>
      </c>
      <c r="K4" s="1398">
        <f>H4*50%</f>
        <v>3499226</v>
      </c>
    </row>
    <row r="5" spans="1:11" ht="21" customHeight="1" x14ac:dyDescent="0.25">
      <c r="A5" s="1398"/>
      <c r="B5" s="1398"/>
      <c r="C5" s="1398"/>
      <c r="D5" s="1398"/>
      <c r="E5" s="225"/>
      <c r="F5" s="225"/>
      <c r="G5" s="225"/>
      <c r="H5" s="1398"/>
      <c r="I5" s="1398"/>
      <c r="J5" s="1398"/>
      <c r="K5" s="1398"/>
    </row>
    <row r="6" spans="1:11" ht="15.75" x14ac:dyDescent="0.25">
      <c r="A6" s="1399" t="s">
        <v>2619</v>
      </c>
      <c r="B6" s="1399"/>
      <c r="C6" s="1399"/>
      <c r="D6" s="1399"/>
      <c r="E6" s="1399"/>
      <c r="F6" s="1399"/>
      <c r="G6" s="1399"/>
      <c r="H6" s="1399"/>
      <c r="I6" s="186" t="s">
        <v>158</v>
      </c>
      <c r="J6" s="186" t="s">
        <v>2620</v>
      </c>
      <c r="K6" s="186" t="s">
        <v>2620</v>
      </c>
    </row>
    <row r="7" spans="1:11" ht="15.75" x14ac:dyDescent="0.25">
      <c r="A7" s="1399" t="s">
        <v>2621</v>
      </c>
      <c r="B7" s="1399"/>
      <c r="C7" s="1399"/>
      <c r="D7" s="1399"/>
      <c r="E7" s="1399"/>
      <c r="F7" s="1399"/>
      <c r="G7" s="1399"/>
      <c r="H7" s="1399"/>
      <c r="I7" s="186" t="s">
        <v>2622</v>
      </c>
      <c r="J7" s="187">
        <f>J4</f>
        <v>1749613</v>
      </c>
      <c r="K7" s="187">
        <f>K4</f>
        <v>3499226</v>
      </c>
    </row>
    <row r="9" spans="1:11" ht="18" x14ac:dyDescent="0.25">
      <c r="A9" s="1400" t="s">
        <v>2623</v>
      </c>
      <c r="B9" s="1400"/>
      <c r="C9" s="1400"/>
      <c r="D9" s="1400"/>
      <c r="E9" s="1400"/>
      <c r="F9" s="1400"/>
      <c r="G9" s="1400"/>
      <c r="H9" s="1400"/>
      <c r="I9" s="1400"/>
      <c r="J9" s="1400"/>
      <c r="K9" s="1400"/>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98">
        <v>42596884</v>
      </c>
      <c r="B11" s="1398">
        <v>51367818</v>
      </c>
      <c r="C11" s="1398">
        <f>B11-A11</f>
        <v>8770934</v>
      </c>
      <c r="D11" s="1398" t="s">
        <v>2618</v>
      </c>
      <c r="E11" s="225"/>
      <c r="F11" s="225"/>
      <c r="G11" s="225"/>
      <c r="H11" s="1398">
        <f>C11</f>
        <v>8770934</v>
      </c>
      <c r="I11" s="1398">
        <f>H11*25%</f>
        <v>2192733.5</v>
      </c>
      <c r="J11" s="1398">
        <f>H11*25%</f>
        <v>2192733.5</v>
      </c>
      <c r="K11" s="1398">
        <f>H11*50%</f>
        <v>4385467</v>
      </c>
    </row>
    <row r="12" spans="1:11" ht="12.75" customHeight="1" x14ac:dyDescent="0.25">
      <c r="A12" s="1398"/>
      <c r="B12" s="1398"/>
      <c r="C12" s="1398"/>
      <c r="D12" s="1398"/>
      <c r="E12" s="225"/>
      <c r="F12" s="225"/>
      <c r="G12" s="225"/>
      <c r="H12" s="1398"/>
      <c r="I12" s="1398"/>
      <c r="J12" s="1398"/>
      <c r="K12" s="1398"/>
    </row>
    <row r="13" spans="1:11" ht="15.75" x14ac:dyDescent="0.25">
      <c r="A13" s="1399" t="s">
        <v>2624</v>
      </c>
      <c r="B13" s="1399"/>
      <c r="C13" s="1399"/>
      <c r="D13" s="1399"/>
      <c r="E13" s="1399"/>
      <c r="F13" s="1399"/>
      <c r="G13" s="1399"/>
      <c r="H13" s="1399"/>
      <c r="I13" s="186" t="s">
        <v>158</v>
      </c>
      <c r="J13" s="188">
        <v>84775</v>
      </c>
      <c r="K13" s="186" t="s">
        <v>2620</v>
      </c>
    </row>
    <row r="14" spans="1:11" ht="15.75" x14ac:dyDescent="0.25">
      <c r="A14" s="1399" t="s">
        <v>2621</v>
      </c>
      <c r="B14" s="1399"/>
      <c r="C14" s="1399"/>
      <c r="D14" s="1399"/>
      <c r="E14" s="1399"/>
      <c r="F14" s="1399"/>
      <c r="G14" s="1399"/>
      <c r="H14" s="1399"/>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00" t="s">
        <v>2625</v>
      </c>
      <c r="B17" s="1400"/>
      <c r="C17" s="1400"/>
      <c r="D17" s="1400"/>
      <c r="E17" s="1400"/>
      <c r="F17" s="1400"/>
      <c r="G17" s="1400"/>
      <c r="H17" s="1400"/>
      <c r="I17" s="1400"/>
      <c r="J17" s="1400"/>
      <c r="K17" s="1400"/>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98">
        <v>91625888</v>
      </c>
      <c r="B19" s="1398">
        <v>130688607</v>
      </c>
      <c r="C19" s="1398">
        <f>B19-A19</f>
        <v>39062719</v>
      </c>
      <c r="D19" s="1398">
        <v>7500000</v>
      </c>
      <c r="E19" s="225"/>
      <c r="F19" s="225"/>
      <c r="G19" s="225"/>
      <c r="H19" s="1398">
        <f>C19</f>
        <v>39062719</v>
      </c>
      <c r="I19" s="1398">
        <f>H19*25%</f>
        <v>9765679.75</v>
      </c>
      <c r="J19" s="1398">
        <f>H19*25%</f>
        <v>9765679.75</v>
      </c>
      <c r="K19" s="1398">
        <f>H19*50%</f>
        <v>19531359.5</v>
      </c>
    </row>
    <row r="20" spans="1:11" ht="12.75" customHeight="1" x14ac:dyDescent="0.25">
      <c r="A20" s="1398"/>
      <c r="B20" s="1398"/>
      <c r="C20" s="1398"/>
      <c r="D20" s="1398"/>
      <c r="E20" s="225"/>
      <c r="F20" s="225"/>
      <c r="G20" s="225"/>
      <c r="H20" s="1398"/>
      <c r="I20" s="1398"/>
      <c r="J20" s="1398"/>
      <c r="K20" s="1398"/>
    </row>
    <row r="21" spans="1:11" ht="15.75" x14ac:dyDescent="0.25">
      <c r="A21" s="1399" t="s">
        <v>2624</v>
      </c>
      <c r="B21" s="1399"/>
      <c r="C21" s="1399"/>
      <c r="D21" s="1399"/>
      <c r="E21" s="1399"/>
      <c r="F21" s="1399"/>
      <c r="G21" s="1399"/>
      <c r="H21" s="1399"/>
      <c r="I21" s="188">
        <v>13000000</v>
      </c>
      <c r="J21" s="186"/>
      <c r="K21" s="186"/>
    </row>
    <row r="22" spans="1:11" ht="15.75" x14ac:dyDescent="0.25">
      <c r="A22" s="1399" t="s">
        <v>2621</v>
      </c>
      <c r="B22" s="1399"/>
      <c r="C22" s="1399"/>
      <c r="D22" s="1399"/>
      <c r="E22" s="1399"/>
      <c r="F22" s="1399"/>
      <c r="G22" s="1399"/>
      <c r="H22" s="1399"/>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93" t="s">
        <v>2635</v>
      </c>
      <c r="B36" s="1393"/>
      <c r="C36" s="1393"/>
      <c r="D36" s="1393"/>
      <c r="E36" s="1393"/>
      <c r="F36" s="1393"/>
      <c r="G36" s="1393"/>
      <c r="H36" s="1393"/>
      <c r="I36" s="1393"/>
      <c r="J36" s="1393"/>
      <c r="K36" s="1393"/>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02">
        <f>'Main Summary'!$AK$73</f>
        <v>31688154.002880182</v>
      </c>
      <c r="B38" s="1402">
        <f>'Main Summary'!$AL$73</f>
        <v>37164776</v>
      </c>
      <c r="C38" s="1402">
        <f>B38-A38</f>
        <v>5476621.9971198179</v>
      </c>
      <c r="D38" s="1402">
        <v>6000000</v>
      </c>
      <c r="E38" s="1405"/>
      <c r="F38" s="1405"/>
      <c r="G38" s="1402">
        <v>300000</v>
      </c>
      <c r="H38" s="1402">
        <f>C38-D38-G38</f>
        <v>-823378.00288018212</v>
      </c>
      <c r="I38" s="1402">
        <f>H38*33%</f>
        <v>-271714.74095046014</v>
      </c>
      <c r="J38" s="1402">
        <f>H38*33%</f>
        <v>-271714.74095046014</v>
      </c>
      <c r="K38" s="1402">
        <f>H38*34%</f>
        <v>-279948.52097926196</v>
      </c>
    </row>
    <row r="39" spans="1:13" ht="16.899999999999999" customHeight="1" x14ac:dyDescent="0.25">
      <c r="A39" s="1402"/>
      <c r="B39" s="1402"/>
      <c r="C39" s="1402"/>
      <c r="D39" s="1402"/>
      <c r="E39" s="1406"/>
      <c r="F39" s="1406"/>
      <c r="G39" s="1402"/>
      <c r="H39" s="1402"/>
      <c r="I39" s="1402"/>
      <c r="J39" s="1402"/>
      <c r="K39" s="1402"/>
    </row>
    <row r="40" spans="1:13" ht="16.5" x14ac:dyDescent="0.25">
      <c r="A40" s="1404" t="s">
        <v>2636</v>
      </c>
      <c r="B40" s="1404"/>
      <c r="C40" s="1404"/>
      <c r="D40" s="1404"/>
      <c r="E40" s="1404"/>
      <c r="F40" s="1404"/>
      <c r="G40" s="1404"/>
      <c r="H40" s="1404"/>
      <c r="I40" s="231">
        <v>3234320</v>
      </c>
      <c r="J40" s="231"/>
      <c r="K40" s="231"/>
    </row>
    <row r="41" spans="1:13" ht="16.5" x14ac:dyDescent="0.25">
      <c r="A41" s="1404" t="s">
        <v>2864</v>
      </c>
      <c r="B41" s="1404"/>
      <c r="C41" s="1404"/>
      <c r="D41" s="1404"/>
      <c r="E41" s="1404"/>
      <c r="F41" s="1404"/>
      <c r="G41" s="1404"/>
      <c r="H41" s="1404"/>
      <c r="I41" s="231"/>
      <c r="J41" s="231">
        <v>1676486</v>
      </c>
      <c r="K41" s="231">
        <v>6090000</v>
      </c>
    </row>
    <row r="42" spans="1:13" ht="16.5" x14ac:dyDescent="0.25">
      <c r="A42" s="1404" t="s">
        <v>2637</v>
      </c>
      <c r="B42" s="1404"/>
      <c r="C42" s="1404"/>
      <c r="D42" s="1404"/>
      <c r="E42" s="1404"/>
      <c r="F42" s="1404"/>
      <c r="G42" s="1404"/>
      <c r="H42" s="1404"/>
      <c r="I42" s="231">
        <v>1568356</v>
      </c>
      <c r="J42" s="231"/>
      <c r="K42" s="231"/>
    </row>
    <row r="43" spans="1:13" ht="16.5" x14ac:dyDescent="0.25">
      <c r="A43" s="1403" t="s">
        <v>2638</v>
      </c>
      <c r="B43" s="1403"/>
      <c r="C43" s="1403"/>
      <c r="D43" s="1403"/>
      <c r="E43" s="1403"/>
      <c r="F43" s="1403"/>
      <c r="G43" s="1403"/>
      <c r="H43" s="1403"/>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01" t="s">
        <v>2773</v>
      </c>
      <c r="B45" s="1401"/>
      <c r="C45" s="1401"/>
      <c r="D45" s="1401"/>
      <c r="E45" s="1401"/>
      <c r="F45" s="1401"/>
      <c r="G45" s="1401"/>
      <c r="H45" s="1401"/>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93" t="s">
        <v>3293</v>
      </c>
      <c r="B49" s="1393"/>
      <c r="C49" s="1393"/>
      <c r="D49" s="1393"/>
      <c r="E49" s="1393"/>
      <c r="F49" s="1393"/>
      <c r="G49" s="1393"/>
      <c r="H49" s="1393"/>
      <c r="I49" s="1393"/>
      <c r="J49" s="1393"/>
      <c r="K49" s="1393"/>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94">
        <f>'Main Summary'!AD19</f>
        <v>113012540.90419273</v>
      </c>
      <c r="B51" s="1394">
        <f>'Main Summary'!AE19</f>
        <v>164353252</v>
      </c>
      <c r="C51" s="1394">
        <f>B51-A51</f>
        <v>51340711.095807269</v>
      </c>
      <c r="D51" s="1394">
        <v>7000000</v>
      </c>
      <c r="E51" s="1396">
        <f>15000000+6000000</f>
        <v>21000000</v>
      </c>
      <c r="F51" s="344"/>
      <c r="G51" s="1394">
        <v>500000</v>
      </c>
      <c r="H51" s="1394">
        <f>C51-D51-G51-E51</f>
        <v>22840711.095807269</v>
      </c>
      <c r="I51" s="1394">
        <f>H51*33%</f>
        <v>7537434.661616399</v>
      </c>
      <c r="J51" s="1394">
        <f>H51*33%</f>
        <v>7537434.661616399</v>
      </c>
      <c r="K51" s="1394">
        <f>H51*34%</f>
        <v>7765841.7725744722</v>
      </c>
    </row>
    <row r="52" spans="1:13" ht="16.899999999999999" customHeight="1" x14ac:dyDescent="0.25">
      <c r="A52" s="1394"/>
      <c r="B52" s="1394"/>
      <c r="C52" s="1394"/>
      <c r="D52" s="1394"/>
      <c r="E52" s="1397"/>
      <c r="F52" s="345"/>
      <c r="G52" s="1394"/>
      <c r="H52" s="1394"/>
      <c r="I52" s="1394"/>
      <c r="J52" s="1394"/>
      <c r="K52" s="1394"/>
    </row>
    <row r="53" spans="1:13" ht="15.75" x14ac:dyDescent="0.25">
      <c r="A53" s="1395" t="s">
        <v>2636</v>
      </c>
      <c r="B53" s="1395"/>
      <c r="C53" s="1395"/>
      <c r="D53" s="1395"/>
      <c r="E53" s="1395"/>
      <c r="F53" s="1395"/>
      <c r="G53" s="1395"/>
      <c r="H53" s="1395"/>
      <c r="I53" s="225"/>
      <c r="J53" s="225"/>
      <c r="K53" s="225"/>
      <c r="M53" s="1">
        <v>1682985</v>
      </c>
    </row>
    <row r="54" spans="1:13" ht="15.75" x14ac:dyDescent="0.25">
      <c r="A54" s="1395" t="s">
        <v>2864</v>
      </c>
      <c r="B54" s="1395"/>
      <c r="C54" s="1395"/>
      <c r="D54" s="1395"/>
      <c r="E54" s="1395"/>
      <c r="F54" s="1395"/>
      <c r="G54" s="1395"/>
      <c r="H54" s="1395"/>
      <c r="I54" s="225">
        <f>450000+3000000+1300000+200000+6000000</f>
        <v>10950000</v>
      </c>
      <c r="J54" s="225">
        <f>3800000+300000+1500000+89000+1000000+1300000</f>
        <v>7989000</v>
      </c>
      <c r="K54" s="225">
        <f>150000+500000+500000+5000000</f>
        <v>6150000</v>
      </c>
      <c r="M54" s="1">
        <v>26656</v>
      </c>
    </row>
    <row r="55" spans="1:13" ht="15.75" x14ac:dyDescent="0.25">
      <c r="A55" s="1395" t="s">
        <v>4274</v>
      </c>
      <c r="B55" s="1395"/>
      <c r="C55" s="1395"/>
      <c r="D55" s="1395"/>
      <c r="E55" s="1395"/>
      <c r="F55" s="1395"/>
      <c r="G55" s="1395"/>
      <c r="H55" s="1395"/>
      <c r="I55" s="225"/>
      <c r="J55" s="225">
        <v>493250</v>
      </c>
      <c r="K55" s="225"/>
      <c r="M55" s="1">
        <v>7143</v>
      </c>
    </row>
    <row r="56" spans="1:13" ht="15.75" x14ac:dyDescent="0.25">
      <c r="A56" s="1391" t="s">
        <v>2638</v>
      </c>
      <c r="B56" s="1391"/>
      <c r="C56" s="1391"/>
      <c r="D56" s="1391"/>
      <c r="E56" s="1391"/>
      <c r="F56" s="1391"/>
      <c r="G56" s="1391"/>
      <c r="H56" s="1391"/>
      <c r="I56" s="263">
        <f>I51-I53-I54-I55</f>
        <v>-3412565.338383601</v>
      </c>
      <c r="J56" s="263">
        <f>J51+J55-J54</f>
        <v>41684.661616398953</v>
      </c>
      <c r="K56" s="263">
        <f>K51-K53-K54-K55</f>
        <v>1615841.7725744722</v>
      </c>
      <c r="M56" s="1">
        <v>7257</v>
      </c>
    </row>
    <row r="57" spans="1:13" ht="15.75" x14ac:dyDescent="0.25">
      <c r="A57" s="1392" t="s">
        <v>2773</v>
      </c>
      <c r="B57" s="1392"/>
      <c r="C57" s="1392"/>
      <c r="D57" s="1392"/>
      <c r="E57" s="1392"/>
      <c r="F57" s="1392"/>
      <c r="G57" s="1392"/>
      <c r="H57" s="1392"/>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93" t="s">
        <v>3669</v>
      </c>
      <c r="B61" s="1393"/>
      <c r="C61" s="1393"/>
      <c r="D61" s="1393"/>
      <c r="E61" s="1393"/>
      <c r="F61" s="1393"/>
      <c r="G61" s="1393"/>
      <c r="H61" s="1393"/>
      <c r="I61" s="1393"/>
      <c r="J61" s="1393"/>
      <c r="K61" s="1393"/>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94">
        <f>'Main Summary'!Z19</f>
        <v>138622950.11069509</v>
      </c>
      <c r="B63" s="1394">
        <f>'Main Summary'!AA19</f>
        <v>174948764</v>
      </c>
      <c r="C63" s="1394">
        <f>B63-A63</f>
        <v>36325813.889304906</v>
      </c>
      <c r="D63" s="1394">
        <v>2000000</v>
      </c>
      <c r="E63" s="1396">
        <v>4500000</v>
      </c>
      <c r="F63" s="1396">
        <v>889800</v>
      </c>
      <c r="G63" s="1394">
        <v>500000</v>
      </c>
      <c r="H63" s="1394">
        <f>C63-D63-G63-E63-F63</f>
        <v>28436013.889304906</v>
      </c>
      <c r="I63" s="1394">
        <f>H63*33%</f>
        <v>9383884.5834706202</v>
      </c>
      <c r="J63" s="1394">
        <f>H63*33%</f>
        <v>9383884.5834706202</v>
      </c>
      <c r="K63" s="1394">
        <f>H63*34%</f>
        <v>9668244.7223636694</v>
      </c>
    </row>
    <row r="64" spans="1:13" ht="15" customHeight="1" x14ac:dyDescent="0.25">
      <c r="A64" s="1394"/>
      <c r="B64" s="1394"/>
      <c r="C64" s="1394"/>
      <c r="D64" s="1394"/>
      <c r="E64" s="1397"/>
      <c r="F64" s="1397"/>
      <c r="G64" s="1394"/>
      <c r="H64" s="1394"/>
      <c r="I64" s="1394"/>
      <c r="J64" s="1394"/>
      <c r="K64" s="1394"/>
    </row>
    <row r="65" spans="1:18" ht="27" customHeight="1" x14ac:dyDescent="0.25">
      <c r="A65" s="1395" t="s">
        <v>2864</v>
      </c>
      <c r="B65" s="1395"/>
      <c r="C65" s="1395"/>
      <c r="D65" s="1395"/>
      <c r="E65" s="1395"/>
      <c r="F65" s="1395"/>
      <c r="G65" s="1395"/>
      <c r="H65" s="1395"/>
      <c r="I65" s="225">
        <f>'old Sharing details'!H30</f>
        <v>20909127</v>
      </c>
      <c r="J65" s="225">
        <f>'old Sharing details'!H65</f>
        <v>20630910</v>
      </c>
      <c r="K65" s="225">
        <f>'old Sharing details'!D125</f>
        <v>17742859</v>
      </c>
    </row>
    <row r="66" spans="1:18" ht="27" customHeight="1" x14ac:dyDescent="0.25">
      <c r="A66" s="1391" t="s">
        <v>2638</v>
      </c>
      <c r="B66" s="1391"/>
      <c r="C66" s="1391"/>
      <c r="D66" s="1391"/>
      <c r="E66" s="1391"/>
      <c r="F66" s="1391"/>
      <c r="G66" s="1391"/>
      <c r="H66" s="1391"/>
      <c r="I66" s="263">
        <f>I63-I65</f>
        <v>-11525242.41652938</v>
      </c>
      <c r="J66" s="263">
        <f t="shared" ref="J66:K66" si="0">J63-J65</f>
        <v>-11247025.41652938</v>
      </c>
      <c r="K66" s="263">
        <f t="shared" si="0"/>
        <v>-8074614.2776363306</v>
      </c>
    </row>
    <row r="67" spans="1:18" ht="15.75" x14ac:dyDescent="0.25">
      <c r="A67" s="1392" t="s">
        <v>2773</v>
      </c>
      <c r="B67" s="1392"/>
      <c r="C67" s="1392"/>
      <c r="D67" s="1392"/>
      <c r="E67" s="1392"/>
      <c r="F67" s="1392"/>
      <c r="G67" s="1392"/>
      <c r="H67" s="1392"/>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07" t="s">
        <v>5163</v>
      </c>
      <c r="B69" s="1407"/>
      <c r="C69" s="1407"/>
      <c r="D69" s="1407"/>
      <c r="E69" s="283">
        <v>3118282</v>
      </c>
      <c r="M69"/>
      <c r="N69" s="1">
        <v>4629646</v>
      </c>
      <c r="O69" s="1">
        <v>7330193</v>
      </c>
      <c r="P69" s="1">
        <v>1850440</v>
      </c>
      <c r="R69" s="1"/>
    </row>
    <row r="70" spans="1:18" x14ac:dyDescent="0.25">
      <c r="A70" s="1407" t="s">
        <v>5161</v>
      </c>
      <c r="B70" s="1407"/>
      <c r="C70" s="1407"/>
      <c r="D70" s="1407"/>
      <c r="E70" s="15">
        <v>1000000</v>
      </c>
      <c r="M70"/>
      <c r="N70" s="3"/>
      <c r="R70" s="1"/>
    </row>
    <row r="71" spans="1:18" ht="26.25" x14ac:dyDescent="0.25">
      <c r="A71" s="1407" t="s">
        <v>5162</v>
      </c>
      <c r="B71" s="1407"/>
      <c r="C71" s="1407"/>
      <c r="D71" s="1407"/>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90" t="s">
        <v>4711</v>
      </c>
      <c r="O73" s="1390"/>
      <c r="P73" s="1390"/>
    </row>
    <row r="74" spans="1:18" x14ac:dyDescent="0.25">
      <c r="A74">
        <f>139220029+2000000</f>
        <v>141220029</v>
      </c>
      <c r="B74" s="3">
        <f>B63-A74</f>
        <v>33728735</v>
      </c>
      <c r="M74"/>
      <c r="N74" s="1390"/>
      <c r="O74" s="1390"/>
      <c r="P74" s="1390"/>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78" t="s">
        <v>1766</v>
      </c>
      <c r="D1" s="1178"/>
      <c r="E1" s="1178"/>
    </row>
    <row r="2" spans="1:8" x14ac:dyDescent="0.25">
      <c r="C2" s="1178"/>
      <c r="D2" s="1178"/>
      <c r="E2" s="1178"/>
    </row>
    <row r="3" spans="1:8" x14ac:dyDescent="0.25">
      <c r="C3" s="1345" t="s">
        <v>4712</v>
      </c>
      <c r="D3" s="1345"/>
      <c r="E3" s="1345"/>
    </row>
    <row r="4" spans="1:8" x14ac:dyDescent="0.25">
      <c r="C4" s="1345"/>
      <c r="D4" s="1345"/>
      <c r="E4" s="1345"/>
    </row>
    <row r="6" spans="1:8" ht="14.45" customHeight="1" x14ac:dyDescent="0.25">
      <c r="A6" s="1408" t="s">
        <v>1893</v>
      </c>
      <c r="B6" s="1409"/>
      <c r="C6" s="1409"/>
      <c r="D6" s="1410"/>
      <c r="E6" s="1417" t="s">
        <v>4750</v>
      </c>
      <c r="F6" s="1417"/>
      <c r="G6" s="1417"/>
      <c r="H6" s="1417"/>
    </row>
    <row r="7" spans="1:8" ht="14.45" customHeight="1" x14ac:dyDescent="0.25">
      <c r="A7" s="1411"/>
      <c r="B7" s="1412"/>
      <c r="C7" s="1412"/>
      <c r="D7" s="1413"/>
      <c r="E7" s="1417"/>
      <c r="F7" s="1417"/>
      <c r="G7" s="1417"/>
      <c r="H7" s="1417"/>
    </row>
    <row r="8" spans="1:8" ht="14.45" customHeight="1" x14ac:dyDescent="0.25">
      <c r="A8" s="1414"/>
      <c r="B8" s="1415"/>
      <c r="C8" s="1415"/>
      <c r="D8" s="1416"/>
      <c r="E8" s="1417"/>
      <c r="F8" s="1417"/>
      <c r="G8" s="1417"/>
      <c r="H8" s="1417"/>
    </row>
    <row r="9" spans="1:8" ht="27" thickBot="1" x14ac:dyDescent="0.3">
      <c r="A9" s="1322" t="s">
        <v>4589</v>
      </c>
      <c r="B9" s="1323"/>
      <c r="C9" s="1323"/>
      <c r="D9" s="1324"/>
      <c r="E9" s="1325" t="s">
        <v>4589</v>
      </c>
      <c r="F9" s="1326"/>
      <c r="G9" s="1326"/>
      <c r="H9" s="1327"/>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29" t="s">
        <v>4595</v>
      </c>
      <c r="F30" s="1329"/>
      <c r="G30" s="1330"/>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31" t="s">
        <v>4747</v>
      </c>
      <c r="F37" s="1326"/>
      <c r="G37" s="1326"/>
      <c r="H37" s="1327"/>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28" t="s">
        <v>4595</v>
      </c>
      <c r="B54" s="1328"/>
      <c r="C54" s="1328"/>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21" t="s">
        <v>4599</v>
      </c>
      <c r="B58" s="1422"/>
      <c r="C58" s="1422"/>
      <c r="D58" s="1422"/>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28" t="s">
        <v>4595</v>
      </c>
      <c r="F65" s="1328"/>
      <c r="G65" s="1328"/>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27" t="s">
        <v>4744</v>
      </c>
      <c r="F73" s="1427"/>
      <c r="G73" s="1427"/>
      <c r="H73" s="1427"/>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28" t="s">
        <v>4595</v>
      </c>
      <c r="F87" s="1429"/>
      <c r="G87" s="1430"/>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23" t="s">
        <v>4595</v>
      </c>
      <c r="B102" s="1361"/>
      <c r="C102" s="1362"/>
      <c r="D102" s="313">
        <f>SUM(D60:D101)</f>
        <v>8325000</v>
      </c>
    </row>
    <row r="104" spans="1:4" ht="15.75" thickBot="1" x14ac:dyDescent="0.3">
      <c r="D104" s="49"/>
    </row>
    <row r="105" spans="1:4" ht="21.75" thickBot="1" x14ac:dyDescent="0.3">
      <c r="A105" s="1424" t="s">
        <v>4596</v>
      </c>
      <c r="B105" s="1425"/>
      <c r="C105" s="1425"/>
      <c r="D105" s="1426"/>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60" t="s">
        <v>4595</v>
      </c>
      <c r="B124" s="1361"/>
      <c r="C124" s="1362"/>
      <c r="D124" s="320">
        <f>SUM(D107:D123)</f>
        <v>3665720</v>
      </c>
    </row>
    <row r="125" spans="1:4" ht="19.5" thickBot="1" x14ac:dyDescent="0.35">
      <c r="A125" s="1418" t="s">
        <v>4616</v>
      </c>
      <c r="B125" s="1419"/>
      <c r="C125" s="1420"/>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Main</vt:lpstr>
      <vt:lpstr>Posting</vt:lpstr>
      <vt:lpstr>Pro Summ</vt:lpstr>
      <vt:lpstr>Projects</vt:lpstr>
      <vt:lpstr>Bills</vt:lpstr>
      <vt:lpstr>Total</vt:lpstr>
      <vt:lpstr>Supplier</vt:lpstr>
      <vt:lpstr>IK</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2025-01-22T08:08:27Z</cp:lastPrinted>
  <dcterms:created xsi:type="dcterms:W3CDTF">2016-01-21T08:10:35Z</dcterms:created>
  <dcterms:modified xsi:type="dcterms:W3CDTF">2025-02-11T12:01:23Z</dcterms:modified>
</cp:coreProperties>
</file>